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showInkAnnotation="0" codeName="ThisWorkbook"/>
  <mc:AlternateContent xmlns:mc="http://schemas.openxmlformats.org/markup-compatibility/2006">
    <mc:Choice Requires="x15">
      <x15ac:absPath xmlns:x15ac="http://schemas.microsoft.com/office/spreadsheetml/2010/11/ac" url="/Users/stevewatson/Downloads/"/>
    </mc:Choice>
  </mc:AlternateContent>
  <xr:revisionPtr revIDLastSave="0" documentId="13_ncr:1_{10003801-DE72-3248-8EA3-319154398358}" xr6:coauthVersionLast="46" xr6:coauthVersionMax="47" xr10:uidLastSave="{00000000-0000-0000-0000-000000000000}"/>
  <bookViews>
    <workbookView showSheetTabs="0" xWindow="35840" yWindow="460" windowWidth="30960" windowHeight="16920" tabRatio="851" xr2:uid="{00000000-000D-0000-FFFF-FFFF00000000}"/>
  </bookViews>
  <sheets>
    <sheet name="home" sheetId="11" r:id="rId1"/>
    <sheet name="Caveats" sheetId="118" r:id="rId2"/>
    <sheet name="FAQs" sheetId="112" r:id="rId3"/>
    <sheet name="PDUs" sheetId="78" r:id="rId4"/>
    <sheet name="capacity data" sheetId="79" r:id="rId5"/>
    <sheet name="caseload data" sheetId="99" r:id="rId6"/>
    <sheet name="reductions data" sheetId="85" r:id="rId7"/>
    <sheet name="reductions workings" sheetId="106" r:id="rId8"/>
    <sheet name="divisional &amp; regional overview" sheetId="101" r:id="rId9"/>
    <sheet name="HMIP caseload divisional" sheetId="115" r:id="rId10"/>
    <sheet name="HMIP caseload cluster" sheetId="117" r:id="rId11"/>
    <sheet name="cluster overview" sheetId="98" r:id="rId12"/>
    <sheet name="team overview" sheetId="114" r:id="rId13"/>
    <sheet name="national caseload" sheetId="100" r:id="rId14"/>
    <sheet name="national tier ratios" sheetId="111" r:id="rId15"/>
    <sheet name="divisional &amp; regional caseload" sheetId="102" r:id="rId16"/>
    <sheet name="divisional &amp; regional caseload%" sheetId="105" r:id="rId17"/>
    <sheet name="cluster capacity, unallocateds" sheetId="81" r:id="rId18"/>
    <sheet name="custody caseload" sheetId="107" r:id="rId19"/>
    <sheet name="custody %" sheetId="109" r:id="rId20"/>
    <sheet name="community caseload" sheetId="108" r:id="rId21"/>
    <sheet name="community %" sheetId="110" r:id="rId22"/>
    <sheet name="divisional &amp; regional capacity" sheetId="80" r:id="rId23"/>
    <sheet name="cluster officer capacity ranks" sheetId="82" r:id="rId24"/>
    <sheet name="div &amp; regional over-capacities" sheetId="95" r:id="rId25"/>
    <sheet name="unallocated cases" sheetId="84" r:id="rId26"/>
    <sheet name="reasons for reduction division" sheetId="87" r:id="rId27"/>
    <sheet name="cluster reductions" sheetId="89" r:id="rId28"/>
    <sheet name="div &amp; regional reduction hours" sheetId="88" r:id="rId29"/>
    <sheet name="Caseload Buttons" sheetId="93" r:id="rId30"/>
    <sheet name="Capacity Buttons" sheetId="91" r:id="rId31"/>
    <sheet name="Reductions Buttons" sheetId="92" r:id="rId32"/>
  </sheets>
  <externalReferences>
    <externalReference r:id="rId33"/>
    <externalReference r:id="rId34"/>
    <externalReference r:id="rId35"/>
  </externalReferences>
  <definedNames>
    <definedName name="_xlnm._FilterDatabase" localSheetId="4" hidden="1">'capacity data'!$A$1:$U$7549</definedName>
    <definedName name="_xlnm._FilterDatabase" localSheetId="5" hidden="1">'caseload data'!$A$1:$V$1642</definedName>
    <definedName name="_xlnm._FilterDatabase" localSheetId="3" hidden="1">PDUs!$N$1:$Y$149</definedName>
    <definedName name="_xlnm._FilterDatabase" localSheetId="6" hidden="1">'reductions data'!$A$1:$L$5156</definedName>
    <definedName name="Against_National_Average">'[1]Rating Lookup'!$C$2:$F$2</definedName>
    <definedName name="Against_Target">'[1]Rating Lookup'!$B$3:$B$6</definedName>
    <definedName name="Aggregation" localSheetId="30">#REF!</definedName>
    <definedName name="Aggregation" localSheetId="4">#REF!</definedName>
    <definedName name="Aggregation" localSheetId="29">#REF!</definedName>
    <definedName name="Aggregation" localSheetId="17">#REF!</definedName>
    <definedName name="Aggregation" localSheetId="23">#REF!</definedName>
    <definedName name="Aggregation" localSheetId="27">#REF!</definedName>
    <definedName name="Aggregation" localSheetId="21">#REF!</definedName>
    <definedName name="Aggregation" localSheetId="20">#REF!</definedName>
    <definedName name="Aggregation" localSheetId="19">#REF!</definedName>
    <definedName name="Aggregation" localSheetId="18">#REF!</definedName>
    <definedName name="Aggregation" localSheetId="28">#REF!</definedName>
    <definedName name="Aggregation" localSheetId="22">#REF!</definedName>
    <definedName name="Aggregation" localSheetId="16">#REF!</definedName>
    <definedName name="Aggregation" localSheetId="8">#REF!</definedName>
    <definedName name="Aggregation" localSheetId="9">#REF!</definedName>
    <definedName name="Aggregation" localSheetId="3">#REF!</definedName>
    <definedName name="Aggregation" localSheetId="26">#REF!</definedName>
    <definedName name="Aggregation" localSheetId="31">#REF!</definedName>
    <definedName name="Aggregation" localSheetId="6">#REF!</definedName>
    <definedName name="Aggregation" localSheetId="12">#REF!</definedName>
    <definedName name="Aggregation" localSheetId="25">#REF!</definedName>
    <definedName name="Aggregation">#REF!</definedName>
    <definedName name="AmberRating" localSheetId="30">#REF!</definedName>
    <definedName name="AmberRating" localSheetId="4">#REF!</definedName>
    <definedName name="AmberRating" localSheetId="29">#REF!</definedName>
    <definedName name="AmberRating" localSheetId="17">#REF!</definedName>
    <definedName name="AmberRating" localSheetId="23">#REF!</definedName>
    <definedName name="AmberRating" localSheetId="27">#REF!</definedName>
    <definedName name="AmberRating" localSheetId="21">#REF!</definedName>
    <definedName name="AmberRating" localSheetId="20">#REF!</definedName>
    <definedName name="AmberRating" localSheetId="19">#REF!</definedName>
    <definedName name="AmberRating" localSheetId="18">#REF!</definedName>
    <definedName name="AmberRating" localSheetId="28">#REF!</definedName>
    <definedName name="AmberRating" localSheetId="22">#REF!</definedName>
    <definedName name="AmberRating" localSheetId="16">#REF!</definedName>
    <definedName name="AmberRating" localSheetId="8">#REF!</definedName>
    <definedName name="AmberRating" localSheetId="9">#REF!</definedName>
    <definedName name="AmberRating" localSheetId="3">#REF!</definedName>
    <definedName name="AmberRating" localSheetId="26">#REF!</definedName>
    <definedName name="AmberRating" localSheetId="31">#REF!</definedName>
    <definedName name="AmberRating" localSheetId="6">#REF!</definedName>
    <definedName name="AmberRating" localSheetId="12">#REF!</definedName>
    <definedName name="AmberRating" localSheetId="25">#REF!</definedName>
    <definedName name="AmberRating">#REF!</definedName>
    <definedName name="Anchor_Cell">PDUs!$A$1</definedName>
    <definedName name="CurMonth" localSheetId="30">#REF!</definedName>
    <definedName name="CurMonth" localSheetId="4">#REF!</definedName>
    <definedName name="CurMonth" localSheetId="29">#REF!</definedName>
    <definedName name="CurMonth" localSheetId="17">#REF!</definedName>
    <definedName name="CurMonth" localSheetId="23">#REF!</definedName>
    <definedName name="CurMonth" localSheetId="27">#REF!</definedName>
    <definedName name="CurMonth" localSheetId="21">#REF!</definedName>
    <definedName name="CurMonth" localSheetId="20">#REF!</definedName>
    <definedName name="CurMonth" localSheetId="19">#REF!</definedName>
    <definedName name="CurMonth" localSheetId="18">#REF!</definedName>
    <definedName name="CurMonth" localSheetId="28">#REF!</definedName>
    <definedName name="CurMonth" localSheetId="22">#REF!</definedName>
    <definedName name="CurMonth" localSheetId="16">#REF!</definedName>
    <definedName name="CurMonth" localSheetId="8">#REF!</definedName>
    <definedName name="CurMonth" localSheetId="9">#REF!</definedName>
    <definedName name="CurMonth" localSheetId="3">#REF!</definedName>
    <definedName name="CurMonth" localSheetId="26">#REF!</definedName>
    <definedName name="CurMonth" localSheetId="31">#REF!</definedName>
    <definedName name="CurMonth" localSheetId="6">#REF!</definedName>
    <definedName name="CurMonth" localSheetId="12">#REF!</definedName>
    <definedName name="CurMonth" localSheetId="25">#REF!</definedName>
    <definedName name="CurMonth">#REF!</definedName>
    <definedName name="CurQuarter" localSheetId="30">#REF!</definedName>
    <definedName name="CurQuarter" localSheetId="4">#REF!</definedName>
    <definedName name="CurQuarter" localSheetId="29">#REF!</definedName>
    <definedName name="CurQuarter" localSheetId="17">#REF!</definedName>
    <definedName name="CurQuarter" localSheetId="23">#REF!</definedName>
    <definedName name="CurQuarter" localSheetId="27">#REF!</definedName>
    <definedName name="CurQuarter" localSheetId="21">#REF!</definedName>
    <definedName name="CurQuarter" localSheetId="20">#REF!</definedName>
    <definedName name="CurQuarter" localSheetId="19">#REF!</definedName>
    <definedName name="CurQuarter" localSheetId="18">#REF!</definedName>
    <definedName name="CurQuarter" localSheetId="28">#REF!</definedName>
    <definedName name="CurQuarter" localSheetId="22">#REF!</definedName>
    <definedName name="CurQuarter" localSheetId="16">#REF!</definedName>
    <definedName name="CurQuarter" localSheetId="8">#REF!</definedName>
    <definedName name="CurQuarter" localSheetId="9">#REF!</definedName>
    <definedName name="CurQuarter" localSheetId="3">#REF!</definedName>
    <definedName name="CurQuarter" localSheetId="26">#REF!</definedName>
    <definedName name="CurQuarter" localSheetId="31">#REF!</definedName>
    <definedName name="CurQuarter" localSheetId="6">#REF!</definedName>
    <definedName name="CurQuarter" localSheetId="12">#REF!</definedName>
    <definedName name="CurQuarter" localSheetId="25">#REF!</definedName>
    <definedName name="CurQuarter">#REF!</definedName>
    <definedName name="DateRange" localSheetId="30">#REF!</definedName>
    <definedName name="DateRange" localSheetId="4">#REF!</definedName>
    <definedName name="DateRange" localSheetId="29">#REF!</definedName>
    <definedName name="DateRange" localSheetId="17">#REF!</definedName>
    <definedName name="DateRange" localSheetId="23">#REF!</definedName>
    <definedName name="DateRange" localSheetId="27">#REF!</definedName>
    <definedName name="DateRange" localSheetId="21">#REF!</definedName>
    <definedName name="DateRange" localSheetId="20">#REF!</definedName>
    <definedName name="DateRange" localSheetId="19">#REF!</definedName>
    <definedName name="DateRange" localSheetId="18">#REF!</definedName>
    <definedName name="DateRange" localSheetId="28">#REF!</definedName>
    <definedName name="DateRange" localSheetId="22">#REF!</definedName>
    <definedName name="DateRange" localSheetId="16">#REF!</definedName>
    <definedName name="DateRange" localSheetId="8">#REF!</definedName>
    <definedName name="DateRange" localSheetId="9">#REF!</definedName>
    <definedName name="DateRange" localSheetId="3">#REF!</definedName>
    <definedName name="DateRange" localSheetId="26">#REF!</definedName>
    <definedName name="DateRange" localSheetId="31">#REF!</definedName>
    <definedName name="DateRange" localSheetId="6">#REF!</definedName>
    <definedName name="DateRange" localSheetId="12">#REF!</definedName>
    <definedName name="DateRange" localSheetId="25">#REF!</definedName>
    <definedName name="DateRange">#REF!</definedName>
    <definedName name="EMR">'national caseload'!$B$7</definedName>
    <definedName name="EoE">'national caseload'!$B$12</definedName>
    <definedName name="ForecastDate" localSheetId="30">#REF!</definedName>
    <definedName name="ForecastDate" localSheetId="4">#REF!</definedName>
    <definedName name="ForecastDate" localSheetId="29">#REF!</definedName>
    <definedName name="ForecastDate" localSheetId="17">#REF!</definedName>
    <definedName name="ForecastDate" localSheetId="23">#REF!</definedName>
    <definedName name="ForecastDate" localSheetId="27">#REF!</definedName>
    <definedName name="ForecastDate" localSheetId="21">#REF!</definedName>
    <definedName name="ForecastDate" localSheetId="20">#REF!</definedName>
    <definedName name="ForecastDate" localSheetId="19">#REF!</definedName>
    <definedName name="ForecastDate" localSheetId="18">#REF!</definedName>
    <definedName name="ForecastDate" localSheetId="28">#REF!</definedName>
    <definedName name="ForecastDate" localSheetId="22">#REF!</definedName>
    <definedName name="ForecastDate" localSheetId="16">#REF!</definedName>
    <definedName name="ForecastDate" localSheetId="8">#REF!</definedName>
    <definedName name="ForecastDate" localSheetId="9">#REF!</definedName>
    <definedName name="ForecastDate" localSheetId="3">#REF!</definedName>
    <definedName name="ForecastDate" localSheetId="26">#REF!</definedName>
    <definedName name="ForecastDate" localSheetId="31">#REF!</definedName>
    <definedName name="ForecastDate" localSheetId="6">#REF!</definedName>
    <definedName name="ForecastDate" localSheetId="12">#REF!</definedName>
    <definedName name="ForecastDate" localSheetId="25">#REF!</definedName>
    <definedName name="ForecastDate">#REF!</definedName>
    <definedName name="GM">'national caseload'!$B$17</definedName>
    <definedName name="HubData" localSheetId="30">#REF!</definedName>
    <definedName name="HubData" localSheetId="4">#REF!</definedName>
    <definedName name="HubData" localSheetId="29">#REF!</definedName>
    <definedName name="HubData" localSheetId="17">#REF!</definedName>
    <definedName name="HubData" localSheetId="23">#REF!</definedName>
    <definedName name="HubData" localSheetId="27">#REF!</definedName>
    <definedName name="HubData" localSheetId="21">#REF!</definedName>
    <definedName name="HubData" localSheetId="20">#REF!</definedName>
    <definedName name="HubData" localSheetId="19">#REF!</definedName>
    <definedName name="HubData" localSheetId="18">#REF!</definedName>
    <definedName name="HubData" localSheetId="28">#REF!</definedName>
    <definedName name="HubData" localSheetId="22">#REF!</definedName>
    <definedName name="HubData" localSheetId="16">#REF!</definedName>
    <definedName name="HubData" localSheetId="8">#REF!</definedName>
    <definedName name="HubData" localSheetId="9">#REF!</definedName>
    <definedName name="HubData" localSheetId="3">#REF!</definedName>
    <definedName name="HubData" localSheetId="26">#REF!</definedName>
    <definedName name="HubData" localSheetId="31">#REF!</definedName>
    <definedName name="HubData" localSheetId="6">#REF!</definedName>
    <definedName name="HubData" localSheetId="12">#REF!</definedName>
    <definedName name="HubData" localSheetId="25">#REF!</definedName>
    <definedName name="HubData">#REF!</definedName>
    <definedName name="KSSR">'national caseload'!$B$22</definedName>
    <definedName name="L">'national caseload'!$B$27</definedName>
    <definedName name="LDU" localSheetId="30">#REF!</definedName>
    <definedName name="LDU" localSheetId="4">#REF!</definedName>
    <definedName name="LDU" localSheetId="29">#REF!</definedName>
    <definedName name="LDU" localSheetId="17">#REF!</definedName>
    <definedName name="LDU" localSheetId="23">#REF!</definedName>
    <definedName name="LDU" localSheetId="27">#REF!</definedName>
    <definedName name="LDU" localSheetId="21">#REF!</definedName>
    <definedName name="LDU" localSheetId="20">#REF!</definedName>
    <definedName name="LDU" localSheetId="19">#REF!</definedName>
    <definedName name="LDU" localSheetId="18">#REF!</definedName>
    <definedName name="LDU" localSheetId="28">#REF!</definedName>
    <definedName name="LDU" localSheetId="22">#REF!</definedName>
    <definedName name="LDU" localSheetId="16">#REF!</definedName>
    <definedName name="LDU" localSheetId="8">#REF!</definedName>
    <definedName name="LDU" localSheetId="9">#REF!</definedName>
    <definedName name="LDU" localSheetId="3">#REF!</definedName>
    <definedName name="LDU" localSheetId="26">#REF!</definedName>
    <definedName name="LDU" localSheetId="31">#REF!</definedName>
    <definedName name="LDU" localSheetId="6">#REF!</definedName>
    <definedName name="LDU" localSheetId="12">#REF!</definedName>
    <definedName name="LDU" localSheetId="25">#REF!</definedName>
    <definedName name="LDU">#REF!</definedName>
    <definedName name="LDUCluster" localSheetId="30">#REF!</definedName>
    <definedName name="LDUCluster" localSheetId="4">#REF!</definedName>
    <definedName name="LDUCluster" localSheetId="29">#REF!</definedName>
    <definedName name="LDUCluster" localSheetId="17">#REF!</definedName>
    <definedName name="LDUCluster" localSheetId="23">#REF!</definedName>
    <definedName name="LDUCluster" localSheetId="27">#REF!</definedName>
    <definedName name="LDUCluster" localSheetId="21">#REF!</definedName>
    <definedName name="LDUCluster" localSheetId="20">#REF!</definedName>
    <definedName name="LDUCluster" localSheetId="19">#REF!</definedName>
    <definedName name="LDUCluster" localSheetId="18">#REF!</definedName>
    <definedName name="LDUCluster" localSheetId="28">#REF!</definedName>
    <definedName name="LDUCluster" localSheetId="22">#REF!</definedName>
    <definedName name="LDUCluster" localSheetId="16">#REF!</definedName>
    <definedName name="LDUCluster" localSheetId="8">#REF!</definedName>
    <definedName name="LDUCluster" localSheetId="9">#REF!</definedName>
    <definedName name="LDUCluster" localSheetId="3">#REF!</definedName>
    <definedName name="LDUCluster" localSheetId="26">#REF!</definedName>
    <definedName name="LDUCluster" localSheetId="31">#REF!</definedName>
    <definedName name="LDUCluster" localSheetId="6">#REF!</definedName>
    <definedName name="LDUCluster" localSheetId="12">#REF!</definedName>
    <definedName name="LDUCluster" localSheetId="25">#REF!</definedName>
    <definedName name="LDUCluster">#REF!</definedName>
    <definedName name="MonthNo" localSheetId="30">#REF!</definedName>
    <definedName name="MonthNo" localSheetId="4">#REF!</definedName>
    <definedName name="MonthNo" localSheetId="29">#REF!</definedName>
    <definedName name="MonthNo" localSheetId="17">#REF!</definedName>
    <definedName name="MonthNo" localSheetId="23">#REF!</definedName>
    <definedName name="MonthNo" localSheetId="27">#REF!</definedName>
    <definedName name="MonthNo" localSheetId="21">#REF!</definedName>
    <definedName name="MonthNo" localSheetId="20">#REF!</definedName>
    <definedName name="MonthNo" localSheetId="19">#REF!</definedName>
    <definedName name="MonthNo" localSheetId="18">#REF!</definedName>
    <definedName name="MonthNo" localSheetId="28">#REF!</definedName>
    <definedName name="MonthNo" localSheetId="22">#REF!</definedName>
    <definedName name="MonthNo" localSheetId="16">#REF!</definedName>
    <definedName name="MonthNo" localSheetId="8">#REF!</definedName>
    <definedName name="MonthNo" localSheetId="9">#REF!</definedName>
    <definedName name="MonthNo" localSheetId="3">#REF!</definedName>
    <definedName name="MonthNo" localSheetId="26">#REF!</definedName>
    <definedName name="MonthNo" localSheetId="31">#REF!</definedName>
    <definedName name="MonthNo" localSheetId="6">#REF!</definedName>
    <definedName name="MonthNo" localSheetId="12">#REF!</definedName>
    <definedName name="MonthNo" localSheetId="25">#REF!</definedName>
    <definedName name="MonthNo">#REF!</definedName>
    <definedName name="MonthRemain" localSheetId="30">#REF!</definedName>
    <definedName name="MonthRemain" localSheetId="4">#REF!</definedName>
    <definedName name="MonthRemain" localSheetId="29">#REF!</definedName>
    <definedName name="MonthRemain" localSheetId="17">#REF!</definedName>
    <definedName name="MonthRemain" localSheetId="23">#REF!</definedName>
    <definedName name="MonthRemain" localSheetId="27">#REF!</definedName>
    <definedName name="MonthRemain" localSheetId="21">#REF!</definedName>
    <definedName name="MonthRemain" localSheetId="20">#REF!</definedName>
    <definedName name="MonthRemain" localSheetId="19">#REF!</definedName>
    <definedName name="MonthRemain" localSheetId="18">#REF!</definedName>
    <definedName name="MonthRemain" localSheetId="28">#REF!</definedName>
    <definedName name="MonthRemain" localSheetId="22">#REF!</definedName>
    <definedName name="MonthRemain" localSheetId="16">#REF!</definedName>
    <definedName name="MonthRemain" localSheetId="8">#REF!</definedName>
    <definedName name="MonthRemain" localSheetId="9">#REF!</definedName>
    <definedName name="MonthRemain" localSheetId="3">#REF!</definedName>
    <definedName name="MonthRemain" localSheetId="26">#REF!</definedName>
    <definedName name="MonthRemain" localSheetId="31">#REF!</definedName>
    <definedName name="MonthRemain" localSheetId="6">#REF!</definedName>
    <definedName name="MonthRemain" localSheetId="12">#REF!</definedName>
    <definedName name="MonthRemain" localSheetId="25">#REF!</definedName>
    <definedName name="MonthRemain">#REF!</definedName>
    <definedName name="NE001Month" localSheetId="30">#REF!</definedName>
    <definedName name="NE001Month" localSheetId="4">#REF!</definedName>
    <definedName name="NE001Month" localSheetId="29">#REF!</definedName>
    <definedName name="NE001Month" localSheetId="17">#REF!</definedName>
    <definedName name="NE001Month" localSheetId="23">#REF!</definedName>
    <definedName name="NE001Month" localSheetId="27">#REF!</definedName>
    <definedName name="NE001Month" localSheetId="21">#REF!</definedName>
    <definedName name="NE001Month" localSheetId="20">#REF!</definedName>
    <definedName name="NE001Month" localSheetId="19">#REF!</definedName>
    <definedName name="NE001Month" localSheetId="18">#REF!</definedName>
    <definedName name="NE001Month" localSheetId="28">#REF!</definedName>
    <definedName name="NE001Month" localSheetId="22">#REF!</definedName>
    <definedName name="NE001Month" localSheetId="16">#REF!</definedName>
    <definedName name="NE001Month" localSheetId="8">#REF!</definedName>
    <definedName name="NE001Month" localSheetId="9">#REF!</definedName>
    <definedName name="NE001Month" localSheetId="3">#REF!</definedName>
    <definedName name="NE001Month" localSheetId="26">#REF!</definedName>
    <definedName name="NE001Month" localSheetId="31">#REF!</definedName>
    <definedName name="NE001Month" localSheetId="6">#REF!</definedName>
    <definedName name="NE001Month" localSheetId="12">#REF!</definedName>
    <definedName name="NE001Month" localSheetId="25">#REF!</definedName>
    <definedName name="NE001Month">#REF!</definedName>
    <definedName name="NE002Month" localSheetId="30">#REF!</definedName>
    <definedName name="NE002Month" localSheetId="4">#REF!</definedName>
    <definedName name="NE002Month" localSheetId="29">#REF!</definedName>
    <definedName name="NE002Month" localSheetId="17">#REF!</definedName>
    <definedName name="NE002Month" localSheetId="23">#REF!</definedName>
    <definedName name="NE002Month" localSheetId="27">#REF!</definedName>
    <definedName name="NE002Month" localSheetId="21">#REF!</definedName>
    <definedName name="NE002Month" localSheetId="20">#REF!</definedName>
    <definedName name="NE002Month" localSheetId="19">#REF!</definedName>
    <definedName name="NE002Month" localSheetId="18">#REF!</definedName>
    <definedName name="NE002Month" localSheetId="28">#REF!</definedName>
    <definedName name="NE002Month" localSheetId="22">#REF!</definedName>
    <definedName name="NE002Month" localSheetId="16">#REF!</definedName>
    <definedName name="NE002Month" localSheetId="8">#REF!</definedName>
    <definedName name="NE002Month" localSheetId="9">#REF!</definedName>
    <definedName name="NE002Month" localSheetId="3">#REF!</definedName>
    <definedName name="NE002Month" localSheetId="26">#REF!</definedName>
    <definedName name="NE002Month" localSheetId="31">#REF!</definedName>
    <definedName name="NE002Month" localSheetId="6">#REF!</definedName>
    <definedName name="NE002Month" localSheetId="12">#REF!</definedName>
    <definedName name="NE002Month" localSheetId="25">#REF!</definedName>
    <definedName name="NE002Month">#REF!</definedName>
    <definedName name="NE003Month" localSheetId="30">#REF!</definedName>
    <definedName name="NE003Month" localSheetId="4">#REF!</definedName>
    <definedName name="NE003Month" localSheetId="29">#REF!</definedName>
    <definedName name="NE003Month" localSheetId="17">#REF!</definedName>
    <definedName name="NE003Month" localSheetId="23">#REF!</definedName>
    <definedName name="NE003Month" localSheetId="27">#REF!</definedName>
    <definedName name="NE003Month" localSheetId="21">#REF!</definedName>
    <definedName name="NE003Month" localSheetId="20">#REF!</definedName>
    <definedName name="NE003Month" localSheetId="19">#REF!</definedName>
    <definedName name="NE003Month" localSheetId="18">#REF!</definedName>
    <definedName name="NE003Month" localSheetId="28">#REF!</definedName>
    <definedName name="NE003Month" localSheetId="22">#REF!</definedName>
    <definedName name="NE003Month" localSheetId="16">#REF!</definedName>
    <definedName name="NE003Month" localSheetId="8">#REF!</definedName>
    <definedName name="NE003Month" localSheetId="9">#REF!</definedName>
    <definedName name="NE003Month" localSheetId="3">#REF!</definedName>
    <definedName name="NE003Month" localSheetId="26">#REF!</definedName>
    <definedName name="NE003Month" localSheetId="31">#REF!</definedName>
    <definedName name="NE003Month" localSheetId="6">#REF!</definedName>
    <definedName name="NE003Month" localSheetId="12">#REF!</definedName>
    <definedName name="NE003Month" localSheetId="25">#REF!</definedName>
    <definedName name="NE003Month">#REF!</definedName>
    <definedName name="NE004AFMonth" localSheetId="30">#REF!</definedName>
    <definedName name="NE004AFMonth" localSheetId="4">#REF!</definedName>
    <definedName name="NE004AFMonth" localSheetId="29">#REF!</definedName>
    <definedName name="NE004AFMonth" localSheetId="17">#REF!</definedName>
    <definedName name="NE004AFMonth" localSheetId="23">#REF!</definedName>
    <definedName name="NE004AFMonth" localSheetId="27">#REF!</definedName>
    <definedName name="NE004AFMonth" localSheetId="21">#REF!</definedName>
    <definedName name="NE004AFMonth" localSheetId="20">#REF!</definedName>
    <definedName name="NE004AFMonth" localSheetId="19">#REF!</definedName>
    <definedName name="NE004AFMonth" localSheetId="18">#REF!</definedName>
    <definedName name="NE004AFMonth" localSheetId="28">#REF!</definedName>
    <definedName name="NE004AFMonth" localSheetId="22">#REF!</definedName>
    <definedName name="NE004AFMonth" localSheetId="16">#REF!</definedName>
    <definedName name="NE004AFMonth" localSheetId="8">#REF!</definedName>
    <definedName name="NE004AFMonth" localSheetId="9">#REF!</definedName>
    <definedName name="NE004AFMonth" localSheetId="3">#REF!</definedName>
    <definedName name="NE004AFMonth" localSheetId="26">#REF!</definedName>
    <definedName name="NE004AFMonth" localSheetId="31">#REF!</definedName>
    <definedName name="NE004AFMonth" localSheetId="6">#REF!</definedName>
    <definedName name="NE004AFMonth" localSheetId="12">#REF!</definedName>
    <definedName name="NE004AFMonth" localSheetId="25">#REF!</definedName>
    <definedName name="NE004AFMonth">#REF!</definedName>
    <definedName name="NE004AFYTD" localSheetId="30">#REF!</definedName>
    <definedName name="NE004AFYTD" localSheetId="4">#REF!</definedName>
    <definedName name="NE004AFYTD" localSheetId="29">#REF!</definedName>
    <definedName name="NE004AFYTD" localSheetId="17">#REF!</definedName>
    <definedName name="NE004AFYTD" localSheetId="23">#REF!</definedName>
    <definedName name="NE004AFYTD" localSheetId="27">#REF!</definedName>
    <definedName name="NE004AFYTD" localSheetId="21">#REF!</definedName>
    <definedName name="NE004AFYTD" localSheetId="20">#REF!</definedName>
    <definedName name="NE004AFYTD" localSheetId="19">#REF!</definedName>
    <definedName name="NE004AFYTD" localSheetId="18">#REF!</definedName>
    <definedName name="NE004AFYTD" localSheetId="28">#REF!</definedName>
    <definedName name="NE004AFYTD" localSheetId="22">#REF!</definedName>
    <definedName name="NE004AFYTD" localSheetId="16">#REF!</definedName>
    <definedName name="NE004AFYTD" localSheetId="8">#REF!</definedName>
    <definedName name="NE004AFYTD" localSheetId="9">#REF!</definedName>
    <definedName name="NE004AFYTD" localSheetId="3">#REF!</definedName>
    <definedName name="NE004AFYTD" localSheetId="26">#REF!</definedName>
    <definedName name="NE004AFYTD" localSheetId="31">#REF!</definedName>
    <definedName name="NE004AFYTD" localSheetId="6">#REF!</definedName>
    <definedName name="NE004AFYTD" localSheetId="12">#REF!</definedName>
    <definedName name="NE004AFYTD" localSheetId="25">#REF!</definedName>
    <definedName name="NE004AFYTD">#REF!</definedName>
    <definedName name="NE004ASMonth" localSheetId="30">#REF!</definedName>
    <definedName name="NE004ASMonth" localSheetId="4">#REF!</definedName>
    <definedName name="NE004ASMonth" localSheetId="29">#REF!</definedName>
    <definedName name="NE004ASMonth" localSheetId="17">#REF!</definedName>
    <definedName name="NE004ASMonth" localSheetId="23">#REF!</definedName>
    <definedName name="NE004ASMonth" localSheetId="27">#REF!</definedName>
    <definedName name="NE004ASMonth" localSheetId="21">#REF!</definedName>
    <definedName name="NE004ASMonth" localSheetId="20">#REF!</definedName>
    <definedName name="NE004ASMonth" localSheetId="19">#REF!</definedName>
    <definedName name="NE004ASMonth" localSheetId="18">#REF!</definedName>
    <definedName name="NE004ASMonth" localSheetId="28">#REF!</definedName>
    <definedName name="NE004ASMonth" localSheetId="22">#REF!</definedName>
    <definedName name="NE004ASMonth" localSheetId="16">#REF!</definedName>
    <definedName name="NE004ASMonth" localSheetId="8">#REF!</definedName>
    <definedName name="NE004ASMonth" localSheetId="9">#REF!</definedName>
    <definedName name="NE004ASMonth" localSheetId="3">#REF!</definedName>
    <definedName name="NE004ASMonth" localSheetId="26">#REF!</definedName>
    <definedName name="NE004ASMonth" localSheetId="31">#REF!</definedName>
    <definedName name="NE004ASMonth" localSheetId="6">#REF!</definedName>
    <definedName name="NE004ASMonth" localSheetId="12">#REF!</definedName>
    <definedName name="NE004ASMonth" localSheetId="25">#REF!</definedName>
    <definedName name="NE004ASMonth">#REF!</definedName>
    <definedName name="NE004ASYTD" localSheetId="30">#REF!</definedName>
    <definedName name="NE004ASYTD" localSheetId="4">#REF!</definedName>
    <definedName name="NE004ASYTD" localSheetId="29">#REF!</definedName>
    <definedName name="NE004ASYTD" localSheetId="17">#REF!</definedName>
    <definedName name="NE004ASYTD" localSheetId="23">#REF!</definedName>
    <definedName name="NE004ASYTD" localSheetId="27">#REF!</definedName>
    <definedName name="NE004ASYTD" localSheetId="21">#REF!</definedName>
    <definedName name="NE004ASYTD" localSheetId="20">#REF!</definedName>
    <definedName name="NE004ASYTD" localSheetId="19">#REF!</definedName>
    <definedName name="NE004ASYTD" localSheetId="18">#REF!</definedName>
    <definedName name="NE004ASYTD" localSheetId="28">#REF!</definedName>
    <definedName name="NE004ASYTD" localSheetId="22">#REF!</definedName>
    <definedName name="NE004ASYTD" localSheetId="16">#REF!</definedName>
    <definedName name="NE004ASYTD" localSheetId="8">#REF!</definedName>
    <definedName name="NE004ASYTD" localSheetId="9">#REF!</definedName>
    <definedName name="NE004ASYTD" localSheetId="3">#REF!</definedName>
    <definedName name="NE004ASYTD" localSheetId="26">#REF!</definedName>
    <definedName name="NE004ASYTD" localSheetId="31">#REF!</definedName>
    <definedName name="NE004ASYTD" localSheetId="6">#REF!</definedName>
    <definedName name="NE004ASYTD" localSheetId="12">#REF!</definedName>
    <definedName name="NE004ASYTD" localSheetId="25">#REF!</definedName>
    <definedName name="NE004ASYTD">#REF!</definedName>
    <definedName name="NE004MText" localSheetId="30">#REF!</definedName>
    <definedName name="NE004MText" localSheetId="4">#REF!</definedName>
    <definedName name="NE004MText" localSheetId="29">#REF!</definedName>
    <definedName name="NE004MText" localSheetId="17">#REF!</definedName>
    <definedName name="NE004MText" localSheetId="23">#REF!</definedName>
    <definedName name="NE004MText" localSheetId="27">#REF!</definedName>
    <definedName name="NE004MText" localSheetId="21">#REF!</definedName>
    <definedName name="NE004MText" localSheetId="20">#REF!</definedName>
    <definedName name="NE004MText" localSheetId="19">#REF!</definedName>
    <definedName name="NE004MText" localSheetId="18">#REF!</definedName>
    <definedName name="NE004MText" localSheetId="28">#REF!</definedName>
    <definedName name="NE004MText" localSheetId="22">#REF!</definedName>
    <definedName name="NE004MText" localSheetId="16">#REF!</definedName>
    <definedName name="NE004MText" localSheetId="8">#REF!</definedName>
    <definedName name="NE004MText" localSheetId="9">#REF!</definedName>
    <definedName name="NE004MText" localSheetId="3">#REF!</definedName>
    <definedName name="NE004MText" localSheetId="26">#REF!</definedName>
    <definedName name="NE004MText" localSheetId="31">#REF!</definedName>
    <definedName name="NE004MText" localSheetId="6">#REF!</definedName>
    <definedName name="NE004MText" localSheetId="12">#REF!</definedName>
    <definedName name="NE004MText" localSheetId="25">#REF!</definedName>
    <definedName name="NE004MText">#REF!</definedName>
    <definedName name="NE004MTitle" localSheetId="30">#REF!</definedName>
    <definedName name="NE004MTitle" localSheetId="4">#REF!</definedName>
    <definedName name="NE004MTitle" localSheetId="29">#REF!</definedName>
    <definedName name="NE004MTitle" localSheetId="17">#REF!</definedName>
    <definedName name="NE004MTitle" localSheetId="23">#REF!</definedName>
    <definedName name="NE004MTitle" localSheetId="27">#REF!</definedName>
    <definedName name="NE004MTitle" localSheetId="21">#REF!</definedName>
    <definedName name="NE004MTitle" localSheetId="20">#REF!</definedName>
    <definedName name="NE004MTitle" localSheetId="19">#REF!</definedName>
    <definedName name="NE004MTitle" localSheetId="18">#REF!</definedName>
    <definedName name="NE004MTitle" localSheetId="28">#REF!</definedName>
    <definedName name="NE004MTitle" localSheetId="22">#REF!</definedName>
    <definedName name="NE004MTitle" localSheetId="16">#REF!</definedName>
    <definedName name="NE004MTitle" localSheetId="8">#REF!</definedName>
    <definedName name="NE004MTitle" localSheetId="9">#REF!</definedName>
    <definedName name="NE004MTitle" localSheetId="3">#REF!</definedName>
    <definedName name="NE004MTitle" localSheetId="26">#REF!</definedName>
    <definedName name="NE004MTitle" localSheetId="31">#REF!</definedName>
    <definedName name="NE004MTitle" localSheetId="6">#REF!</definedName>
    <definedName name="NE004MTitle" localSheetId="12">#REF!</definedName>
    <definedName name="NE004MTitle" localSheetId="25">#REF!</definedName>
    <definedName name="NE004MTitle">#REF!</definedName>
    <definedName name="NE004ODMonth" localSheetId="30">#REF!</definedName>
    <definedName name="NE004ODMonth" localSheetId="4">#REF!</definedName>
    <definedName name="NE004ODMonth" localSheetId="29">#REF!</definedName>
    <definedName name="NE004ODMonth" localSheetId="17">#REF!</definedName>
    <definedName name="NE004ODMonth" localSheetId="23">#REF!</definedName>
    <definedName name="NE004ODMonth" localSheetId="27">#REF!</definedName>
    <definedName name="NE004ODMonth" localSheetId="21">#REF!</definedName>
    <definedName name="NE004ODMonth" localSheetId="20">#REF!</definedName>
    <definedName name="NE004ODMonth" localSheetId="19">#REF!</definedName>
    <definedName name="NE004ODMonth" localSheetId="18">#REF!</definedName>
    <definedName name="NE004ODMonth" localSheetId="28">#REF!</definedName>
    <definedName name="NE004ODMonth" localSheetId="22">#REF!</definedName>
    <definedName name="NE004ODMonth" localSheetId="16">#REF!</definedName>
    <definedName name="NE004ODMonth" localSheetId="8">#REF!</definedName>
    <definedName name="NE004ODMonth" localSheetId="9">#REF!</definedName>
    <definedName name="NE004ODMonth" localSheetId="3">#REF!</definedName>
    <definedName name="NE004ODMonth" localSheetId="26">#REF!</definedName>
    <definedName name="NE004ODMonth" localSheetId="31">#REF!</definedName>
    <definedName name="NE004ODMonth" localSheetId="6">#REF!</definedName>
    <definedName name="NE004ODMonth" localSheetId="12">#REF!</definedName>
    <definedName name="NE004ODMonth" localSheetId="25">#REF!</definedName>
    <definedName name="NE004ODMonth">#REF!</definedName>
    <definedName name="NE004ODYTD" localSheetId="30">#REF!</definedName>
    <definedName name="NE004ODYTD" localSheetId="4">#REF!</definedName>
    <definedName name="NE004ODYTD" localSheetId="29">#REF!</definedName>
    <definedName name="NE004ODYTD" localSheetId="17">#REF!</definedName>
    <definedName name="NE004ODYTD" localSheetId="23">#REF!</definedName>
    <definedName name="NE004ODYTD" localSheetId="27">#REF!</definedName>
    <definedName name="NE004ODYTD" localSheetId="21">#REF!</definedName>
    <definedName name="NE004ODYTD" localSheetId="20">#REF!</definedName>
    <definedName name="NE004ODYTD" localSheetId="19">#REF!</definedName>
    <definedName name="NE004ODYTD" localSheetId="18">#REF!</definedName>
    <definedName name="NE004ODYTD" localSheetId="28">#REF!</definedName>
    <definedName name="NE004ODYTD" localSheetId="22">#REF!</definedName>
    <definedName name="NE004ODYTD" localSheetId="16">#REF!</definedName>
    <definedName name="NE004ODYTD" localSheetId="8">#REF!</definedName>
    <definedName name="NE004ODYTD" localSheetId="9">#REF!</definedName>
    <definedName name="NE004ODYTD" localSheetId="3">#REF!</definedName>
    <definedName name="NE004ODYTD" localSheetId="26">#REF!</definedName>
    <definedName name="NE004ODYTD" localSheetId="31">#REF!</definedName>
    <definedName name="NE004ODYTD" localSheetId="6">#REF!</definedName>
    <definedName name="NE004ODYTD" localSheetId="12">#REF!</definedName>
    <definedName name="NE004ODYTD" localSheetId="25">#REF!</definedName>
    <definedName name="NE004ODYTD">#REF!</definedName>
    <definedName name="NER">'national caseload'!$B$32</definedName>
    <definedName name="NWR">'national caseload'!$B$37</definedName>
    <definedName name="obbbbbj" localSheetId="30">'[2]List Data'!#REF!</definedName>
    <definedName name="obbbbbj" localSheetId="29">'[2]List Data'!#REF!</definedName>
    <definedName name="obbbbbj" localSheetId="21">'[2]List Data'!#REF!</definedName>
    <definedName name="obbbbbj" localSheetId="20">'[2]List Data'!#REF!</definedName>
    <definedName name="obbbbbj" localSheetId="19">'[2]List Data'!#REF!</definedName>
    <definedName name="obbbbbj" localSheetId="18">'[2]List Data'!#REF!</definedName>
    <definedName name="obbbbbj" localSheetId="16">'[2]List Data'!#REF!</definedName>
    <definedName name="obbbbbj" localSheetId="8">'[2]List Data'!#REF!</definedName>
    <definedName name="obbbbbj" localSheetId="9">'[2]List Data'!#REF!</definedName>
    <definedName name="obbbbbj" localSheetId="31">'[2]List Data'!#REF!</definedName>
    <definedName name="obbbbbj" localSheetId="12">'[2]List Data'!#REF!</definedName>
    <definedName name="obbbbbj">'[2]List Data'!#REF!</definedName>
    <definedName name="obbbjj" localSheetId="30">'[2]List Data'!#REF!</definedName>
    <definedName name="obbbjj" localSheetId="29">'[2]List Data'!#REF!</definedName>
    <definedName name="obbbjj" localSheetId="21">'[2]List Data'!#REF!</definedName>
    <definedName name="obbbjj" localSheetId="20">'[2]List Data'!#REF!</definedName>
    <definedName name="obbbjj" localSheetId="19">'[2]List Data'!#REF!</definedName>
    <definedName name="obbbjj" localSheetId="18">'[2]List Data'!#REF!</definedName>
    <definedName name="obbbjj" localSheetId="16">'[2]List Data'!#REF!</definedName>
    <definedName name="obbbjj" localSheetId="8">'[2]List Data'!#REF!</definedName>
    <definedName name="obbbjj" localSheetId="9">'[2]List Data'!#REF!</definedName>
    <definedName name="obbbjj" localSheetId="31">'[2]List Data'!#REF!</definedName>
    <definedName name="obbbjj" localSheetId="12">'[2]List Data'!#REF!</definedName>
    <definedName name="obbbjj">'[2]List Data'!#REF!</definedName>
    <definedName name="obbbjjj" localSheetId="30">'[2]List Data'!#REF!</definedName>
    <definedName name="obbbjjj" localSheetId="29">'[2]List Data'!#REF!</definedName>
    <definedName name="obbbjjj" localSheetId="21">'[2]List Data'!#REF!</definedName>
    <definedName name="obbbjjj" localSheetId="20">'[2]List Data'!#REF!</definedName>
    <definedName name="obbbjjj" localSheetId="19">'[2]List Data'!#REF!</definedName>
    <definedName name="obbbjjj" localSheetId="18">'[2]List Data'!#REF!</definedName>
    <definedName name="obbbjjj" localSheetId="16">'[2]List Data'!#REF!</definedName>
    <definedName name="obbbjjj" localSheetId="8">'[2]List Data'!#REF!</definedName>
    <definedName name="obbbjjj" localSheetId="9">'[2]List Data'!#REF!</definedName>
    <definedName name="obbbjjj" localSheetId="31">'[2]List Data'!#REF!</definedName>
    <definedName name="obbbjjj" localSheetId="12">'[2]List Data'!#REF!</definedName>
    <definedName name="obbbjjj">'[2]List Data'!#REF!</definedName>
    <definedName name="obbj" localSheetId="30">'[2]List Data'!#REF!</definedName>
    <definedName name="obbj" localSheetId="29">'[2]List Data'!#REF!</definedName>
    <definedName name="obbj" localSheetId="21">'[2]List Data'!#REF!</definedName>
    <definedName name="obbj" localSheetId="20">'[2]List Data'!#REF!</definedName>
    <definedName name="obbj" localSheetId="19">'[2]List Data'!#REF!</definedName>
    <definedName name="obbj" localSheetId="18">'[2]List Data'!#REF!</definedName>
    <definedName name="obbj" localSheetId="16">'[2]List Data'!#REF!</definedName>
    <definedName name="obbj" localSheetId="8">'[2]List Data'!#REF!</definedName>
    <definedName name="obbj" localSheetId="9">'[2]List Data'!#REF!</definedName>
    <definedName name="obbj" localSheetId="31">'[2]List Data'!#REF!</definedName>
    <definedName name="obbj" localSheetId="12">'[2]List Data'!#REF!</definedName>
    <definedName name="obbj">'[2]List Data'!#REF!</definedName>
    <definedName name="obbjj" localSheetId="30">'[2]List Data'!#REF!</definedName>
    <definedName name="obbjj" localSheetId="29">'[2]List Data'!#REF!</definedName>
    <definedName name="obbjj" localSheetId="21">'[2]List Data'!#REF!</definedName>
    <definedName name="obbjj" localSheetId="20">'[2]List Data'!#REF!</definedName>
    <definedName name="obbjj" localSheetId="19">'[2]List Data'!#REF!</definedName>
    <definedName name="obbjj" localSheetId="18">'[2]List Data'!#REF!</definedName>
    <definedName name="obbjj" localSheetId="16">'[2]List Data'!#REF!</definedName>
    <definedName name="obbjj" localSheetId="8">'[2]List Data'!#REF!</definedName>
    <definedName name="obbjj" localSheetId="9">'[2]List Data'!#REF!</definedName>
    <definedName name="obbjj" localSheetId="31">'[2]List Data'!#REF!</definedName>
    <definedName name="obbjj" localSheetId="12">'[2]List Data'!#REF!</definedName>
    <definedName name="obbjj">'[2]List Data'!#REF!</definedName>
    <definedName name="obj" localSheetId="30">'[2]List Data'!#REF!</definedName>
    <definedName name="obj" localSheetId="29">'[2]List Data'!#REF!</definedName>
    <definedName name="obj" localSheetId="21">'[2]List Data'!#REF!</definedName>
    <definedName name="obj" localSheetId="20">'[2]List Data'!#REF!</definedName>
    <definedName name="obj" localSheetId="19">'[2]List Data'!#REF!</definedName>
    <definedName name="obj" localSheetId="18">'[2]List Data'!#REF!</definedName>
    <definedName name="obj" localSheetId="16">'[2]List Data'!#REF!</definedName>
    <definedName name="obj" localSheetId="8">'[2]List Data'!#REF!</definedName>
    <definedName name="obj" localSheetId="9">'[2]List Data'!#REF!</definedName>
    <definedName name="obj" localSheetId="31">'[2]List Data'!#REF!</definedName>
    <definedName name="obj" localSheetId="12">'[2]List Data'!#REF!</definedName>
    <definedName name="obj">'[2]List Data'!#REF!</definedName>
    <definedName name="Objective" localSheetId="30">'[2]List Data'!#REF!</definedName>
    <definedName name="Objective" localSheetId="4">'[3]List Data'!#REF!</definedName>
    <definedName name="Objective" localSheetId="29">'[2]List Data'!#REF!</definedName>
    <definedName name="Objective" localSheetId="17">'[3]List Data'!#REF!</definedName>
    <definedName name="Objective" localSheetId="23">'[3]List Data'!#REF!</definedName>
    <definedName name="Objective" localSheetId="27">'[3]List Data'!#REF!</definedName>
    <definedName name="Objective" localSheetId="21">'[2]List Data'!#REF!</definedName>
    <definedName name="Objective" localSheetId="20">'[2]List Data'!#REF!</definedName>
    <definedName name="Objective" localSheetId="19">'[2]List Data'!#REF!</definedName>
    <definedName name="Objective" localSheetId="18">'[2]List Data'!#REF!</definedName>
    <definedName name="Objective" localSheetId="28">'[3]List Data'!#REF!</definedName>
    <definedName name="Objective" localSheetId="22">'[3]List Data'!#REF!</definedName>
    <definedName name="Objective" localSheetId="16">'[2]List Data'!#REF!</definedName>
    <definedName name="Objective" localSheetId="8">'[2]List Data'!#REF!</definedName>
    <definedName name="Objective" localSheetId="9">'[2]List Data'!#REF!</definedName>
    <definedName name="Objective" localSheetId="3">'[3]List Data'!#REF!</definedName>
    <definedName name="Objective" localSheetId="26">'[3]List Data'!#REF!</definedName>
    <definedName name="Objective" localSheetId="31">'[2]List Data'!#REF!</definedName>
    <definedName name="Objective" localSheetId="6">'[3]List Data'!#REF!</definedName>
    <definedName name="Objective" localSheetId="12">'[2]List Data'!#REF!</definedName>
    <definedName name="Objective" localSheetId="25">'[3]List Data'!#REF!</definedName>
    <definedName name="Objective">'[2]List Data'!#REF!</definedName>
    <definedName name="objj" localSheetId="30">'[2]List Data'!#REF!</definedName>
    <definedName name="objj" localSheetId="29">'[2]List Data'!#REF!</definedName>
    <definedName name="objj" localSheetId="21">'[2]List Data'!#REF!</definedName>
    <definedName name="objj" localSheetId="20">'[2]List Data'!#REF!</definedName>
    <definedName name="objj" localSheetId="19">'[2]List Data'!#REF!</definedName>
    <definedName name="objj" localSheetId="18">'[2]List Data'!#REF!</definedName>
    <definedName name="objj" localSheetId="16">'[2]List Data'!#REF!</definedName>
    <definedName name="objj" localSheetId="8">'[2]List Data'!#REF!</definedName>
    <definedName name="objj" localSheetId="9">'[2]List Data'!#REF!</definedName>
    <definedName name="objj" localSheetId="31">'[2]List Data'!#REF!</definedName>
    <definedName name="objj" localSheetId="12">'[2]List Data'!#REF!</definedName>
    <definedName name="objj">'[2]List Data'!#REF!</definedName>
    <definedName name="oobbbjjj" localSheetId="30">'[2]List Data'!#REF!</definedName>
    <definedName name="oobbbjjj" localSheetId="29">'[2]List Data'!#REF!</definedName>
    <definedName name="oobbbjjj" localSheetId="21">'[2]List Data'!#REF!</definedName>
    <definedName name="oobbbjjj" localSheetId="20">'[2]List Data'!#REF!</definedName>
    <definedName name="oobbbjjj" localSheetId="19">'[2]List Data'!#REF!</definedName>
    <definedName name="oobbbjjj" localSheetId="18">'[2]List Data'!#REF!</definedName>
    <definedName name="oobbbjjj" localSheetId="16">'[2]List Data'!#REF!</definedName>
    <definedName name="oobbbjjj" localSheetId="8">'[2]List Data'!#REF!</definedName>
    <definedName name="oobbbjjj" localSheetId="9">'[2]List Data'!#REF!</definedName>
    <definedName name="oobbbjjj" localSheetId="31">'[2]List Data'!#REF!</definedName>
    <definedName name="oobbbjjj" localSheetId="12">'[2]List Data'!#REF!</definedName>
    <definedName name="oobbbjjj">'[2]List Data'!#REF!</definedName>
    <definedName name="ooobbbbjjj" localSheetId="30">'[2]List Data'!#REF!</definedName>
    <definedName name="ooobbbbjjj" localSheetId="29">'[2]List Data'!#REF!</definedName>
    <definedName name="ooobbbbjjj" localSheetId="21">'[2]List Data'!#REF!</definedName>
    <definedName name="ooobbbbjjj" localSheetId="20">'[2]List Data'!#REF!</definedName>
    <definedName name="ooobbbbjjj" localSheetId="19">'[2]List Data'!#REF!</definedName>
    <definedName name="ooobbbbjjj" localSheetId="18">'[2]List Data'!#REF!</definedName>
    <definedName name="ooobbbbjjj" localSheetId="16">'[2]List Data'!#REF!</definedName>
    <definedName name="ooobbbbjjj" localSheetId="8">'[2]List Data'!#REF!</definedName>
    <definedName name="ooobbbbjjj" localSheetId="9">'[2]List Data'!#REF!</definedName>
    <definedName name="ooobbbbjjj" localSheetId="31">'[2]List Data'!#REF!</definedName>
    <definedName name="ooobbbbjjj" localSheetId="12">'[2]List Data'!#REF!</definedName>
    <definedName name="ooobbbbjjj">'[2]List Data'!#REF!</definedName>
    <definedName name="ooobbbjjj" localSheetId="30">'[2]List Data'!#REF!</definedName>
    <definedName name="ooobbbjjj" localSheetId="29">'[2]List Data'!#REF!</definedName>
    <definedName name="ooobbbjjj" localSheetId="21">'[2]List Data'!#REF!</definedName>
    <definedName name="ooobbbjjj" localSheetId="20">'[2]List Data'!#REF!</definedName>
    <definedName name="ooobbbjjj" localSheetId="19">'[2]List Data'!#REF!</definedName>
    <definedName name="ooobbbjjj" localSheetId="18">'[2]List Data'!#REF!</definedName>
    <definedName name="ooobbbjjj" localSheetId="16">'[2]List Data'!#REF!</definedName>
    <definedName name="ooobbbjjj" localSheetId="8">'[2]List Data'!#REF!</definedName>
    <definedName name="ooobbbjjj" localSheetId="9">'[2]List Data'!#REF!</definedName>
    <definedName name="ooobbbjjj" localSheetId="31">'[2]List Data'!#REF!</definedName>
    <definedName name="ooobbbjjj" localSheetId="12">'[2]List Data'!#REF!</definedName>
    <definedName name="ooobbbjjj">'[2]List Data'!#REF!</definedName>
    <definedName name="ooobbbjjjj" localSheetId="30">'[2]List Data'!#REF!</definedName>
    <definedName name="ooobbbjjjj" localSheetId="29">'[2]List Data'!#REF!</definedName>
    <definedName name="ooobbbjjjj" localSheetId="21">'[2]List Data'!#REF!</definedName>
    <definedName name="ooobbbjjjj" localSheetId="20">'[2]List Data'!#REF!</definedName>
    <definedName name="ooobbbjjjj" localSheetId="19">'[2]List Data'!#REF!</definedName>
    <definedName name="ooobbbjjjj" localSheetId="18">'[2]List Data'!#REF!</definedName>
    <definedName name="ooobbbjjjj" localSheetId="16">'[2]List Data'!#REF!</definedName>
    <definedName name="ooobbbjjjj" localSheetId="8">'[2]List Data'!#REF!</definedName>
    <definedName name="ooobbbjjjj" localSheetId="9">'[2]List Data'!#REF!</definedName>
    <definedName name="ooobbbjjjj" localSheetId="31">'[2]List Data'!#REF!</definedName>
    <definedName name="ooobbbjjjj" localSheetId="12">'[2]List Data'!#REF!</definedName>
    <definedName name="ooobbbjjjj">'[2]List Data'!#REF!</definedName>
    <definedName name="ooobbjjjjj" localSheetId="30">'[2]List Data'!#REF!</definedName>
    <definedName name="ooobbjjjjj" localSheetId="29">'[2]List Data'!#REF!</definedName>
    <definedName name="ooobbjjjjj" localSheetId="21">'[2]List Data'!#REF!</definedName>
    <definedName name="ooobbjjjjj" localSheetId="20">'[2]List Data'!#REF!</definedName>
    <definedName name="ooobbjjjjj" localSheetId="19">'[2]List Data'!#REF!</definedName>
    <definedName name="ooobbjjjjj" localSheetId="18">'[2]List Data'!#REF!</definedName>
    <definedName name="ooobbjjjjj" localSheetId="16">'[2]List Data'!#REF!</definedName>
    <definedName name="ooobbjjjjj" localSheetId="8">'[2]List Data'!#REF!</definedName>
    <definedName name="ooobbjjjjj" localSheetId="9">'[2]List Data'!#REF!</definedName>
    <definedName name="ooobbjjjjj" localSheetId="31">'[2]List Data'!#REF!</definedName>
    <definedName name="ooobbjjjjj" localSheetId="12">'[2]List Data'!#REF!</definedName>
    <definedName name="ooobbjjjjj">'[2]List Data'!#REF!</definedName>
    <definedName name="oooobbbjjj" localSheetId="30">'[2]List Data'!#REF!</definedName>
    <definedName name="oooobbbjjj" localSheetId="29">'[2]List Data'!#REF!</definedName>
    <definedName name="oooobbbjjj" localSheetId="21">'[2]List Data'!#REF!</definedName>
    <definedName name="oooobbbjjj" localSheetId="20">'[2]List Data'!#REF!</definedName>
    <definedName name="oooobbbjjj" localSheetId="19">'[2]List Data'!#REF!</definedName>
    <definedName name="oooobbbjjj" localSheetId="18">'[2]List Data'!#REF!</definedName>
    <definedName name="oooobbbjjj" localSheetId="16">'[2]List Data'!#REF!</definedName>
    <definedName name="oooobbbjjj" localSheetId="8">'[2]List Data'!#REF!</definedName>
    <definedName name="oooobbbjjj" localSheetId="9">'[2]List Data'!#REF!</definedName>
    <definedName name="oooobbbjjj" localSheetId="31">'[2]List Data'!#REF!</definedName>
    <definedName name="oooobbbjjj" localSheetId="12">'[2]List Data'!#REF!</definedName>
    <definedName name="oooobbbjjj">'[2]List Data'!#REF!</definedName>
    <definedName name="_xlnm.Print_Area" localSheetId="30">#REF!,'Capacity Buttons'!#REF!,'Capacity Buttons'!#REF!,'Capacity Buttons'!#REF!,'Capacity Buttons'!#REF!,'Capacity Buttons'!#REF!,'Capacity Buttons'!#REF!,'Capacity Buttons'!#REF!</definedName>
    <definedName name="_xlnm.Print_Area" localSheetId="29">#REF!,'Caseload Buttons'!#REF!,'Caseload Buttons'!#REF!,'Caseload Buttons'!#REF!,'Caseload Buttons'!#REF!,'Caseload Buttons'!#REF!,'Caseload Buttons'!#REF!,'Caseload Buttons'!#REF!</definedName>
    <definedName name="_xlnm.Print_Area" localSheetId="28">'div &amp; regional reduction hours'!$B$1:$N$18</definedName>
    <definedName name="_xlnm.Print_Area" localSheetId="22">'divisional &amp; regional capacity'!$B$1:$F$17</definedName>
    <definedName name="_xlnm.Print_Area" localSheetId="0">home!$A$1:$Q$28</definedName>
    <definedName name="_xlnm.Print_Area" localSheetId="31">#REF!,'Reductions Buttons'!#REF!,'Reductions Buttons'!#REF!,'Reductions Buttons'!#REF!,'Reductions Buttons'!#REF!,'Reductions Buttons'!#REF!,'Reductions Buttons'!#REF!,'Reductions Buttons'!#REF!</definedName>
    <definedName name="QtrRange" localSheetId="30">#REF!</definedName>
    <definedName name="QtrRange" localSheetId="4">#REF!</definedName>
    <definedName name="QtrRange" localSheetId="29">#REF!</definedName>
    <definedName name="QtrRange" localSheetId="17">#REF!</definedName>
    <definedName name="QtrRange" localSheetId="23">#REF!</definedName>
    <definedName name="QtrRange" localSheetId="27">#REF!</definedName>
    <definedName name="QtrRange" localSheetId="21">#REF!</definedName>
    <definedName name="QtrRange" localSheetId="20">#REF!</definedName>
    <definedName name="QtrRange" localSheetId="19">#REF!</definedName>
    <definedName name="QtrRange" localSheetId="18">#REF!</definedName>
    <definedName name="QtrRange" localSheetId="28">#REF!</definedName>
    <definedName name="QtrRange" localSheetId="22">#REF!</definedName>
    <definedName name="QtrRange" localSheetId="16">#REF!</definedName>
    <definedName name="QtrRange" localSheetId="8">#REF!</definedName>
    <definedName name="QtrRange" localSheetId="9">#REF!</definedName>
    <definedName name="QtrRange" localSheetId="3">#REF!</definedName>
    <definedName name="QtrRange" localSheetId="26">#REF!</definedName>
    <definedName name="QtrRange" localSheetId="31">#REF!</definedName>
    <definedName name="QtrRange" localSheetId="6">#REF!</definedName>
    <definedName name="QtrRange" localSheetId="12">#REF!</definedName>
    <definedName name="QtrRange" localSheetId="25">#REF!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30">#REF!</definedName>
    <definedName name="Selection_LDUCluster" localSheetId="4">#REF!</definedName>
    <definedName name="Selection_LDUCluster" localSheetId="29">#REF!</definedName>
    <definedName name="Selection_LDUCluster" localSheetId="17">#REF!</definedName>
    <definedName name="Selection_LDUCluster" localSheetId="23">#REF!</definedName>
    <definedName name="Selection_LDUCluster" localSheetId="27">#REF!</definedName>
    <definedName name="Selection_LDUCluster" localSheetId="21">#REF!</definedName>
    <definedName name="Selection_LDUCluster" localSheetId="20">#REF!</definedName>
    <definedName name="Selection_LDUCluster" localSheetId="19">#REF!</definedName>
    <definedName name="Selection_LDUCluster" localSheetId="18">#REF!</definedName>
    <definedName name="Selection_LDUCluster" localSheetId="28">#REF!</definedName>
    <definedName name="Selection_LDUCluster" localSheetId="22">#REF!</definedName>
    <definedName name="Selection_LDUCluster" localSheetId="16">#REF!</definedName>
    <definedName name="Selection_LDUCluster" localSheetId="8">#REF!</definedName>
    <definedName name="Selection_LDUCluster" localSheetId="9">#REF!</definedName>
    <definedName name="Selection_LDUCluster" localSheetId="3">#REF!</definedName>
    <definedName name="Selection_LDUCluster" localSheetId="26">#REF!</definedName>
    <definedName name="Selection_LDUCluster" localSheetId="31">#REF!</definedName>
    <definedName name="Selection_LDUCluster" localSheetId="6">#REF!</definedName>
    <definedName name="Selection_LDUCluster" localSheetId="12">#REF!</definedName>
    <definedName name="Selection_LDUCluster" localSheetId="25">#REF!</definedName>
    <definedName name="Selection_LDUCluster">#REF!</definedName>
    <definedName name="Selection_Metric" localSheetId="30">#REF!</definedName>
    <definedName name="Selection_Metric" localSheetId="4">#REF!</definedName>
    <definedName name="Selection_Metric" localSheetId="29">#REF!</definedName>
    <definedName name="Selection_Metric" localSheetId="17">#REF!</definedName>
    <definedName name="Selection_Metric" localSheetId="23">#REF!</definedName>
    <definedName name="Selection_Metric" localSheetId="27">#REF!</definedName>
    <definedName name="Selection_Metric" localSheetId="21">#REF!</definedName>
    <definedName name="Selection_Metric" localSheetId="20">#REF!</definedName>
    <definedName name="Selection_Metric" localSheetId="19">#REF!</definedName>
    <definedName name="Selection_Metric" localSheetId="18">#REF!</definedName>
    <definedName name="Selection_Metric" localSheetId="28">#REF!</definedName>
    <definedName name="Selection_Metric" localSheetId="22">#REF!</definedName>
    <definedName name="Selection_Metric" localSheetId="16">#REF!</definedName>
    <definedName name="Selection_Metric" localSheetId="8">#REF!</definedName>
    <definedName name="Selection_Metric" localSheetId="9">#REF!</definedName>
    <definedName name="Selection_Metric" localSheetId="3">#REF!</definedName>
    <definedName name="Selection_Metric" localSheetId="26">#REF!</definedName>
    <definedName name="Selection_Metric" localSheetId="31">#REF!</definedName>
    <definedName name="Selection_Metric" localSheetId="6">#REF!</definedName>
    <definedName name="Selection_Metric" localSheetId="12">#REF!</definedName>
    <definedName name="Selection_Metric" localSheetId="25">#REF!</definedName>
    <definedName name="Selection_Metric">#REF!</definedName>
    <definedName name="SL001Month" localSheetId="30">#REF!</definedName>
    <definedName name="SL001Month" localSheetId="4">#REF!</definedName>
    <definedName name="SL001Month" localSheetId="29">#REF!</definedName>
    <definedName name="SL001Month" localSheetId="17">#REF!</definedName>
    <definedName name="SL001Month" localSheetId="23">#REF!</definedName>
    <definedName name="SL001Month" localSheetId="27">#REF!</definedName>
    <definedName name="SL001Month" localSheetId="21">#REF!</definedName>
    <definedName name="SL001Month" localSheetId="20">#REF!</definedName>
    <definedName name="SL001Month" localSheetId="19">#REF!</definedName>
    <definedName name="SL001Month" localSheetId="18">#REF!</definedName>
    <definedName name="SL001Month" localSheetId="28">#REF!</definedName>
    <definedName name="SL001Month" localSheetId="22">#REF!</definedName>
    <definedName name="SL001Month" localSheetId="16">#REF!</definedName>
    <definedName name="SL001Month" localSheetId="8">#REF!</definedName>
    <definedName name="SL001Month" localSheetId="9">#REF!</definedName>
    <definedName name="SL001Month" localSheetId="3">#REF!</definedName>
    <definedName name="SL001Month" localSheetId="26">#REF!</definedName>
    <definedName name="SL001Month" localSheetId="31">#REF!</definedName>
    <definedName name="SL001Month" localSheetId="6">#REF!</definedName>
    <definedName name="SL001Month" localSheetId="12">#REF!</definedName>
    <definedName name="SL001Month" localSheetId="25">#REF!</definedName>
    <definedName name="SL001Month">#REF!</definedName>
    <definedName name="SL001Text" localSheetId="30">#REF!</definedName>
    <definedName name="SL001Text" localSheetId="4">#REF!</definedName>
    <definedName name="SL001Text" localSheetId="29">#REF!</definedName>
    <definedName name="SL001Text" localSheetId="17">#REF!</definedName>
    <definedName name="SL001Text" localSheetId="23">#REF!</definedName>
    <definedName name="SL001Text" localSheetId="27">#REF!</definedName>
    <definedName name="SL001Text" localSheetId="21">#REF!</definedName>
    <definedName name="SL001Text" localSheetId="20">#REF!</definedName>
    <definedName name="SL001Text" localSheetId="19">#REF!</definedName>
    <definedName name="SL001Text" localSheetId="18">#REF!</definedName>
    <definedName name="SL001Text" localSheetId="28">#REF!</definedName>
    <definedName name="SL001Text" localSheetId="22">#REF!</definedName>
    <definedName name="SL001Text" localSheetId="16">#REF!</definedName>
    <definedName name="SL001Text" localSheetId="8">#REF!</definedName>
    <definedName name="SL001Text" localSheetId="9">#REF!</definedName>
    <definedName name="SL001Text" localSheetId="3">#REF!</definedName>
    <definedName name="SL001Text" localSheetId="26">#REF!</definedName>
    <definedName name="SL001Text" localSheetId="31">#REF!</definedName>
    <definedName name="SL001Text" localSheetId="6">#REF!</definedName>
    <definedName name="SL001Text" localSheetId="12">#REF!</definedName>
    <definedName name="SL001Text" localSheetId="25">#REF!</definedName>
    <definedName name="SL001Text">#REF!</definedName>
    <definedName name="SL001Title" localSheetId="30">#REF!</definedName>
    <definedName name="SL001Title" localSheetId="4">#REF!</definedName>
    <definedName name="SL001Title" localSheetId="29">#REF!</definedName>
    <definedName name="SL001Title" localSheetId="17">#REF!</definedName>
    <definedName name="SL001Title" localSheetId="23">#REF!</definedName>
    <definedName name="SL001Title" localSheetId="27">#REF!</definedName>
    <definedName name="SL001Title" localSheetId="21">#REF!</definedName>
    <definedName name="SL001Title" localSheetId="20">#REF!</definedName>
    <definedName name="SL001Title" localSheetId="19">#REF!</definedName>
    <definedName name="SL001Title" localSheetId="18">#REF!</definedName>
    <definedName name="SL001Title" localSheetId="28">#REF!</definedName>
    <definedName name="SL001Title" localSheetId="22">#REF!</definedName>
    <definedName name="SL001Title" localSheetId="16">#REF!</definedName>
    <definedName name="SL001Title" localSheetId="8">#REF!</definedName>
    <definedName name="SL001Title" localSheetId="9">#REF!</definedName>
    <definedName name="SL001Title" localSheetId="3">#REF!</definedName>
    <definedName name="SL001Title" localSheetId="26">#REF!</definedName>
    <definedName name="SL001Title" localSheetId="31">#REF!</definedName>
    <definedName name="SL001Title" localSheetId="6">#REF!</definedName>
    <definedName name="SL001Title" localSheetId="12">#REF!</definedName>
    <definedName name="SL001Title" localSheetId="25">#REF!</definedName>
    <definedName name="SL001Title">#REF!</definedName>
    <definedName name="SL001YTD" localSheetId="30">#REF!</definedName>
    <definedName name="SL001YTD" localSheetId="4">#REF!</definedName>
    <definedName name="SL001YTD" localSheetId="29">#REF!</definedName>
    <definedName name="SL001YTD" localSheetId="17">#REF!</definedName>
    <definedName name="SL001YTD" localSheetId="23">#REF!</definedName>
    <definedName name="SL001YTD" localSheetId="27">#REF!</definedName>
    <definedName name="SL001YTD" localSheetId="21">#REF!</definedName>
    <definedName name="SL001YTD" localSheetId="20">#REF!</definedName>
    <definedName name="SL001YTD" localSheetId="19">#REF!</definedName>
    <definedName name="SL001YTD" localSheetId="18">#REF!</definedName>
    <definedName name="SL001YTD" localSheetId="28">#REF!</definedName>
    <definedName name="SL001YTD" localSheetId="22">#REF!</definedName>
    <definedName name="SL001YTD" localSheetId="16">#REF!</definedName>
    <definedName name="SL001YTD" localSheetId="8">#REF!</definedName>
    <definedName name="SL001YTD" localSheetId="9">#REF!</definedName>
    <definedName name="SL001YTD" localSheetId="3">#REF!</definedName>
    <definedName name="SL001YTD" localSheetId="26">#REF!</definedName>
    <definedName name="SL001YTD" localSheetId="31">#REF!</definedName>
    <definedName name="SL001YTD" localSheetId="6">#REF!</definedName>
    <definedName name="SL001YTD" localSheetId="12">#REF!</definedName>
    <definedName name="SL001YTD" localSheetId="25">#REF!</definedName>
    <definedName name="SL001YTD">#REF!</definedName>
    <definedName name="SL002AMonth" localSheetId="30">#REF!</definedName>
    <definedName name="SL002AMonth" localSheetId="4">#REF!</definedName>
    <definedName name="SL002AMonth" localSheetId="29">#REF!</definedName>
    <definedName name="SL002AMonth" localSheetId="17">#REF!</definedName>
    <definedName name="SL002AMonth" localSheetId="23">#REF!</definedName>
    <definedName name="SL002AMonth" localSheetId="27">#REF!</definedName>
    <definedName name="SL002AMonth" localSheetId="21">#REF!</definedName>
    <definedName name="SL002AMonth" localSheetId="20">#REF!</definedName>
    <definedName name="SL002AMonth" localSheetId="19">#REF!</definedName>
    <definedName name="SL002AMonth" localSheetId="18">#REF!</definedName>
    <definedName name="SL002AMonth" localSheetId="28">#REF!</definedName>
    <definedName name="SL002AMonth" localSheetId="22">#REF!</definedName>
    <definedName name="SL002AMonth" localSheetId="16">#REF!</definedName>
    <definedName name="SL002AMonth" localSheetId="8">#REF!</definedName>
    <definedName name="SL002AMonth" localSheetId="9">#REF!</definedName>
    <definedName name="SL002AMonth" localSheetId="3">#REF!</definedName>
    <definedName name="SL002AMonth" localSheetId="26">#REF!</definedName>
    <definedName name="SL002AMonth" localSheetId="31">#REF!</definedName>
    <definedName name="SL002AMonth" localSheetId="6">#REF!</definedName>
    <definedName name="SL002AMonth" localSheetId="12">#REF!</definedName>
    <definedName name="SL002AMonth" localSheetId="25">#REF!</definedName>
    <definedName name="SL002AMonth">#REF!</definedName>
    <definedName name="SL002AText" localSheetId="30">#REF!</definedName>
    <definedName name="SL002AText" localSheetId="4">#REF!</definedName>
    <definedName name="SL002AText" localSheetId="29">#REF!</definedName>
    <definedName name="SL002AText" localSheetId="17">#REF!</definedName>
    <definedName name="SL002AText" localSheetId="23">#REF!</definedName>
    <definedName name="SL002AText" localSheetId="27">#REF!</definedName>
    <definedName name="SL002AText" localSheetId="21">#REF!</definedName>
    <definedName name="SL002AText" localSheetId="20">#REF!</definedName>
    <definedName name="SL002AText" localSheetId="19">#REF!</definedName>
    <definedName name="SL002AText" localSheetId="18">#REF!</definedName>
    <definedName name="SL002AText" localSheetId="28">#REF!</definedName>
    <definedName name="SL002AText" localSheetId="22">#REF!</definedName>
    <definedName name="SL002AText" localSheetId="16">#REF!</definedName>
    <definedName name="SL002AText" localSheetId="8">#REF!</definedName>
    <definedName name="SL002AText" localSheetId="9">#REF!</definedName>
    <definedName name="SL002AText" localSheetId="3">#REF!</definedName>
    <definedName name="SL002AText" localSheetId="26">#REF!</definedName>
    <definedName name="SL002AText" localSheetId="31">#REF!</definedName>
    <definedName name="SL002AText" localSheetId="6">#REF!</definedName>
    <definedName name="SL002AText" localSheetId="12">#REF!</definedName>
    <definedName name="SL002AText" localSheetId="25">#REF!</definedName>
    <definedName name="SL002AText">#REF!</definedName>
    <definedName name="SL002ATitle" localSheetId="30">#REF!</definedName>
    <definedName name="SL002ATitle" localSheetId="4">#REF!</definedName>
    <definedName name="SL002ATitle" localSheetId="29">#REF!</definedName>
    <definedName name="SL002ATitle" localSheetId="17">#REF!</definedName>
    <definedName name="SL002ATitle" localSheetId="23">#REF!</definedName>
    <definedName name="SL002ATitle" localSheetId="27">#REF!</definedName>
    <definedName name="SL002ATitle" localSheetId="21">#REF!</definedName>
    <definedName name="SL002ATitle" localSheetId="20">#REF!</definedName>
    <definedName name="SL002ATitle" localSheetId="19">#REF!</definedName>
    <definedName name="SL002ATitle" localSheetId="18">#REF!</definedName>
    <definedName name="SL002ATitle" localSheetId="28">#REF!</definedName>
    <definedName name="SL002ATitle" localSheetId="22">#REF!</definedName>
    <definedName name="SL002ATitle" localSheetId="16">#REF!</definedName>
    <definedName name="SL002ATitle" localSheetId="8">#REF!</definedName>
    <definedName name="SL002ATitle" localSheetId="9">#REF!</definedName>
    <definedName name="SL002ATitle" localSheetId="3">#REF!</definedName>
    <definedName name="SL002ATitle" localSheetId="26">#REF!</definedName>
    <definedName name="SL002ATitle" localSheetId="31">#REF!</definedName>
    <definedName name="SL002ATitle" localSheetId="6">#REF!</definedName>
    <definedName name="SL002ATitle" localSheetId="12">#REF!</definedName>
    <definedName name="SL002ATitle" localSheetId="25">#REF!</definedName>
    <definedName name="SL002ATitle">#REF!</definedName>
    <definedName name="SL002AYTD" localSheetId="30">#REF!</definedName>
    <definedName name="SL002AYTD" localSheetId="4">#REF!</definedName>
    <definedName name="SL002AYTD" localSheetId="29">#REF!</definedName>
    <definedName name="SL002AYTD" localSheetId="17">#REF!</definedName>
    <definedName name="SL002AYTD" localSheetId="23">#REF!</definedName>
    <definedName name="SL002AYTD" localSheetId="27">#REF!</definedName>
    <definedName name="SL002AYTD" localSheetId="21">#REF!</definedName>
    <definedName name="SL002AYTD" localSheetId="20">#REF!</definedName>
    <definedName name="SL002AYTD" localSheetId="19">#REF!</definedName>
    <definedName name="SL002AYTD" localSheetId="18">#REF!</definedName>
    <definedName name="SL002AYTD" localSheetId="28">#REF!</definedName>
    <definedName name="SL002AYTD" localSheetId="22">#REF!</definedName>
    <definedName name="SL002AYTD" localSheetId="16">#REF!</definedName>
    <definedName name="SL002AYTD" localSheetId="8">#REF!</definedName>
    <definedName name="SL002AYTD" localSheetId="9">#REF!</definedName>
    <definedName name="SL002AYTD" localSheetId="3">#REF!</definedName>
    <definedName name="SL002AYTD" localSheetId="26">#REF!</definedName>
    <definedName name="SL002AYTD" localSheetId="31">#REF!</definedName>
    <definedName name="SL002AYTD" localSheetId="6">#REF!</definedName>
    <definedName name="SL002AYTD" localSheetId="12">#REF!</definedName>
    <definedName name="SL002AYTD" localSheetId="25">#REF!</definedName>
    <definedName name="SL002AYTD">#REF!</definedName>
    <definedName name="SL002BMonth" localSheetId="30">#REF!</definedName>
    <definedName name="SL002BMonth" localSheetId="4">#REF!</definedName>
    <definedName name="SL002BMonth" localSheetId="29">#REF!</definedName>
    <definedName name="SL002BMonth" localSheetId="17">#REF!</definedName>
    <definedName name="SL002BMonth" localSheetId="23">#REF!</definedName>
    <definedName name="SL002BMonth" localSheetId="27">#REF!</definedName>
    <definedName name="SL002BMonth" localSheetId="21">#REF!</definedName>
    <definedName name="SL002BMonth" localSheetId="20">#REF!</definedName>
    <definedName name="SL002BMonth" localSheetId="19">#REF!</definedName>
    <definedName name="SL002BMonth" localSheetId="18">#REF!</definedName>
    <definedName name="SL002BMonth" localSheetId="28">#REF!</definedName>
    <definedName name="SL002BMonth" localSheetId="22">#REF!</definedName>
    <definedName name="SL002BMonth" localSheetId="16">#REF!</definedName>
    <definedName name="SL002BMonth" localSheetId="8">#REF!</definedName>
    <definedName name="SL002BMonth" localSheetId="9">#REF!</definedName>
    <definedName name="SL002BMonth" localSheetId="3">#REF!</definedName>
    <definedName name="SL002BMonth" localSheetId="26">#REF!</definedName>
    <definedName name="SL002BMonth" localSheetId="31">#REF!</definedName>
    <definedName name="SL002BMonth" localSheetId="6">#REF!</definedName>
    <definedName name="SL002BMonth" localSheetId="12">#REF!</definedName>
    <definedName name="SL002BMonth" localSheetId="25">#REF!</definedName>
    <definedName name="SL002BMonth">#REF!</definedName>
    <definedName name="SL002BText" localSheetId="30">#REF!</definedName>
    <definedName name="SL002BText" localSheetId="4">#REF!</definedName>
    <definedName name="SL002BText" localSheetId="29">#REF!</definedName>
    <definedName name="SL002BText" localSheetId="17">#REF!</definedName>
    <definedName name="SL002BText" localSheetId="23">#REF!</definedName>
    <definedName name="SL002BText" localSheetId="27">#REF!</definedName>
    <definedName name="SL002BText" localSheetId="21">#REF!</definedName>
    <definedName name="SL002BText" localSheetId="20">#REF!</definedName>
    <definedName name="SL002BText" localSheetId="19">#REF!</definedName>
    <definedName name="SL002BText" localSheetId="18">#REF!</definedName>
    <definedName name="SL002BText" localSheetId="28">#REF!</definedName>
    <definedName name="SL002BText" localSheetId="22">#REF!</definedName>
    <definedName name="SL002BText" localSheetId="16">#REF!</definedName>
    <definedName name="SL002BText" localSheetId="8">#REF!</definedName>
    <definedName name="SL002BText" localSheetId="9">#REF!</definedName>
    <definedName name="SL002BText" localSheetId="3">#REF!</definedName>
    <definedName name="SL002BText" localSheetId="26">#REF!</definedName>
    <definedName name="SL002BText" localSheetId="31">#REF!</definedName>
    <definedName name="SL002BText" localSheetId="6">#REF!</definedName>
    <definedName name="SL002BText" localSheetId="12">#REF!</definedName>
    <definedName name="SL002BText" localSheetId="25">#REF!</definedName>
    <definedName name="SL002BText">#REF!</definedName>
    <definedName name="SL002BTitle" localSheetId="30">#REF!</definedName>
    <definedName name="SL002BTitle" localSheetId="4">#REF!</definedName>
    <definedName name="SL002BTitle" localSheetId="29">#REF!</definedName>
    <definedName name="SL002BTitle" localSheetId="17">#REF!</definedName>
    <definedName name="SL002BTitle" localSheetId="23">#REF!</definedName>
    <definedName name="SL002BTitle" localSheetId="27">#REF!</definedName>
    <definedName name="SL002BTitle" localSheetId="21">#REF!</definedName>
    <definedName name="SL002BTitle" localSheetId="20">#REF!</definedName>
    <definedName name="SL002BTitle" localSheetId="19">#REF!</definedName>
    <definedName name="SL002BTitle" localSheetId="18">#REF!</definedName>
    <definedName name="SL002BTitle" localSheetId="28">#REF!</definedName>
    <definedName name="SL002BTitle" localSheetId="22">#REF!</definedName>
    <definedName name="SL002BTitle" localSheetId="16">#REF!</definedName>
    <definedName name="SL002BTitle" localSheetId="8">#REF!</definedName>
    <definedName name="SL002BTitle" localSheetId="9">#REF!</definedName>
    <definedName name="SL002BTitle" localSheetId="3">#REF!</definedName>
    <definedName name="SL002BTitle" localSheetId="26">#REF!</definedName>
    <definedName name="SL002BTitle" localSheetId="31">#REF!</definedName>
    <definedName name="SL002BTitle" localSheetId="6">#REF!</definedName>
    <definedName name="SL002BTitle" localSheetId="12">#REF!</definedName>
    <definedName name="SL002BTitle" localSheetId="25">#REF!</definedName>
    <definedName name="SL002BTitle">#REF!</definedName>
    <definedName name="SL002BYTD" localSheetId="30">#REF!</definedName>
    <definedName name="SL002BYTD" localSheetId="4">#REF!</definedName>
    <definedName name="SL002BYTD" localSheetId="29">#REF!</definedName>
    <definedName name="SL002BYTD" localSheetId="17">#REF!</definedName>
    <definedName name="SL002BYTD" localSheetId="23">#REF!</definedName>
    <definedName name="SL002BYTD" localSheetId="27">#REF!</definedName>
    <definedName name="SL002BYTD" localSheetId="21">#REF!</definedName>
    <definedName name="SL002BYTD" localSheetId="20">#REF!</definedName>
    <definedName name="SL002BYTD" localSheetId="19">#REF!</definedName>
    <definedName name="SL002BYTD" localSheetId="18">#REF!</definedName>
    <definedName name="SL002BYTD" localSheetId="28">#REF!</definedName>
    <definedName name="SL002BYTD" localSheetId="22">#REF!</definedName>
    <definedName name="SL002BYTD" localSheetId="16">#REF!</definedName>
    <definedName name="SL002BYTD" localSheetId="8">#REF!</definedName>
    <definedName name="SL002BYTD" localSheetId="9">#REF!</definedName>
    <definedName name="SL002BYTD" localSheetId="3">#REF!</definedName>
    <definedName name="SL002BYTD" localSheetId="26">#REF!</definedName>
    <definedName name="SL002BYTD" localSheetId="31">#REF!</definedName>
    <definedName name="SL002BYTD" localSheetId="6">#REF!</definedName>
    <definedName name="SL002BYTD" localSheetId="12">#REF!</definedName>
    <definedName name="SL002BYTD" localSheetId="25">#REF!</definedName>
    <definedName name="SL002BYTD">#REF!</definedName>
    <definedName name="SL002Month" localSheetId="30">#REF!</definedName>
    <definedName name="SL002Month" localSheetId="4">#REF!</definedName>
    <definedName name="SL002Month" localSheetId="29">#REF!</definedName>
    <definedName name="SL002Month" localSheetId="17">#REF!</definedName>
    <definedName name="SL002Month" localSheetId="23">#REF!</definedName>
    <definedName name="SL002Month" localSheetId="27">#REF!</definedName>
    <definedName name="SL002Month" localSheetId="21">#REF!</definedName>
    <definedName name="SL002Month" localSheetId="20">#REF!</definedName>
    <definedName name="SL002Month" localSheetId="19">#REF!</definedName>
    <definedName name="SL002Month" localSheetId="18">#REF!</definedName>
    <definedName name="SL002Month" localSheetId="28">#REF!</definedName>
    <definedName name="SL002Month" localSheetId="22">#REF!</definedName>
    <definedName name="SL002Month" localSheetId="16">#REF!</definedName>
    <definedName name="SL002Month" localSheetId="8">#REF!</definedName>
    <definedName name="SL002Month" localSheetId="9">#REF!</definedName>
    <definedName name="SL002Month" localSheetId="3">#REF!</definedName>
    <definedName name="SL002Month" localSheetId="26">#REF!</definedName>
    <definedName name="SL002Month" localSheetId="31">#REF!</definedName>
    <definedName name="SL002Month" localSheetId="6">#REF!</definedName>
    <definedName name="SL002Month" localSheetId="12">#REF!</definedName>
    <definedName name="SL002Month" localSheetId="25">#REF!</definedName>
    <definedName name="SL002Month">#REF!</definedName>
    <definedName name="SL002Text" localSheetId="30">#REF!</definedName>
    <definedName name="SL002Text" localSheetId="4">#REF!</definedName>
    <definedName name="SL002Text" localSheetId="29">#REF!</definedName>
    <definedName name="SL002Text" localSheetId="17">#REF!</definedName>
    <definedName name="SL002Text" localSheetId="23">#REF!</definedName>
    <definedName name="SL002Text" localSheetId="27">#REF!</definedName>
    <definedName name="SL002Text" localSheetId="21">#REF!</definedName>
    <definedName name="SL002Text" localSheetId="20">#REF!</definedName>
    <definedName name="SL002Text" localSheetId="19">#REF!</definedName>
    <definedName name="SL002Text" localSheetId="18">#REF!</definedName>
    <definedName name="SL002Text" localSheetId="28">#REF!</definedName>
    <definedName name="SL002Text" localSheetId="22">#REF!</definedName>
    <definedName name="SL002Text" localSheetId="16">#REF!</definedName>
    <definedName name="SL002Text" localSheetId="8">#REF!</definedName>
    <definedName name="SL002Text" localSheetId="9">#REF!</definedName>
    <definedName name="SL002Text" localSheetId="3">#REF!</definedName>
    <definedName name="SL002Text" localSheetId="26">#REF!</definedName>
    <definedName name="SL002Text" localSheetId="31">#REF!</definedName>
    <definedName name="SL002Text" localSheetId="6">#REF!</definedName>
    <definedName name="SL002Text" localSheetId="12">#REF!</definedName>
    <definedName name="SL002Text" localSheetId="25">#REF!</definedName>
    <definedName name="SL002Text">#REF!</definedName>
    <definedName name="SL002Title" localSheetId="30">#REF!</definedName>
    <definedName name="SL002Title" localSheetId="4">#REF!</definedName>
    <definedName name="SL002Title" localSheetId="29">#REF!</definedName>
    <definedName name="SL002Title" localSheetId="17">#REF!</definedName>
    <definedName name="SL002Title" localSheetId="23">#REF!</definedName>
    <definedName name="SL002Title" localSheetId="27">#REF!</definedName>
    <definedName name="SL002Title" localSheetId="21">#REF!</definedName>
    <definedName name="SL002Title" localSheetId="20">#REF!</definedName>
    <definedName name="SL002Title" localSheetId="19">#REF!</definedName>
    <definedName name="SL002Title" localSheetId="18">#REF!</definedName>
    <definedName name="SL002Title" localSheetId="28">#REF!</definedName>
    <definedName name="SL002Title" localSheetId="22">#REF!</definedName>
    <definedName name="SL002Title" localSheetId="16">#REF!</definedName>
    <definedName name="SL002Title" localSheetId="8">#REF!</definedName>
    <definedName name="SL002Title" localSheetId="9">#REF!</definedName>
    <definedName name="SL002Title" localSheetId="3">#REF!</definedName>
    <definedName name="SL002Title" localSheetId="26">#REF!</definedName>
    <definedName name="SL002Title" localSheetId="31">#REF!</definedName>
    <definedName name="SL002Title" localSheetId="6">#REF!</definedName>
    <definedName name="SL002Title" localSheetId="12">#REF!</definedName>
    <definedName name="SL002Title" localSheetId="25">#REF!</definedName>
    <definedName name="SL002Title">#REF!</definedName>
    <definedName name="SL002YTD" localSheetId="30">#REF!</definedName>
    <definedName name="SL002YTD" localSheetId="4">#REF!</definedName>
    <definedName name="SL002YTD" localSheetId="29">#REF!</definedName>
    <definedName name="SL002YTD" localSheetId="17">#REF!</definedName>
    <definedName name="SL002YTD" localSheetId="23">#REF!</definedName>
    <definedName name="SL002YTD" localSheetId="27">#REF!</definedName>
    <definedName name="SL002YTD" localSheetId="21">#REF!</definedName>
    <definedName name="SL002YTD" localSheetId="20">#REF!</definedName>
    <definedName name="SL002YTD" localSheetId="19">#REF!</definedName>
    <definedName name="SL002YTD" localSheetId="18">#REF!</definedName>
    <definedName name="SL002YTD" localSheetId="28">#REF!</definedName>
    <definedName name="SL002YTD" localSheetId="22">#REF!</definedName>
    <definedName name="SL002YTD" localSheetId="16">#REF!</definedName>
    <definedName name="SL002YTD" localSheetId="8">#REF!</definedName>
    <definedName name="SL002YTD" localSheetId="9">#REF!</definedName>
    <definedName name="SL002YTD" localSheetId="3">#REF!</definedName>
    <definedName name="SL002YTD" localSheetId="26">#REF!</definedName>
    <definedName name="SL002YTD" localSheetId="31">#REF!</definedName>
    <definedName name="SL002YTD" localSheetId="6">#REF!</definedName>
    <definedName name="SL002YTD" localSheetId="12">#REF!</definedName>
    <definedName name="SL002YTD" localSheetId="25">#REF!</definedName>
    <definedName name="SL002YTD">#REF!</definedName>
    <definedName name="SL003Month" localSheetId="30">#REF!</definedName>
    <definedName name="SL003Month" localSheetId="4">#REF!</definedName>
    <definedName name="SL003Month" localSheetId="29">#REF!</definedName>
    <definedName name="SL003Month" localSheetId="17">#REF!</definedName>
    <definedName name="SL003Month" localSheetId="23">#REF!</definedName>
    <definedName name="SL003Month" localSheetId="27">#REF!</definedName>
    <definedName name="SL003Month" localSheetId="21">#REF!</definedName>
    <definedName name="SL003Month" localSheetId="20">#REF!</definedName>
    <definedName name="SL003Month" localSheetId="19">#REF!</definedName>
    <definedName name="SL003Month" localSheetId="18">#REF!</definedName>
    <definedName name="SL003Month" localSheetId="28">#REF!</definedName>
    <definedName name="SL003Month" localSheetId="22">#REF!</definedName>
    <definedName name="SL003Month" localSheetId="16">#REF!</definedName>
    <definedName name="SL003Month" localSheetId="8">#REF!</definedName>
    <definedName name="SL003Month" localSheetId="9">#REF!</definedName>
    <definedName name="SL003Month" localSheetId="3">#REF!</definedName>
    <definedName name="SL003Month" localSheetId="26">#REF!</definedName>
    <definedName name="SL003Month" localSheetId="31">#REF!</definedName>
    <definedName name="SL003Month" localSheetId="6">#REF!</definedName>
    <definedName name="SL003Month" localSheetId="12">#REF!</definedName>
    <definedName name="SL003Month" localSheetId="25">#REF!</definedName>
    <definedName name="SL003Month">#REF!</definedName>
    <definedName name="SL003Text" localSheetId="30">#REF!</definedName>
    <definedName name="SL003Text" localSheetId="4">#REF!</definedName>
    <definedName name="SL003Text" localSheetId="29">#REF!</definedName>
    <definedName name="SL003Text" localSheetId="17">#REF!</definedName>
    <definedName name="SL003Text" localSheetId="23">#REF!</definedName>
    <definedName name="SL003Text" localSheetId="27">#REF!</definedName>
    <definedName name="SL003Text" localSheetId="21">#REF!</definedName>
    <definedName name="SL003Text" localSheetId="20">#REF!</definedName>
    <definedName name="SL003Text" localSheetId="19">#REF!</definedName>
    <definedName name="SL003Text" localSheetId="18">#REF!</definedName>
    <definedName name="SL003Text" localSheetId="28">#REF!</definedName>
    <definedName name="SL003Text" localSheetId="22">#REF!</definedName>
    <definedName name="SL003Text" localSheetId="16">#REF!</definedName>
    <definedName name="SL003Text" localSheetId="8">#REF!</definedName>
    <definedName name="SL003Text" localSheetId="9">#REF!</definedName>
    <definedName name="SL003Text" localSheetId="3">#REF!</definedName>
    <definedName name="SL003Text" localSheetId="26">#REF!</definedName>
    <definedName name="SL003Text" localSheetId="31">#REF!</definedName>
    <definedName name="SL003Text" localSheetId="6">#REF!</definedName>
    <definedName name="SL003Text" localSheetId="12">#REF!</definedName>
    <definedName name="SL003Text" localSheetId="25">#REF!</definedName>
    <definedName name="SL003Text">#REF!</definedName>
    <definedName name="SL003Title" localSheetId="30">#REF!</definedName>
    <definedName name="SL003Title" localSheetId="4">#REF!</definedName>
    <definedName name="SL003Title" localSheetId="29">#REF!</definedName>
    <definedName name="SL003Title" localSheetId="17">#REF!</definedName>
    <definedName name="SL003Title" localSheetId="23">#REF!</definedName>
    <definedName name="SL003Title" localSheetId="27">#REF!</definedName>
    <definedName name="SL003Title" localSheetId="21">#REF!</definedName>
    <definedName name="SL003Title" localSheetId="20">#REF!</definedName>
    <definedName name="SL003Title" localSheetId="19">#REF!</definedName>
    <definedName name="SL003Title" localSheetId="18">#REF!</definedName>
    <definedName name="SL003Title" localSheetId="28">#REF!</definedName>
    <definedName name="SL003Title" localSheetId="22">#REF!</definedName>
    <definedName name="SL003Title" localSheetId="16">#REF!</definedName>
    <definedName name="SL003Title" localSheetId="8">#REF!</definedName>
    <definedName name="SL003Title" localSheetId="9">#REF!</definedName>
    <definedName name="SL003Title" localSheetId="3">#REF!</definedName>
    <definedName name="SL003Title" localSheetId="26">#REF!</definedName>
    <definedName name="SL003Title" localSheetId="31">#REF!</definedName>
    <definedName name="SL003Title" localSheetId="6">#REF!</definedName>
    <definedName name="SL003Title" localSheetId="12">#REF!</definedName>
    <definedName name="SL003Title" localSheetId="25">#REF!</definedName>
    <definedName name="SL003Title">#REF!</definedName>
    <definedName name="SL003YTD" localSheetId="30">#REF!</definedName>
    <definedName name="SL003YTD" localSheetId="4">#REF!</definedName>
    <definedName name="SL003YTD" localSheetId="29">#REF!</definedName>
    <definedName name="SL003YTD" localSheetId="17">#REF!</definedName>
    <definedName name="SL003YTD" localSheetId="23">#REF!</definedName>
    <definedName name="SL003YTD" localSheetId="27">#REF!</definedName>
    <definedName name="SL003YTD" localSheetId="21">#REF!</definedName>
    <definedName name="SL003YTD" localSheetId="20">#REF!</definedName>
    <definedName name="SL003YTD" localSheetId="19">#REF!</definedName>
    <definedName name="SL003YTD" localSheetId="18">#REF!</definedName>
    <definedName name="SL003YTD" localSheetId="28">#REF!</definedName>
    <definedName name="SL003YTD" localSheetId="22">#REF!</definedName>
    <definedName name="SL003YTD" localSheetId="16">#REF!</definedName>
    <definedName name="SL003YTD" localSheetId="8">#REF!</definedName>
    <definedName name="SL003YTD" localSheetId="9">#REF!</definedName>
    <definedName name="SL003YTD" localSheetId="3">#REF!</definedName>
    <definedName name="SL003YTD" localSheetId="26">#REF!</definedName>
    <definedName name="SL003YTD" localSheetId="31">#REF!</definedName>
    <definedName name="SL003YTD" localSheetId="6">#REF!</definedName>
    <definedName name="SL003YTD" localSheetId="12">#REF!</definedName>
    <definedName name="SL003YTD" localSheetId="25">#REF!</definedName>
    <definedName name="SL003YTD">#REF!</definedName>
    <definedName name="SL004Month" localSheetId="30">#REF!</definedName>
    <definedName name="SL004Month" localSheetId="4">#REF!</definedName>
    <definedName name="SL004Month" localSheetId="29">#REF!</definedName>
    <definedName name="SL004Month" localSheetId="17">#REF!</definedName>
    <definedName name="SL004Month" localSheetId="23">#REF!</definedName>
    <definedName name="SL004Month" localSheetId="27">#REF!</definedName>
    <definedName name="SL004Month" localSheetId="21">#REF!</definedName>
    <definedName name="SL004Month" localSheetId="20">#REF!</definedName>
    <definedName name="SL004Month" localSheetId="19">#REF!</definedName>
    <definedName name="SL004Month" localSheetId="18">#REF!</definedName>
    <definedName name="SL004Month" localSheetId="28">#REF!</definedName>
    <definedName name="SL004Month" localSheetId="22">#REF!</definedName>
    <definedName name="SL004Month" localSheetId="16">#REF!</definedName>
    <definedName name="SL004Month" localSheetId="8">#REF!</definedName>
    <definedName name="SL004Month" localSheetId="9">#REF!</definedName>
    <definedName name="SL004Month" localSheetId="3">#REF!</definedName>
    <definedName name="SL004Month" localSheetId="26">#REF!</definedName>
    <definedName name="SL004Month" localSheetId="31">#REF!</definedName>
    <definedName name="SL004Month" localSheetId="6">#REF!</definedName>
    <definedName name="SL004Month" localSheetId="12">#REF!</definedName>
    <definedName name="SL004Month" localSheetId="25">#REF!</definedName>
    <definedName name="SL004Month">#REF!</definedName>
    <definedName name="SL004Text" localSheetId="30">#REF!</definedName>
    <definedName name="SL004Text" localSheetId="4">#REF!</definedName>
    <definedName name="SL004Text" localSheetId="29">#REF!</definedName>
    <definedName name="SL004Text" localSheetId="17">#REF!</definedName>
    <definedName name="SL004Text" localSheetId="23">#REF!</definedName>
    <definedName name="SL004Text" localSheetId="27">#REF!</definedName>
    <definedName name="SL004Text" localSheetId="21">#REF!</definedName>
    <definedName name="SL004Text" localSheetId="20">#REF!</definedName>
    <definedName name="SL004Text" localSheetId="19">#REF!</definedName>
    <definedName name="SL004Text" localSheetId="18">#REF!</definedName>
    <definedName name="SL004Text" localSheetId="28">#REF!</definedName>
    <definedName name="SL004Text" localSheetId="22">#REF!</definedName>
    <definedName name="SL004Text" localSheetId="16">#REF!</definedName>
    <definedName name="SL004Text" localSheetId="8">#REF!</definedName>
    <definedName name="SL004Text" localSheetId="9">#REF!</definedName>
    <definedName name="SL004Text" localSheetId="3">#REF!</definedName>
    <definedName name="SL004Text" localSheetId="26">#REF!</definedName>
    <definedName name="SL004Text" localSheetId="31">#REF!</definedName>
    <definedName name="SL004Text" localSheetId="6">#REF!</definedName>
    <definedName name="SL004Text" localSheetId="12">#REF!</definedName>
    <definedName name="SL004Text" localSheetId="25">#REF!</definedName>
    <definedName name="SL004Text">#REF!</definedName>
    <definedName name="SL004Title" localSheetId="30">#REF!</definedName>
    <definedName name="SL004Title" localSheetId="4">#REF!</definedName>
    <definedName name="SL004Title" localSheetId="29">#REF!</definedName>
    <definedName name="SL004Title" localSheetId="17">#REF!</definedName>
    <definedName name="SL004Title" localSheetId="23">#REF!</definedName>
    <definedName name="SL004Title" localSheetId="27">#REF!</definedName>
    <definedName name="SL004Title" localSheetId="21">#REF!</definedName>
    <definedName name="SL004Title" localSheetId="20">#REF!</definedName>
    <definedName name="SL004Title" localSheetId="19">#REF!</definedName>
    <definedName name="SL004Title" localSheetId="18">#REF!</definedName>
    <definedName name="SL004Title" localSheetId="28">#REF!</definedName>
    <definedName name="SL004Title" localSheetId="22">#REF!</definedName>
    <definedName name="SL004Title" localSheetId="16">#REF!</definedName>
    <definedName name="SL004Title" localSheetId="8">#REF!</definedName>
    <definedName name="SL004Title" localSheetId="9">#REF!</definedName>
    <definedName name="SL004Title" localSheetId="3">#REF!</definedName>
    <definedName name="SL004Title" localSheetId="26">#REF!</definedName>
    <definedName name="SL004Title" localSheetId="31">#REF!</definedName>
    <definedName name="SL004Title" localSheetId="6">#REF!</definedName>
    <definedName name="SL004Title" localSheetId="12">#REF!</definedName>
    <definedName name="SL004Title" localSheetId="25">#REF!</definedName>
    <definedName name="SL004Title">#REF!</definedName>
    <definedName name="SL004YTD" localSheetId="30">#REF!</definedName>
    <definedName name="SL004YTD" localSheetId="4">#REF!</definedName>
    <definedName name="SL004YTD" localSheetId="29">#REF!</definedName>
    <definedName name="SL004YTD" localSheetId="17">#REF!</definedName>
    <definedName name="SL004YTD" localSheetId="23">#REF!</definedName>
    <definedName name="SL004YTD" localSheetId="27">#REF!</definedName>
    <definedName name="SL004YTD" localSheetId="21">#REF!</definedName>
    <definedName name="SL004YTD" localSheetId="20">#REF!</definedName>
    <definedName name="SL004YTD" localSheetId="19">#REF!</definedName>
    <definedName name="SL004YTD" localSheetId="18">#REF!</definedName>
    <definedName name="SL004YTD" localSheetId="28">#REF!</definedName>
    <definedName name="SL004YTD" localSheetId="22">#REF!</definedName>
    <definedName name="SL004YTD" localSheetId="16">#REF!</definedName>
    <definedName name="SL004YTD" localSheetId="8">#REF!</definedName>
    <definedName name="SL004YTD" localSheetId="9">#REF!</definedName>
    <definedName name="SL004YTD" localSheetId="3">#REF!</definedName>
    <definedName name="SL004YTD" localSheetId="26">#REF!</definedName>
    <definedName name="SL004YTD" localSheetId="31">#REF!</definedName>
    <definedName name="SL004YTD" localSheetId="6">#REF!</definedName>
    <definedName name="SL004YTD" localSheetId="12">#REF!</definedName>
    <definedName name="SL004YTD" localSheetId="25">#REF!</definedName>
    <definedName name="SL004YTD">#REF!</definedName>
    <definedName name="SL005Month" localSheetId="30">#REF!</definedName>
    <definedName name="SL005Month" localSheetId="4">#REF!</definedName>
    <definedName name="SL005Month" localSheetId="29">#REF!</definedName>
    <definedName name="SL005Month" localSheetId="17">#REF!</definedName>
    <definedName name="SL005Month" localSheetId="23">#REF!</definedName>
    <definedName name="SL005Month" localSheetId="27">#REF!</definedName>
    <definedName name="SL005Month" localSheetId="21">#REF!</definedName>
    <definedName name="SL005Month" localSheetId="20">#REF!</definedName>
    <definedName name="SL005Month" localSheetId="19">#REF!</definedName>
    <definedName name="SL005Month" localSheetId="18">#REF!</definedName>
    <definedName name="SL005Month" localSheetId="28">#REF!</definedName>
    <definedName name="SL005Month" localSheetId="22">#REF!</definedName>
    <definedName name="SL005Month" localSheetId="16">#REF!</definedName>
    <definedName name="SL005Month" localSheetId="8">#REF!</definedName>
    <definedName name="SL005Month" localSheetId="9">#REF!</definedName>
    <definedName name="SL005Month" localSheetId="3">#REF!</definedName>
    <definedName name="SL005Month" localSheetId="26">#REF!</definedName>
    <definedName name="SL005Month" localSheetId="31">#REF!</definedName>
    <definedName name="SL005Month" localSheetId="6">#REF!</definedName>
    <definedName name="SL005Month" localSheetId="12">#REF!</definedName>
    <definedName name="SL005Month" localSheetId="25">#REF!</definedName>
    <definedName name="SL005Month">#REF!</definedName>
    <definedName name="SL005Text" localSheetId="30">#REF!</definedName>
    <definedName name="SL005Text" localSheetId="4">#REF!</definedName>
    <definedName name="SL005Text" localSheetId="29">#REF!</definedName>
    <definedName name="SL005Text" localSheetId="17">#REF!</definedName>
    <definedName name="SL005Text" localSheetId="23">#REF!</definedName>
    <definedName name="SL005Text" localSheetId="27">#REF!</definedName>
    <definedName name="SL005Text" localSheetId="21">#REF!</definedName>
    <definedName name="SL005Text" localSheetId="20">#REF!</definedName>
    <definedName name="SL005Text" localSheetId="19">#REF!</definedName>
    <definedName name="SL005Text" localSheetId="18">#REF!</definedName>
    <definedName name="SL005Text" localSheetId="28">#REF!</definedName>
    <definedName name="SL005Text" localSheetId="22">#REF!</definedName>
    <definedName name="SL005Text" localSheetId="16">#REF!</definedName>
    <definedName name="SL005Text" localSheetId="8">#REF!</definedName>
    <definedName name="SL005Text" localSheetId="9">#REF!</definedName>
    <definedName name="SL005Text" localSheetId="3">#REF!</definedName>
    <definedName name="SL005Text" localSheetId="26">#REF!</definedName>
    <definedName name="SL005Text" localSheetId="31">#REF!</definedName>
    <definedName name="SL005Text" localSheetId="6">#REF!</definedName>
    <definedName name="SL005Text" localSheetId="12">#REF!</definedName>
    <definedName name="SL005Text" localSheetId="25">#REF!</definedName>
    <definedName name="SL005Text">#REF!</definedName>
    <definedName name="SL005Title" localSheetId="30">#REF!</definedName>
    <definedName name="SL005Title" localSheetId="4">#REF!</definedName>
    <definedName name="SL005Title" localSheetId="29">#REF!</definedName>
    <definedName name="SL005Title" localSheetId="17">#REF!</definedName>
    <definedName name="SL005Title" localSheetId="23">#REF!</definedName>
    <definedName name="SL005Title" localSheetId="27">#REF!</definedName>
    <definedName name="SL005Title" localSheetId="21">#REF!</definedName>
    <definedName name="SL005Title" localSheetId="20">#REF!</definedName>
    <definedName name="SL005Title" localSheetId="19">#REF!</definedName>
    <definedName name="SL005Title" localSheetId="18">#REF!</definedName>
    <definedName name="SL005Title" localSheetId="28">#REF!</definedName>
    <definedName name="SL005Title" localSheetId="22">#REF!</definedName>
    <definedName name="SL005Title" localSheetId="16">#REF!</definedName>
    <definedName name="SL005Title" localSheetId="8">#REF!</definedName>
    <definedName name="SL005Title" localSheetId="9">#REF!</definedName>
    <definedName name="SL005Title" localSheetId="3">#REF!</definedName>
    <definedName name="SL005Title" localSheetId="26">#REF!</definedName>
    <definedName name="SL005Title" localSheetId="31">#REF!</definedName>
    <definedName name="SL005Title" localSheetId="6">#REF!</definedName>
    <definedName name="SL005Title" localSheetId="12">#REF!</definedName>
    <definedName name="SL005Title" localSheetId="25">#REF!</definedName>
    <definedName name="SL005Title">#REF!</definedName>
    <definedName name="SL005YTD" localSheetId="30">#REF!</definedName>
    <definedName name="SL005YTD" localSheetId="4">#REF!</definedName>
    <definedName name="SL005YTD" localSheetId="29">#REF!</definedName>
    <definedName name="SL005YTD" localSheetId="17">#REF!</definedName>
    <definedName name="SL005YTD" localSheetId="23">#REF!</definedName>
    <definedName name="SL005YTD" localSheetId="27">#REF!</definedName>
    <definedName name="SL005YTD" localSheetId="21">#REF!</definedName>
    <definedName name="SL005YTD" localSheetId="20">#REF!</definedName>
    <definedName name="SL005YTD" localSheetId="19">#REF!</definedName>
    <definedName name="SL005YTD" localSheetId="18">#REF!</definedName>
    <definedName name="SL005YTD" localSheetId="28">#REF!</definedName>
    <definedName name="SL005YTD" localSheetId="22">#REF!</definedName>
    <definedName name="SL005YTD" localSheetId="16">#REF!</definedName>
    <definedName name="SL005YTD" localSheetId="8">#REF!</definedName>
    <definedName name="SL005YTD" localSheetId="9">#REF!</definedName>
    <definedName name="SL005YTD" localSheetId="3">#REF!</definedName>
    <definedName name="SL005YTD" localSheetId="26">#REF!</definedName>
    <definedName name="SL005YTD" localSheetId="31">#REF!</definedName>
    <definedName name="SL005YTD" localSheetId="6">#REF!</definedName>
    <definedName name="SL005YTD" localSheetId="12">#REF!</definedName>
    <definedName name="SL005YTD" localSheetId="25">#REF!</definedName>
    <definedName name="SL005YTD">#REF!</definedName>
    <definedName name="SL006Month" localSheetId="30">#REF!</definedName>
    <definedName name="SL006Month" localSheetId="4">#REF!</definedName>
    <definedName name="SL006Month" localSheetId="29">#REF!</definedName>
    <definedName name="SL006Month" localSheetId="17">#REF!</definedName>
    <definedName name="SL006Month" localSheetId="23">#REF!</definedName>
    <definedName name="SL006Month" localSheetId="27">#REF!</definedName>
    <definedName name="SL006Month" localSheetId="21">#REF!</definedName>
    <definedName name="SL006Month" localSheetId="20">#REF!</definedName>
    <definedName name="SL006Month" localSheetId="19">#REF!</definedName>
    <definedName name="SL006Month" localSheetId="18">#REF!</definedName>
    <definedName name="SL006Month" localSheetId="28">#REF!</definedName>
    <definedName name="SL006Month" localSheetId="22">#REF!</definedName>
    <definedName name="SL006Month" localSheetId="16">#REF!</definedName>
    <definedName name="SL006Month" localSheetId="8">#REF!</definedName>
    <definedName name="SL006Month" localSheetId="9">#REF!</definedName>
    <definedName name="SL006Month" localSheetId="3">#REF!</definedName>
    <definedName name="SL006Month" localSheetId="26">#REF!</definedName>
    <definedName name="SL006Month" localSheetId="31">#REF!</definedName>
    <definedName name="SL006Month" localSheetId="6">#REF!</definedName>
    <definedName name="SL006Month" localSheetId="12">#REF!</definedName>
    <definedName name="SL006Month" localSheetId="25">#REF!</definedName>
    <definedName name="SL006Month">#REF!</definedName>
    <definedName name="SL006Text" localSheetId="30">#REF!</definedName>
    <definedName name="SL006Text" localSheetId="4">#REF!</definedName>
    <definedName name="SL006Text" localSheetId="29">#REF!</definedName>
    <definedName name="SL006Text" localSheetId="17">#REF!</definedName>
    <definedName name="SL006Text" localSheetId="23">#REF!</definedName>
    <definedName name="SL006Text" localSheetId="27">#REF!</definedName>
    <definedName name="SL006Text" localSheetId="21">#REF!</definedName>
    <definedName name="SL006Text" localSheetId="20">#REF!</definedName>
    <definedName name="SL006Text" localSheetId="19">#REF!</definedName>
    <definedName name="SL006Text" localSheetId="18">#REF!</definedName>
    <definedName name="SL006Text" localSheetId="28">#REF!</definedName>
    <definedName name="SL006Text" localSheetId="22">#REF!</definedName>
    <definedName name="SL006Text" localSheetId="16">#REF!</definedName>
    <definedName name="SL006Text" localSheetId="8">#REF!</definedName>
    <definedName name="SL006Text" localSheetId="9">#REF!</definedName>
    <definedName name="SL006Text" localSheetId="3">#REF!</definedName>
    <definedName name="SL006Text" localSheetId="26">#REF!</definedName>
    <definedName name="SL006Text" localSheetId="31">#REF!</definedName>
    <definedName name="SL006Text" localSheetId="6">#REF!</definedName>
    <definedName name="SL006Text" localSheetId="12">#REF!</definedName>
    <definedName name="SL006Text" localSheetId="25">#REF!</definedName>
    <definedName name="SL006Text">#REF!</definedName>
    <definedName name="SL006Title" localSheetId="30">#REF!</definedName>
    <definedName name="SL006Title" localSheetId="4">#REF!</definedName>
    <definedName name="SL006Title" localSheetId="29">#REF!</definedName>
    <definedName name="SL006Title" localSheetId="17">#REF!</definedName>
    <definedName name="SL006Title" localSheetId="23">#REF!</definedName>
    <definedName name="SL006Title" localSheetId="27">#REF!</definedName>
    <definedName name="SL006Title" localSheetId="21">#REF!</definedName>
    <definedName name="SL006Title" localSheetId="20">#REF!</definedName>
    <definedName name="SL006Title" localSheetId="19">#REF!</definedName>
    <definedName name="SL006Title" localSheetId="18">#REF!</definedName>
    <definedName name="SL006Title" localSheetId="28">#REF!</definedName>
    <definedName name="SL006Title" localSheetId="22">#REF!</definedName>
    <definedName name="SL006Title" localSheetId="16">#REF!</definedName>
    <definedName name="SL006Title" localSheetId="8">#REF!</definedName>
    <definedName name="SL006Title" localSheetId="9">#REF!</definedName>
    <definedName name="SL006Title" localSheetId="3">#REF!</definedName>
    <definedName name="SL006Title" localSheetId="26">#REF!</definedName>
    <definedName name="SL006Title" localSheetId="31">#REF!</definedName>
    <definedName name="SL006Title" localSheetId="6">#REF!</definedName>
    <definedName name="SL006Title" localSheetId="12">#REF!</definedName>
    <definedName name="SL006Title" localSheetId="25">#REF!</definedName>
    <definedName name="SL006Title">#REF!</definedName>
    <definedName name="SL006YTD" localSheetId="30">#REF!</definedName>
    <definedName name="SL006YTD" localSheetId="4">#REF!</definedName>
    <definedName name="SL006YTD" localSheetId="29">#REF!</definedName>
    <definedName name="SL006YTD" localSheetId="17">#REF!</definedName>
    <definedName name="SL006YTD" localSheetId="23">#REF!</definedName>
    <definedName name="SL006YTD" localSheetId="27">#REF!</definedName>
    <definedName name="SL006YTD" localSheetId="21">#REF!</definedName>
    <definedName name="SL006YTD" localSheetId="20">#REF!</definedName>
    <definedName name="SL006YTD" localSheetId="19">#REF!</definedName>
    <definedName name="SL006YTD" localSheetId="18">#REF!</definedName>
    <definedName name="SL006YTD" localSheetId="28">#REF!</definedName>
    <definedName name="SL006YTD" localSheetId="22">#REF!</definedName>
    <definedName name="SL006YTD" localSheetId="16">#REF!</definedName>
    <definedName name="SL006YTD" localSheetId="8">#REF!</definedName>
    <definedName name="SL006YTD" localSheetId="9">#REF!</definedName>
    <definedName name="SL006YTD" localSheetId="3">#REF!</definedName>
    <definedName name="SL006YTD" localSheetId="26">#REF!</definedName>
    <definedName name="SL006YTD" localSheetId="31">#REF!</definedName>
    <definedName name="SL006YTD" localSheetId="6">#REF!</definedName>
    <definedName name="SL006YTD" localSheetId="12">#REF!</definedName>
    <definedName name="SL006YTD" localSheetId="25">#REF!</definedName>
    <definedName name="SL006YTD">#REF!</definedName>
    <definedName name="SL007Month" localSheetId="30">#REF!</definedName>
    <definedName name="SL007Month" localSheetId="4">#REF!</definedName>
    <definedName name="SL007Month" localSheetId="29">#REF!</definedName>
    <definedName name="SL007Month" localSheetId="17">#REF!</definedName>
    <definedName name="SL007Month" localSheetId="23">#REF!</definedName>
    <definedName name="SL007Month" localSheetId="27">#REF!</definedName>
    <definedName name="SL007Month" localSheetId="21">#REF!</definedName>
    <definedName name="SL007Month" localSheetId="20">#REF!</definedName>
    <definedName name="SL007Month" localSheetId="19">#REF!</definedName>
    <definedName name="SL007Month" localSheetId="18">#REF!</definedName>
    <definedName name="SL007Month" localSheetId="28">#REF!</definedName>
    <definedName name="SL007Month" localSheetId="22">#REF!</definedName>
    <definedName name="SL007Month" localSheetId="16">#REF!</definedName>
    <definedName name="SL007Month" localSheetId="8">#REF!</definedName>
    <definedName name="SL007Month" localSheetId="9">#REF!</definedName>
    <definedName name="SL007Month" localSheetId="3">#REF!</definedName>
    <definedName name="SL007Month" localSheetId="26">#REF!</definedName>
    <definedName name="SL007Month" localSheetId="31">#REF!</definedName>
    <definedName name="SL007Month" localSheetId="6">#REF!</definedName>
    <definedName name="SL007Month" localSheetId="12">#REF!</definedName>
    <definedName name="SL007Month" localSheetId="25">#REF!</definedName>
    <definedName name="SL007Month">#REF!</definedName>
    <definedName name="SL007Text" localSheetId="30">#REF!</definedName>
    <definedName name="SL007Text" localSheetId="4">#REF!</definedName>
    <definedName name="SL007Text" localSheetId="29">#REF!</definedName>
    <definedName name="SL007Text" localSheetId="17">#REF!</definedName>
    <definedName name="SL007Text" localSheetId="23">#REF!</definedName>
    <definedName name="SL007Text" localSheetId="27">#REF!</definedName>
    <definedName name="SL007Text" localSheetId="21">#REF!</definedName>
    <definedName name="SL007Text" localSheetId="20">#REF!</definedName>
    <definedName name="SL007Text" localSheetId="19">#REF!</definedName>
    <definedName name="SL007Text" localSheetId="18">#REF!</definedName>
    <definedName name="SL007Text" localSheetId="28">#REF!</definedName>
    <definedName name="SL007Text" localSheetId="22">#REF!</definedName>
    <definedName name="SL007Text" localSheetId="16">#REF!</definedName>
    <definedName name="SL007Text" localSheetId="8">#REF!</definedName>
    <definedName name="SL007Text" localSheetId="9">#REF!</definedName>
    <definedName name="SL007Text" localSheetId="3">#REF!</definedName>
    <definedName name="SL007Text" localSheetId="26">#REF!</definedName>
    <definedName name="SL007Text" localSheetId="31">#REF!</definedName>
    <definedName name="SL007Text" localSheetId="6">#REF!</definedName>
    <definedName name="SL007Text" localSheetId="12">#REF!</definedName>
    <definedName name="SL007Text" localSheetId="25">#REF!</definedName>
    <definedName name="SL007Text">#REF!</definedName>
    <definedName name="SL007Title" localSheetId="30">#REF!</definedName>
    <definedName name="SL007Title" localSheetId="4">#REF!</definedName>
    <definedName name="SL007Title" localSheetId="29">#REF!</definedName>
    <definedName name="SL007Title" localSheetId="17">#REF!</definedName>
    <definedName name="SL007Title" localSheetId="23">#REF!</definedName>
    <definedName name="SL007Title" localSheetId="27">#REF!</definedName>
    <definedName name="SL007Title" localSheetId="21">#REF!</definedName>
    <definedName name="SL007Title" localSheetId="20">#REF!</definedName>
    <definedName name="SL007Title" localSheetId="19">#REF!</definedName>
    <definedName name="SL007Title" localSheetId="18">#REF!</definedName>
    <definedName name="SL007Title" localSheetId="28">#REF!</definedName>
    <definedName name="SL007Title" localSheetId="22">#REF!</definedName>
    <definedName name="SL007Title" localSheetId="16">#REF!</definedName>
    <definedName name="SL007Title" localSheetId="8">#REF!</definedName>
    <definedName name="SL007Title" localSheetId="9">#REF!</definedName>
    <definedName name="SL007Title" localSheetId="3">#REF!</definedName>
    <definedName name="SL007Title" localSheetId="26">#REF!</definedName>
    <definedName name="SL007Title" localSheetId="31">#REF!</definedName>
    <definedName name="SL007Title" localSheetId="6">#REF!</definedName>
    <definedName name="SL007Title" localSheetId="12">#REF!</definedName>
    <definedName name="SL007Title" localSheetId="25">#REF!</definedName>
    <definedName name="SL007Title">#REF!</definedName>
    <definedName name="SL007YTD" localSheetId="30">#REF!</definedName>
    <definedName name="SL007YTD" localSheetId="4">#REF!</definedName>
    <definedName name="SL007YTD" localSheetId="29">#REF!</definedName>
    <definedName name="SL007YTD" localSheetId="17">#REF!</definedName>
    <definedName name="SL007YTD" localSheetId="23">#REF!</definedName>
    <definedName name="SL007YTD" localSheetId="27">#REF!</definedName>
    <definedName name="SL007YTD" localSheetId="21">#REF!</definedName>
    <definedName name="SL007YTD" localSheetId="20">#REF!</definedName>
    <definedName name="SL007YTD" localSheetId="19">#REF!</definedName>
    <definedName name="SL007YTD" localSheetId="18">#REF!</definedName>
    <definedName name="SL007YTD" localSheetId="28">#REF!</definedName>
    <definedName name="SL007YTD" localSheetId="22">#REF!</definedName>
    <definedName name="SL007YTD" localSheetId="16">#REF!</definedName>
    <definedName name="SL007YTD" localSheetId="8">#REF!</definedName>
    <definedName name="SL007YTD" localSheetId="9">#REF!</definedName>
    <definedName name="SL007YTD" localSheetId="3">#REF!</definedName>
    <definedName name="SL007YTD" localSheetId="26">#REF!</definedName>
    <definedName name="SL007YTD" localSheetId="31">#REF!</definedName>
    <definedName name="SL007YTD" localSheetId="6">#REF!</definedName>
    <definedName name="SL007YTD" localSheetId="12">#REF!</definedName>
    <definedName name="SL007YTD" localSheetId="25">#REF!</definedName>
    <definedName name="SL007YTD">#REF!</definedName>
    <definedName name="SL008Month" localSheetId="30">#REF!</definedName>
    <definedName name="SL008Month" localSheetId="4">#REF!</definedName>
    <definedName name="SL008Month" localSheetId="29">#REF!</definedName>
    <definedName name="SL008Month" localSheetId="17">#REF!</definedName>
    <definedName name="SL008Month" localSheetId="23">#REF!</definedName>
    <definedName name="SL008Month" localSheetId="27">#REF!</definedName>
    <definedName name="SL008Month" localSheetId="21">#REF!</definedName>
    <definedName name="SL008Month" localSheetId="20">#REF!</definedName>
    <definedName name="SL008Month" localSheetId="19">#REF!</definedName>
    <definedName name="SL008Month" localSheetId="18">#REF!</definedName>
    <definedName name="SL008Month" localSheetId="28">#REF!</definedName>
    <definedName name="SL008Month" localSheetId="22">#REF!</definedName>
    <definedName name="SL008Month" localSheetId="16">#REF!</definedName>
    <definedName name="SL008Month" localSheetId="8">#REF!</definedName>
    <definedName name="SL008Month" localSheetId="9">#REF!</definedName>
    <definedName name="SL008Month" localSheetId="3">#REF!</definedName>
    <definedName name="SL008Month" localSheetId="26">#REF!</definedName>
    <definedName name="SL008Month" localSheetId="31">#REF!</definedName>
    <definedName name="SL008Month" localSheetId="6">#REF!</definedName>
    <definedName name="SL008Month" localSheetId="12">#REF!</definedName>
    <definedName name="SL008Month" localSheetId="25">#REF!</definedName>
    <definedName name="SL008Month">#REF!</definedName>
    <definedName name="SL008Text" localSheetId="30">#REF!</definedName>
    <definedName name="SL008Text" localSheetId="4">#REF!</definedName>
    <definedName name="SL008Text" localSheetId="29">#REF!</definedName>
    <definedName name="SL008Text" localSheetId="17">#REF!</definedName>
    <definedName name="SL008Text" localSheetId="23">#REF!</definedName>
    <definedName name="SL008Text" localSheetId="27">#REF!</definedName>
    <definedName name="SL008Text" localSheetId="21">#REF!</definedName>
    <definedName name="SL008Text" localSheetId="20">#REF!</definedName>
    <definedName name="SL008Text" localSheetId="19">#REF!</definedName>
    <definedName name="SL008Text" localSheetId="18">#REF!</definedName>
    <definedName name="SL008Text" localSheetId="28">#REF!</definedName>
    <definedName name="SL008Text" localSheetId="22">#REF!</definedName>
    <definedName name="SL008Text" localSheetId="16">#REF!</definedName>
    <definedName name="SL008Text" localSheetId="8">#REF!</definedName>
    <definedName name="SL008Text" localSheetId="9">#REF!</definedName>
    <definedName name="SL008Text" localSheetId="3">#REF!</definedName>
    <definedName name="SL008Text" localSheetId="26">#REF!</definedName>
    <definedName name="SL008Text" localSheetId="31">#REF!</definedName>
    <definedName name="SL008Text" localSheetId="6">#REF!</definedName>
    <definedName name="SL008Text" localSheetId="12">#REF!</definedName>
    <definedName name="SL008Text" localSheetId="25">#REF!</definedName>
    <definedName name="SL008Text">#REF!</definedName>
    <definedName name="SL008Title" localSheetId="30">#REF!</definedName>
    <definedName name="SL008Title" localSheetId="4">#REF!</definedName>
    <definedName name="SL008Title" localSheetId="29">#REF!</definedName>
    <definedName name="SL008Title" localSheetId="17">#REF!</definedName>
    <definedName name="SL008Title" localSheetId="23">#REF!</definedName>
    <definedName name="SL008Title" localSheetId="27">#REF!</definedName>
    <definedName name="SL008Title" localSheetId="21">#REF!</definedName>
    <definedName name="SL008Title" localSheetId="20">#REF!</definedName>
    <definedName name="SL008Title" localSheetId="19">#REF!</definedName>
    <definedName name="SL008Title" localSheetId="18">#REF!</definedName>
    <definedName name="SL008Title" localSheetId="28">#REF!</definedName>
    <definedName name="SL008Title" localSheetId="22">#REF!</definedName>
    <definedName name="SL008Title" localSheetId="16">#REF!</definedName>
    <definedName name="SL008Title" localSheetId="8">#REF!</definedName>
    <definedName name="SL008Title" localSheetId="9">#REF!</definedName>
    <definedName name="SL008Title" localSheetId="3">#REF!</definedName>
    <definedName name="SL008Title" localSheetId="26">#REF!</definedName>
    <definedName name="SL008Title" localSheetId="31">#REF!</definedName>
    <definedName name="SL008Title" localSheetId="6">#REF!</definedName>
    <definedName name="SL008Title" localSheetId="12">#REF!</definedName>
    <definedName name="SL008Title" localSheetId="25">#REF!</definedName>
    <definedName name="SL008Title">#REF!</definedName>
    <definedName name="SL008YTD" localSheetId="30">#REF!</definedName>
    <definedName name="SL008YTD" localSheetId="4">#REF!</definedName>
    <definedName name="SL008YTD" localSheetId="29">#REF!</definedName>
    <definedName name="SL008YTD" localSheetId="17">#REF!</definedName>
    <definedName name="SL008YTD" localSheetId="23">#REF!</definedName>
    <definedName name="SL008YTD" localSheetId="27">#REF!</definedName>
    <definedName name="SL008YTD" localSheetId="21">#REF!</definedName>
    <definedName name="SL008YTD" localSheetId="20">#REF!</definedName>
    <definedName name="SL008YTD" localSheetId="19">#REF!</definedName>
    <definedName name="SL008YTD" localSheetId="18">#REF!</definedName>
    <definedName name="SL008YTD" localSheetId="28">#REF!</definedName>
    <definedName name="SL008YTD" localSheetId="22">#REF!</definedName>
    <definedName name="SL008YTD" localSheetId="16">#REF!</definedName>
    <definedName name="SL008YTD" localSheetId="8">#REF!</definedName>
    <definedName name="SL008YTD" localSheetId="9">#REF!</definedName>
    <definedName name="SL008YTD" localSheetId="3">#REF!</definedName>
    <definedName name="SL008YTD" localSheetId="26">#REF!</definedName>
    <definedName name="SL008YTD" localSheetId="31">#REF!</definedName>
    <definedName name="SL008YTD" localSheetId="6">#REF!</definedName>
    <definedName name="SL008YTD" localSheetId="12">#REF!</definedName>
    <definedName name="SL008YTD" localSheetId="25">#REF!</definedName>
    <definedName name="SL008YTD">#REF!</definedName>
    <definedName name="SL009Month" localSheetId="30">#REF!</definedName>
    <definedName name="SL009Month" localSheetId="4">#REF!</definedName>
    <definedName name="SL009Month" localSheetId="29">#REF!</definedName>
    <definedName name="SL009Month" localSheetId="17">#REF!</definedName>
    <definedName name="SL009Month" localSheetId="23">#REF!</definedName>
    <definedName name="SL009Month" localSheetId="27">#REF!</definedName>
    <definedName name="SL009Month" localSheetId="21">#REF!</definedName>
    <definedName name="SL009Month" localSheetId="20">#REF!</definedName>
    <definedName name="SL009Month" localSheetId="19">#REF!</definedName>
    <definedName name="SL009Month" localSheetId="18">#REF!</definedName>
    <definedName name="SL009Month" localSheetId="28">#REF!</definedName>
    <definedName name="SL009Month" localSheetId="22">#REF!</definedName>
    <definedName name="SL009Month" localSheetId="16">#REF!</definedName>
    <definedName name="SL009Month" localSheetId="8">#REF!</definedName>
    <definedName name="SL009Month" localSheetId="9">#REF!</definedName>
    <definedName name="SL009Month" localSheetId="3">#REF!</definedName>
    <definedName name="SL009Month" localSheetId="26">#REF!</definedName>
    <definedName name="SL009Month" localSheetId="31">#REF!</definedName>
    <definedName name="SL009Month" localSheetId="6">#REF!</definedName>
    <definedName name="SL009Month" localSheetId="12">#REF!</definedName>
    <definedName name="SL009Month" localSheetId="25">#REF!</definedName>
    <definedName name="SL009Month">#REF!</definedName>
    <definedName name="SL009Text" localSheetId="30">#REF!</definedName>
    <definedName name="SL009Text" localSheetId="4">#REF!</definedName>
    <definedName name="SL009Text" localSheetId="29">#REF!</definedName>
    <definedName name="SL009Text" localSheetId="17">#REF!</definedName>
    <definedName name="SL009Text" localSheetId="23">#REF!</definedName>
    <definedName name="SL009Text" localSheetId="27">#REF!</definedName>
    <definedName name="SL009Text" localSheetId="21">#REF!</definedName>
    <definedName name="SL009Text" localSheetId="20">#REF!</definedName>
    <definedName name="SL009Text" localSheetId="19">#REF!</definedName>
    <definedName name="SL009Text" localSheetId="18">#REF!</definedName>
    <definedName name="SL009Text" localSheetId="28">#REF!</definedName>
    <definedName name="SL009Text" localSheetId="22">#REF!</definedName>
    <definedName name="SL009Text" localSheetId="16">#REF!</definedName>
    <definedName name="SL009Text" localSheetId="8">#REF!</definedName>
    <definedName name="SL009Text" localSheetId="9">#REF!</definedName>
    <definedName name="SL009Text" localSheetId="3">#REF!</definedName>
    <definedName name="SL009Text" localSheetId="26">#REF!</definedName>
    <definedName name="SL009Text" localSheetId="31">#REF!</definedName>
    <definedName name="SL009Text" localSheetId="6">#REF!</definedName>
    <definedName name="SL009Text" localSheetId="12">#REF!</definedName>
    <definedName name="SL009Text" localSheetId="25">#REF!</definedName>
    <definedName name="SL009Text">#REF!</definedName>
    <definedName name="SL009Title" localSheetId="30">#REF!</definedName>
    <definedName name="SL009Title" localSheetId="4">#REF!</definedName>
    <definedName name="SL009Title" localSheetId="29">#REF!</definedName>
    <definedName name="SL009Title" localSheetId="17">#REF!</definedName>
    <definedName name="SL009Title" localSheetId="23">#REF!</definedName>
    <definedName name="SL009Title" localSheetId="27">#REF!</definedName>
    <definedName name="SL009Title" localSheetId="21">#REF!</definedName>
    <definedName name="SL009Title" localSheetId="20">#REF!</definedName>
    <definedName name="SL009Title" localSheetId="19">#REF!</definedName>
    <definedName name="SL009Title" localSheetId="18">#REF!</definedName>
    <definedName name="SL009Title" localSheetId="28">#REF!</definedName>
    <definedName name="SL009Title" localSheetId="22">#REF!</definedName>
    <definedName name="SL009Title" localSheetId="16">#REF!</definedName>
    <definedName name="SL009Title" localSheetId="8">#REF!</definedName>
    <definedName name="SL009Title" localSheetId="9">#REF!</definedName>
    <definedName name="SL009Title" localSheetId="3">#REF!</definedName>
    <definedName name="SL009Title" localSheetId="26">#REF!</definedName>
    <definedName name="SL009Title" localSheetId="31">#REF!</definedName>
    <definedName name="SL009Title" localSheetId="6">#REF!</definedName>
    <definedName name="SL009Title" localSheetId="12">#REF!</definedName>
    <definedName name="SL009Title" localSheetId="25">#REF!</definedName>
    <definedName name="SL009Title">#REF!</definedName>
    <definedName name="SL009YTD" localSheetId="30">#REF!</definedName>
    <definedName name="SL009YTD" localSheetId="4">#REF!</definedName>
    <definedName name="SL009YTD" localSheetId="29">#REF!</definedName>
    <definedName name="SL009YTD" localSheetId="17">#REF!</definedName>
    <definedName name="SL009YTD" localSheetId="23">#REF!</definedName>
    <definedName name="SL009YTD" localSheetId="27">#REF!</definedName>
    <definedName name="SL009YTD" localSheetId="21">#REF!</definedName>
    <definedName name="SL009YTD" localSheetId="20">#REF!</definedName>
    <definedName name="SL009YTD" localSheetId="19">#REF!</definedName>
    <definedName name="SL009YTD" localSheetId="18">#REF!</definedName>
    <definedName name="SL009YTD" localSheetId="28">#REF!</definedName>
    <definedName name="SL009YTD" localSheetId="22">#REF!</definedName>
    <definedName name="SL009YTD" localSheetId="16">#REF!</definedName>
    <definedName name="SL009YTD" localSheetId="8">#REF!</definedName>
    <definedName name="SL009YTD" localSheetId="9">#REF!</definedName>
    <definedName name="SL009YTD" localSheetId="3">#REF!</definedName>
    <definedName name="SL009YTD" localSheetId="26">#REF!</definedName>
    <definedName name="SL009YTD" localSheetId="31">#REF!</definedName>
    <definedName name="SL009YTD" localSheetId="6">#REF!</definedName>
    <definedName name="SL009YTD" localSheetId="12">#REF!</definedName>
    <definedName name="SL009YTD" localSheetId="25">#REF!</definedName>
    <definedName name="SL009YTD">#REF!</definedName>
    <definedName name="SL010Text" localSheetId="30">#REF!</definedName>
    <definedName name="SL010Text" localSheetId="4">#REF!</definedName>
    <definedName name="SL010Text" localSheetId="29">#REF!</definedName>
    <definedName name="SL010Text" localSheetId="17">#REF!</definedName>
    <definedName name="SL010Text" localSheetId="23">#REF!</definedName>
    <definedName name="SL010Text" localSheetId="27">#REF!</definedName>
    <definedName name="SL010Text" localSheetId="21">#REF!</definedName>
    <definedName name="SL010Text" localSheetId="20">#REF!</definedName>
    <definedName name="SL010Text" localSheetId="19">#REF!</definedName>
    <definedName name="SL010Text" localSheetId="18">#REF!</definedName>
    <definedName name="SL010Text" localSheetId="28">#REF!</definedName>
    <definedName name="SL010Text" localSheetId="22">#REF!</definedName>
    <definedName name="SL010Text" localSheetId="16">#REF!</definedName>
    <definedName name="SL010Text" localSheetId="8">#REF!</definedName>
    <definedName name="SL010Text" localSheetId="9">#REF!</definedName>
    <definedName name="SL010Text" localSheetId="3">#REF!</definedName>
    <definedName name="SL010Text" localSheetId="26">#REF!</definedName>
    <definedName name="SL010Text" localSheetId="31">#REF!</definedName>
    <definedName name="SL010Text" localSheetId="6">#REF!</definedName>
    <definedName name="SL010Text" localSheetId="12">#REF!</definedName>
    <definedName name="SL010Text" localSheetId="25">#REF!</definedName>
    <definedName name="SL010Text">#REF!</definedName>
    <definedName name="SL010Title" localSheetId="30">#REF!</definedName>
    <definedName name="SL010Title" localSheetId="4">#REF!</definedName>
    <definedName name="SL010Title" localSheetId="29">#REF!</definedName>
    <definedName name="SL010Title" localSheetId="17">#REF!</definedName>
    <definedName name="SL010Title" localSheetId="23">#REF!</definedName>
    <definedName name="SL010Title" localSheetId="27">#REF!</definedName>
    <definedName name="SL010Title" localSheetId="21">#REF!</definedName>
    <definedName name="SL010Title" localSheetId="20">#REF!</definedName>
    <definedName name="SL010Title" localSheetId="19">#REF!</definedName>
    <definedName name="SL010Title" localSheetId="18">#REF!</definedName>
    <definedName name="SL010Title" localSheetId="28">#REF!</definedName>
    <definedName name="SL010Title" localSheetId="22">#REF!</definedName>
    <definedName name="SL010Title" localSheetId="16">#REF!</definedName>
    <definedName name="SL010Title" localSheetId="8">#REF!</definedName>
    <definedName name="SL010Title" localSheetId="9">#REF!</definedName>
    <definedName name="SL010Title" localSheetId="3">#REF!</definedName>
    <definedName name="SL010Title" localSheetId="26">#REF!</definedName>
    <definedName name="SL010Title" localSheetId="31">#REF!</definedName>
    <definedName name="SL010Title" localSheetId="6">#REF!</definedName>
    <definedName name="SL010Title" localSheetId="12">#REF!</definedName>
    <definedName name="SL010Title" localSheetId="25">#REF!</definedName>
    <definedName name="SL010Title">#REF!</definedName>
    <definedName name="SL011Month" localSheetId="30">#REF!</definedName>
    <definedName name="SL011Month" localSheetId="4">#REF!</definedName>
    <definedName name="SL011Month" localSheetId="29">#REF!</definedName>
    <definedName name="SL011Month" localSheetId="17">#REF!</definedName>
    <definedName name="SL011Month" localSheetId="23">#REF!</definedName>
    <definedName name="SL011Month" localSheetId="27">#REF!</definedName>
    <definedName name="SL011Month" localSheetId="21">#REF!</definedName>
    <definedName name="SL011Month" localSheetId="20">#REF!</definedName>
    <definedName name="SL011Month" localSheetId="19">#REF!</definedName>
    <definedName name="SL011Month" localSheetId="18">#REF!</definedName>
    <definedName name="SL011Month" localSheetId="28">#REF!</definedName>
    <definedName name="SL011Month" localSheetId="22">#REF!</definedName>
    <definedName name="SL011Month" localSheetId="16">#REF!</definedName>
    <definedName name="SL011Month" localSheetId="8">#REF!</definedName>
    <definedName name="SL011Month" localSheetId="9">#REF!</definedName>
    <definedName name="SL011Month" localSheetId="3">#REF!</definedName>
    <definedName name="SL011Month" localSheetId="26">#REF!</definedName>
    <definedName name="SL011Month" localSheetId="31">#REF!</definedName>
    <definedName name="SL011Month" localSheetId="6">#REF!</definedName>
    <definedName name="SL011Month" localSheetId="12">#REF!</definedName>
    <definedName name="SL011Month" localSheetId="25">#REF!</definedName>
    <definedName name="SL011Month">#REF!</definedName>
    <definedName name="SL011Text" localSheetId="30">#REF!</definedName>
    <definedName name="SL011Text" localSheetId="4">#REF!</definedName>
    <definedName name="SL011Text" localSheetId="29">#REF!</definedName>
    <definedName name="SL011Text" localSheetId="17">#REF!</definedName>
    <definedName name="SL011Text" localSheetId="23">#REF!</definedName>
    <definedName name="SL011Text" localSheetId="27">#REF!</definedName>
    <definedName name="SL011Text" localSheetId="21">#REF!</definedName>
    <definedName name="SL011Text" localSheetId="20">#REF!</definedName>
    <definedName name="SL011Text" localSheetId="19">#REF!</definedName>
    <definedName name="SL011Text" localSheetId="18">#REF!</definedName>
    <definedName name="SL011Text" localSheetId="28">#REF!</definedName>
    <definedName name="SL011Text" localSheetId="22">#REF!</definedName>
    <definedName name="SL011Text" localSheetId="16">#REF!</definedName>
    <definedName name="SL011Text" localSheetId="8">#REF!</definedName>
    <definedName name="SL011Text" localSheetId="9">#REF!</definedName>
    <definedName name="SL011Text" localSheetId="3">#REF!</definedName>
    <definedName name="SL011Text" localSheetId="26">#REF!</definedName>
    <definedName name="SL011Text" localSheetId="31">#REF!</definedName>
    <definedName name="SL011Text" localSheetId="6">#REF!</definedName>
    <definedName name="SL011Text" localSheetId="12">#REF!</definedName>
    <definedName name="SL011Text" localSheetId="25">#REF!</definedName>
    <definedName name="SL011Text">#REF!</definedName>
    <definedName name="SL011Title" localSheetId="30">#REF!</definedName>
    <definedName name="SL011Title" localSheetId="4">#REF!</definedName>
    <definedName name="SL011Title" localSheetId="29">#REF!</definedName>
    <definedName name="SL011Title" localSheetId="17">#REF!</definedName>
    <definedName name="SL011Title" localSheetId="23">#REF!</definedName>
    <definedName name="SL011Title" localSheetId="27">#REF!</definedName>
    <definedName name="SL011Title" localSheetId="21">#REF!</definedName>
    <definedName name="SL011Title" localSheetId="20">#REF!</definedName>
    <definedName name="SL011Title" localSheetId="19">#REF!</definedName>
    <definedName name="SL011Title" localSheetId="18">#REF!</definedName>
    <definedName name="SL011Title" localSheetId="28">#REF!</definedName>
    <definedName name="SL011Title" localSheetId="22">#REF!</definedName>
    <definedName name="SL011Title" localSheetId="16">#REF!</definedName>
    <definedName name="SL011Title" localSheetId="8">#REF!</definedName>
    <definedName name="SL011Title" localSheetId="9">#REF!</definedName>
    <definedName name="SL011Title" localSheetId="3">#REF!</definedName>
    <definedName name="SL011Title" localSheetId="26">#REF!</definedName>
    <definedName name="SL011Title" localSheetId="31">#REF!</definedName>
    <definedName name="SL011Title" localSheetId="6">#REF!</definedName>
    <definedName name="SL011Title" localSheetId="12">#REF!</definedName>
    <definedName name="SL011Title" localSheetId="25">#REF!</definedName>
    <definedName name="SL011Title">#REF!</definedName>
    <definedName name="SL011YTD" localSheetId="30">#REF!</definedName>
    <definedName name="SL011YTD" localSheetId="4">#REF!</definedName>
    <definedName name="SL011YTD" localSheetId="29">#REF!</definedName>
    <definedName name="SL011YTD" localSheetId="17">#REF!</definedName>
    <definedName name="SL011YTD" localSheetId="23">#REF!</definedName>
    <definedName name="SL011YTD" localSheetId="27">#REF!</definedName>
    <definedName name="SL011YTD" localSheetId="21">#REF!</definedName>
    <definedName name="SL011YTD" localSheetId="20">#REF!</definedName>
    <definedName name="SL011YTD" localSheetId="19">#REF!</definedName>
    <definedName name="SL011YTD" localSheetId="18">#REF!</definedName>
    <definedName name="SL011YTD" localSheetId="28">#REF!</definedName>
    <definedName name="SL011YTD" localSheetId="22">#REF!</definedName>
    <definedName name="SL011YTD" localSheetId="16">#REF!</definedName>
    <definedName name="SL011YTD" localSheetId="8">#REF!</definedName>
    <definedName name="SL011YTD" localSheetId="9">#REF!</definedName>
    <definedName name="SL011YTD" localSheetId="3">#REF!</definedName>
    <definedName name="SL011YTD" localSheetId="26">#REF!</definedName>
    <definedName name="SL011YTD" localSheetId="31">#REF!</definedName>
    <definedName name="SL011YTD" localSheetId="6">#REF!</definedName>
    <definedName name="SL011YTD" localSheetId="12">#REF!</definedName>
    <definedName name="SL011YTD" localSheetId="25">#REF!</definedName>
    <definedName name="SL011YTD">#REF!</definedName>
    <definedName name="SL012Month" localSheetId="30">#REF!</definedName>
    <definedName name="SL012Month" localSheetId="4">#REF!</definedName>
    <definedName name="SL012Month" localSheetId="29">#REF!</definedName>
    <definedName name="SL012Month" localSheetId="17">#REF!</definedName>
    <definedName name="SL012Month" localSheetId="23">#REF!</definedName>
    <definedName name="SL012Month" localSheetId="27">#REF!</definedName>
    <definedName name="SL012Month" localSheetId="21">#REF!</definedName>
    <definedName name="SL012Month" localSheetId="20">#REF!</definedName>
    <definedName name="SL012Month" localSheetId="19">#REF!</definedName>
    <definedName name="SL012Month" localSheetId="18">#REF!</definedName>
    <definedName name="SL012Month" localSheetId="28">#REF!</definedName>
    <definedName name="SL012Month" localSheetId="22">#REF!</definedName>
    <definedName name="SL012Month" localSheetId="16">#REF!</definedName>
    <definedName name="SL012Month" localSheetId="8">#REF!</definedName>
    <definedName name="SL012Month" localSheetId="9">#REF!</definedName>
    <definedName name="SL012Month" localSheetId="3">#REF!</definedName>
    <definedName name="SL012Month" localSheetId="26">#REF!</definedName>
    <definedName name="SL012Month" localSheetId="31">#REF!</definedName>
    <definedName name="SL012Month" localSheetId="6">#REF!</definedName>
    <definedName name="SL012Month" localSheetId="12">#REF!</definedName>
    <definedName name="SL012Month" localSheetId="25">#REF!</definedName>
    <definedName name="SL012Month">#REF!</definedName>
    <definedName name="SL012Text" localSheetId="30">#REF!</definedName>
    <definedName name="SL012Text" localSheetId="4">#REF!</definedName>
    <definedName name="SL012Text" localSheetId="29">#REF!</definedName>
    <definedName name="SL012Text" localSheetId="17">#REF!</definedName>
    <definedName name="SL012Text" localSheetId="23">#REF!</definedName>
    <definedName name="SL012Text" localSheetId="27">#REF!</definedName>
    <definedName name="SL012Text" localSheetId="21">#REF!</definedName>
    <definedName name="SL012Text" localSheetId="20">#REF!</definedName>
    <definedName name="SL012Text" localSheetId="19">#REF!</definedName>
    <definedName name="SL012Text" localSheetId="18">#REF!</definedName>
    <definedName name="SL012Text" localSheetId="28">#REF!</definedName>
    <definedName name="SL012Text" localSheetId="22">#REF!</definedName>
    <definedName name="SL012Text" localSheetId="16">#REF!</definedName>
    <definedName name="SL012Text" localSheetId="8">#REF!</definedName>
    <definedName name="SL012Text" localSheetId="9">#REF!</definedName>
    <definedName name="SL012Text" localSheetId="3">#REF!</definedName>
    <definedName name="SL012Text" localSheetId="26">#REF!</definedName>
    <definedName name="SL012Text" localSheetId="31">#REF!</definedName>
    <definedName name="SL012Text" localSheetId="6">#REF!</definedName>
    <definedName name="SL012Text" localSheetId="12">#REF!</definedName>
    <definedName name="SL012Text" localSheetId="25">#REF!</definedName>
    <definedName name="SL012Text">#REF!</definedName>
    <definedName name="SL012Title" localSheetId="30">#REF!</definedName>
    <definedName name="SL012Title" localSheetId="4">#REF!</definedName>
    <definedName name="SL012Title" localSheetId="29">#REF!</definedName>
    <definedName name="SL012Title" localSheetId="17">#REF!</definedName>
    <definedName name="SL012Title" localSheetId="23">#REF!</definedName>
    <definedName name="SL012Title" localSheetId="27">#REF!</definedName>
    <definedName name="SL012Title" localSheetId="21">#REF!</definedName>
    <definedName name="SL012Title" localSheetId="20">#REF!</definedName>
    <definedName name="SL012Title" localSheetId="19">#REF!</definedName>
    <definedName name="SL012Title" localSheetId="18">#REF!</definedName>
    <definedName name="SL012Title" localSheetId="28">#REF!</definedName>
    <definedName name="SL012Title" localSheetId="22">#REF!</definedName>
    <definedName name="SL012Title" localSheetId="16">#REF!</definedName>
    <definedName name="SL012Title" localSheetId="8">#REF!</definedName>
    <definedName name="SL012Title" localSheetId="9">#REF!</definedName>
    <definedName name="SL012Title" localSheetId="3">#REF!</definedName>
    <definedName name="SL012Title" localSheetId="26">#REF!</definedName>
    <definedName name="SL012Title" localSheetId="31">#REF!</definedName>
    <definedName name="SL012Title" localSheetId="6">#REF!</definedName>
    <definedName name="SL012Title" localSheetId="12">#REF!</definedName>
    <definedName name="SL012Title" localSheetId="25">#REF!</definedName>
    <definedName name="SL012Title">#REF!</definedName>
    <definedName name="SL012YTD" localSheetId="30">#REF!</definedName>
    <definedName name="SL012YTD" localSheetId="4">#REF!</definedName>
    <definedName name="SL012YTD" localSheetId="29">#REF!</definedName>
    <definedName name="SL012YTD" localSheetId="17">#REF!</definedName>
    <definedName name="SL012YTD" localSheetId="23">#REF!</definedName>
    <definedName name="SL012YTD" localSheetId="27">#REF!</definedName>
    <definedName name="SL012YTD" localSheetId="21">#REF!</definedName>
    <definedName name="SL012YTD" localSheetId="20">#REF!</definedName>
    <definedName name="SL012YTD" localSheetId="19">#REF!</definedName>
    <definedName name="SL012YTD" localSheetId="18">#REF!</definedName>
    <definedName name="SL012YTD" localSheetId="28">#REF!</definedName>
    <definedName name="SL012YTD" localSheetId="22">#REF!</definedName>
    <definedName name="SL012YTD" localSheetId="16">#REF!</definedName>
    <definedName name="SL012YTD" localSheetId="8">#REF!</definedName>
    <definedName name="SL012YTD" localSheetId="9">#REF!</definedName>
    <definedName name="SL012YTD" localSheetId="3">#REF!</definedName>
    <definedName name="SL012YTD" localSheetId="26">#REF!</definedName>
    <definedName name="SL012YTD" localSheetId="31">#REF!</definedName>
    <definedName name="SL012YTD" localSheetId="6">#REF!</definedName>
    <definedName name="SL012YTD" localSheetId="12">#REF!</definedName>
    <definedName name="SL012YTD" localSheetId="25">#REF!</definedName>
    <definedName name="SL012YTD">#REF!</definedName>
    <definedName name="SL013Month" localSheetId="30">#REF!</definedName>
    <definedName name="SL013Month" localSheetId="4">#REF!</definedName>
    <definedName name="SL013Month" localSheetId="29">#REF!</definedName>
    <definedName name="SL013Month" localSheetId="17">#REF!</definedName>
    <definedName name="SL013Month" localSheetId="23">#REF!</definedName>
    <definedName name="SL013Month" localSheetId="27">#REF!</definedName>
    <definedName name="SL013Month" localSheetId="21">#REF!</definedName>
    <definedName name="SL013Month" localSheetId="20">#REF!</definedName>
    <definedName name="SL013Month" localSheetId="19">#REF!</definedName>
    <definedName name="SL013Month" localSheetId="18">#REF!</definedName>
    <definedName name="SL013Month" localSheetId="28">#REF!</definedName>
    <definedName name="SL013Month" localSheetId="22">#REF!</definedName>
    <definedName name="SL013Month" localSheetId="16">#REF!</definedName>
    <definedName name="SL013Month" localSheetId="8">#REF!</definedName>
    <definedName name="SL013Month" localSheetId="9">#REF!</definedName>
    <definedName name="SL013Month" localSheetId="3">#REF!</definedName>
    <definedName name="SL013Month" localSheetId="26">#REF!</definedName>
    <definedName name="SL013Month" localSheetId="31">#REF!</definedName>
    <definedName name="SL013Month" localSheetId="6">#REF!</definedName>
    <definedName name="SL013Month" localSheetId="12">#REF!</definedName>
    <definedName name="SL013Month" localSheetId="25">#REF!</definedName>
    <definedName name="SL013Month">#REF!</definedName>
    <definedName name="SL013Text" localSheetId="30">#REF!</definedName>
    <definedName name="SL013Text" localSheetId="4">#REF!</definedName>
    <definedName name="SL013Text" localSheetId="29">#REF!</definedName>
    <definedName name="SL013Text" localSheetId="17">#REF!</definedName>
    <definedName name="SL013Text" localSheetId="23">#REF!</definedName>
    <definedName name="SL013Text" localSheetId="27">#REF!</definedName>
    <definedName name="SL013Text" localSheetId="21">#REF!</definedName>
    <definedName name="SL013Text" localSheetId="20">#REF!</definedName>
    <definedName name="SL013Text" localSheetId="19">#REF!</definedName>
    <definedName name="SL013Text" localSheetId="18">#REF!</definedName>
    <definedName name="SL013Text" localSheetId="28">#REF!</definedName>
    <definedName name="SL013Text" localSheetId="22">#REF!</definedName>
    <definedName name="SL013Text" localSheetId="16">#REF!</definedName>
    <definedName name="SL013Text" localSheetId="8">#REF!</definedName>
    <definedName name="SL013Text" localSheetId="9">#REF!</definedName>
    <definedName name="SL013Text" localSheetId="3">#REF!</definedName>
    <definedName name="SL013Text" localSheetId="26">#REF!</definedName>
    <definedName name="SL013Text" localSheetId="31">#REF!</definedName>
    <definedName name="SL013Text" localSheetId="6">#REF!</definedName>
    <definedName name="SL013Text" localSheetId="12">#REF!</definedName>
    <definedName name="SL013Text" localSheetId="25">#REF!</definedName>
    <definedName name="SL013Text">#REF!</definedName>
    <definedName name="SL013Title" localSheetId="30">#REF!</definedName>
    <definedName name="SL013Title" localSheetId="4">#REF!</definedName>
    <definedName name="SL013Title" localSheetId="29">#REF!</definedName>
    <definedName name="SL013Title" localSheetId="17">#REF!</definedName>
    <definedName name="SL013Title" localSheetId="23">#REF!</definedName>
    <definedName name="SL013Title" localSheetId="27">#REF!</definedName>
    <definedName name="SL013Title" localSheetId="21">#REF!</definedName>
    <definedName name="SL013Title" localSheetId="20">#REF!</definedName>
    <definedName name="SL013Title" localSheetId="19">#REF!</definedName>
    <definedName name="SL013Title" localSheetId="18">#REF!</definedName>
    <definedName name="SL013Title" localSheetId="28">#REF!</definedName>
    <definedName name="SL013Title" localSheetId="22">#REF!</definedName>
    <definedName name="SL013Title" localSheetId="16">#REF!</definedName>
    <definedName name="SL013Title" localSheetId="8">#REF!</definedName>
    <definedName name="SL013Title" localSheetId="9">#REF!</definedName>
    <definedName name="SL013Title" localSheetId="3">#REF!</definedName>
    <definedName name="SL013Title" localSheetId="26">#REF!</definedName>
    <definedName name="SL013Title" localSheetId="31">#REF!</definedName>
    <definedName name="SL013Title" localSheetId="6">#REF!</definedName>
    <definedName name="SL013Title" localSheetId="12">#REF!</definedName>
    <definedName name="SL013Title" localSheetId="25">#REF!</definedName>
    <definedName name="SL013Title">#REF!</definedName>
    <definedName name="SL013YTD" localSheetId="30">#REF!</definedName>
    <definedName name="SL013YTD" localSheetId="4">#REF!</definedName>
    <definedName name="SL013YTD" localSheetId="29">#REF!</definedName>
    <definedName name="SL013YTD" localSheetId="17">#REF!</definedName>
    <definedName name="SL013YTD" localSheetId="23">#REF!</definedName>
    <definedName name="SL013YTD" localSheetId="27">#REF!</definedName>
    <definedName name="SL013YTD" localSheetId="21">#REF!</definedName>
    <definedName name="SL013YTD" localSheetId="20">#REF!</definedName>
    <definedName name="SL013YTD" localSheetId="19">#REF!</definedName>
    <definedName name="SL013YTD" localSheetId="18">#REF!</definedName>
    <definedName name="SL013YTD" localSheetId="28">#REF!</definedName>
    <definedName name="SL013YTD" localSheetId="22">#REF!</definedName>
    <definedName name="SL013YTD" localSheetId="16">#REF!</definedName>
    <definedName name="SL013YTD" localSheetId="8">#REF!</definedName>
    <definedName name="SL013YTD" localSheetId="9">#REF!</definedName>
    <definedName name="SL013YTD" localSheetId="3">#REF!</definedName>
    <definedName name="SL013YTD" localSheetId="26">#REF!</definedName>
    <definedName name="SL013YTD" localSheetId="31">#REF!</definedName>
    <definedName name="SL013YTD" localSheetId="6">#REF!</definedName>
    <definedName name="SL013YTD" localSheetId="12">#REF!</definedName>
    <definedName name="SL013YTD" localSheetId="25">#REF!</definedName>
    <definedName name="SL013YTD">#REF!</definedName>
    <definedName name="SL014Month" localSheetId="30">#REF!</definedName>
    <definedName name="SL014Month" localSheetId="4">#REF!</definedName>
    <definedName name="SL014Month" localSheetId="29">#REF!</definedName>
    <definedName name="SL014Month" localSheetId="17">#REF!</definedName>
    <definedName name="SL014Month" localSheetId="23">#REF!</definedName>
    <definedName name="SL014Month" localSheetId="27">#REF!</definedName>
    <definedName name="SL014Month" localSheetId="21">#REF!</definedName>
    <definedName name="SL014Month" localSheetId="20">#REF!</definedName>
    <definedName name="SL014Month" localSheetId="19">#REF!</definedName>
    <definedName name="SL014Month" localSheetId="18">#REF!</definedName>
    <definedName name="SL014Month" localSheetId="28">#REF!</definedName>
    <definedName name="SL014Month" localSheetId="22">#REF!</definedName>
    <definedName name="SL014Month" localSheetId="16">#REF!</definedName>
    <definedName name="SL014Month" localSheetId="8">#REF!</definedName>
    <definedName name="SL014Month" localSheetId="9">#REF!</definedName>
    <definedName name="SL014Month" localSheetId="3">#REF!</definedName>
    <definedName name="SL014Month" localSheetId="26">#REF!</definedName>
    <definedName name="SL014Month" localSheetId="31">#REF!</definedName>
    <definedName name="SL014Month" localSheetId="6">#REF!</definedName>
    <definedName name="SL014Month" localSheetId="12">#REF!</definedName>
    <definedName name="SL014Month" localSheetId="25">#REF!</definedName>
    <definedName name="SL014Month">#REF!</definedName>
    <definedName name="SL014Text" localSheetId="30">#REF!</definedName>
    <definedName name="SL014Text" localSheetId="4">#REF!</definedName>
    <definedName name="SL014Text" localSheetId="29">#REF!</definedName>
    <definedName name="SL014Text" localSheetId="17">#REF!</definedName>
    <definedName name="SL014Text" localSheetId="23">#REF!</definedName>
    <definedName name="SL014Text" localSheetId="27">#REF!</definedName>
    <definedName name="SL014Text" localSheetId="21">#REF!</definedName>
    <definedName name="SL014Text" localSheetId="20">#REF!</definedName>
    <definedName name="SL014Text" localSheetId="19">#REF!</definedName>
    <definedName name="SL014Text" localSheetId="18">#REF!</definedName>
    <definedName name="SL014Text" localSheetId="28">#REF!</definedName>
    <definedName name="SL014Text" localSheetId="22">#REF!</definedName>
    <definedName name="SL014Text" localSheetId="16">#REF!</definedName>
    <definedName name="SL014Text" localSheetId="8">#REF!</definedName>
    <definedName name="SL014Text" localSheetId="9">#REF!</definedName>
    <definedName name="SL014Text" localSheetId="3">#REF!</definedName>
    <definedName name="SL014Text" localSheetId="26">#REF!</definedName>
    <definedName name="SL014Text" localSheetId="31">#REF!</definedName>
    <definedName name="SL014Text" localSheetId="6">#REF!</definedName>
    <definedName name="SL014Text" localSheetId="12">#REF!</definedName>
    <definedName name="SL014Text" localSheetId="25">#REF!</definedName>
    <definedName name="SL014Text">#REF!</definedName>
    <definedName name="SL014Title" localSheetId="30">#REF!</definedName>
    <definedName name="SL014Title" localSheetId="4">#REF!</definedName>
    <definedName name="SL014Title" localSheetId="29">#REF!</definedName>
    <definedName name="SL014Title" localSheetId="17">#REF!</definedName>
    <definedName name="SL014Title" localSheetId="23">#REF!</definedName>
    <definedName name="SL014Title" localSheetId="27">#REF!</definedName>
    <definedName name="SL014Title" localSheetId="21">#REF!</definedName>
    <definedName name="SL014Title" localSheetId="20">#REF!</definedName>
    <definedName name="SL014Title" localSheetId="19">#REF!</definedName>
    <definedName name="SL014Title" localSheetId="18">#REF!</definedName>
    <definedName name="SL014Title" localSheetId="28">#REF!</definedName>
    <definedName name="SL014Title" localSheetId="22">#REF!</definedName>
    <definedName name="SL014Title" localSheetId="16">#REF!</definedName>
    <definedName name="SL014Title" localSheetId="8">#REF!</definedName>
    <definedName name="SL014Title" localSheetId="9">#REF!</definedName>
    <definedName name="SL014Title" localSheetId="3">#REF!</definedName>
    <definedName name="SL014Title" localSheetId="26">#REF!</definedName>
    <definedName name="SL014Title" localSheetId="31">#REF!</definedName>
    <definedName name="SL014Title" localSheetId="6">#REF!</definedName>
    <definedName name="SL014Title" localSheetId="12">#REF!</definedName>
    <definedName name="SL014Title" localSheetId="25">#REF!</definedName>
    <definedName name="SL014Title">#REF!</definedName>
    <definedName name="SL014YTD" localSheetId="30">#REF!</definedName>
    <definedName name="SL014YTD" localSheetId="4">#REF!</definedName>
    <definedName name="SL014YTD" localSheetId="29">#REF!</definedName>
    <definedName name="SL014YTD" localSheetId="17">#REF!</definedName>
    <definedName name="SL014YTD" localSheetId="23">#REF!</definedName>
    <definedName name="SL014YTD" localSheetId="27">#REF!</definedName>
    <definedName name="SL014YTD" localSheetId="21">#REF!</definedName>
    <definedName name="SL014YTD" localSheetId="20">#REF!</definedName>
    <definedName name="SL014YTD" localSheetId="19">#REF!</definedName>
    <definedName name="SL014YTD" localSheetId="18">#REF!</definedName>
    <definedName name="SL014YTD" localSheetId="28">#REF!</definedName>
    <definedName name="SL014YTD" localSheetId="22">#REF!</definedName>
    <definedName name="SL014YTD" localSheetId="16">#REF!</definedName>
    <definedName name="SL014YTD" localSheetId="8">#REF!</definedName>
    <definedName name="SL014YTD" localSheetId="9">#REF!</definedName>
    <definedName name="SL014YTD" localSheetId="3">#REF!</definedName>
    <definedName name="SL014YTD" localSheetId="26">#REF!</definedName>
    <definedName name="SL014YTD" localSheetId="31">#REF!</definedName>
    <definedName name="SL014YTD" localSheetId="6">#REF!</definedName>
    <definedName name="SL014YTD" localSheetId="12">#REF!</definedName>
    <definedName name="SL014YTD" localSheetId="25">#REF!</definedName>
    <definedName name="SL014YTD">#REF!</definedName>
    <definedName name="SL015Month" localSheetId="30">#REF!</definedName>
    <definedName name="SL015Month" localSheetId="4">#REF!</definedName>
    <definedName name="SL015Month" localSheetId="29">#REF!</definedName>
    <definedName name="SL015Month" localSheetId="17">#REF!</definedName>
    <definedName name="SL015Month" localSheetId="23">#REF!</definedName>
    <definedName name="SL015Month" localSheetId="27">#REF!</definedName>
    <definedName name="SL015Month" localSheetId="21">#REF!</definedName>
    <definedName name="SL015Month" localSheetId="20">#REF!</definedName>
    <definedName name="SL015Month" localSheetId="19">#REF!</definedName>
    <definedName name="SL015Month" localSheetId="18">#REF!</definedName>
    <definedName name="SL015Month" localSheetId="28">#REF!</definedName>
    <definedName name="SL015Month" localSheetId="22">#REF!</definedName>
    <definedName name="SL015Month" localSheetId="16">#REF!</definedName>
    <definedName name="SL015Month" localSheetId="8">#REF!</definedName>
    <definedName name="SL015Month" localSheetId="9">#REF!</definedName>
    <definedName name="SL015Month" localSheetId="3">#REF!</definedName>
    <definedName name="SL015Month" localSheetId="26">#REF!</definedName>
    <definedName name="SL015Month" localSheetId="31">#REF!</definedName>
    <definedName name="SL015Month" localSheetId="6">#REF!</definedName>
    <definedName name="SL015Month" localSheetId="12">#REF!</definedName>
    <definedName name="SL015Month" localSheetId="25">#REF!</definedName>
    <definedName name="SL015Month">#REF!</definedName>
    <definedName name="SL015Text" localSheetId="30">#REF!</definedName>
    <definedName name="SL015Text" localSheetId="4">#REF!</definedName>
    <definedName name="SL015Text" localSheetId="29">#REF!</definedName>
    <definedName name="SL015Text" localSheetId="17">#REF!</definedName>
    <definedName name="SL015Text" localSheetId="23">#REF!</definedName>
    <definedName name="SL015Text" localSheetId="27">#REF!</definedName>
    <definedName name="SL015Text" localSheetId="21">#REF!</definedName>
    <definedName name="SL015Text" localSheetId="20">#REF!</definedName>
    <definedName name="SL015Text" localSheetId="19">#REF!</definedName>
    <definedName name="SL015Text" localSheetId="18">#REF!</definedName>
    <definedName name="SL015Text" localSheetId="28">#REF!</definedName>
    <definedName name="SL015Text" localSheetId="22">#REF!</definedName>
    <definedName name="SL015Text" localSheetId="16">#REF!</definedName>
    <definedName name="SL015Text" localSheetId="8">#REF!</definedName>
    <definedName name="SL015Text" localSheetId="9">#REF!</definedName>
    <definedName name="SL015Text" localSheetId="3">#REF!</definedName>
    <definedName name="SL015Text" localSheetId="26">#REF!</definedName>
    <definedName name="SL015Text" localSheetId="31">#REF!</definedName>
    <definedName name="SL015Text" localSheetId="6">#REF!</definedName>
    <definedName name="SL015Text" localSheetId="12">#REF!</definedName>
    <definedName name="SL015Text" localSheetId="25">#REF!</definedName>
    <definedName name="SL015Text">#REF!</definedName>
    <definedName name="SL015Title" localSheetId="30">#REF!</definedName>
    <definedName name="SL015Title" localSheetId="4">#REF!</definedName>
    <definedName name="SL015Title" localSheetId="29">#REF!</definedName>
    <definedName name="SL015Title" localSheetId="17">#REF!</definedName>
    <definedName name="SL015Title" localSheetId="23">#REF!</definedName>
    <definedName name="SL015Title" localSheetId="27">#REF!</definedName>
    <definedName name="SL015Title" localSheetId="21">#REF!</definedName>
    <definedName name="SL015Title" localSheetId="20">#REF!</definedName>
    <definedName name="SL015Title" localSheetId="19">#REF!</definedName>
    <definedName name="SL015Title" localSheetId="18">#REF!</definedName>
    <definedName name="SL015Title" localSheetId="28">#REF!</definedName>
    <definedName name="SL015Title" localSheetId="22">#REF!</definedName>
    <definedName name="SL015Title" localSheetId="16">#REF!</definedName>
    <definedName name="SL015Title" localSheetId="8">#REF!</definedName>
    <definedName name="SL015Title" localSheetId="9">#REF!</definedName>
    <definedName name="SL015Title" localSheetId="3">#REF!</definedName>
    <definedName name="SL015Title" localSheetId="26">#REF!</definedName>
    <definedName name="SL015Title" localSheetId="31">#REF!</definedName>
    <definedName name="SL015Title" localSheetId="6">#REF!</definedName>
    <definedName name="SL015Title" localSheetId="12">#REF!</definedName>
    <definedName name="SL015Title" localSheetId="25">#REF!</definedName>
    <definedName name="SL015Title">#REF!</definedName>
    <definedName name="SL015YTD" localSheetId="30">#REF!</definedName>
    <definedName name="SL015YTD" localSheetId="4">#REF!</definedName>
    <definedName name="SL015YTD" localSheetId="29">#REF!</definedName>
    <definedName name="SL015YTD" localSheetId="17">#REF!</definedName>
    <definedName name="SL015YTD" localSheetId="23">#REF!</definedName>
    <definedName name="SL015YTD" localSheetId="27">#REF!</definedName>
    <definedName name="SL015YTD" localSheetId="21">#REF!</definedName>
    <definedName name="SL015YTD" localSheetId="20">#REF!</definedName>
    <definedName name="SL015YTD" localSheetId="19">#REF!</definedName>
    <definedName name="SL015YTD" localSheetId="18">#REF!</definedName>
    <definedName name="SL015YTD" localSheetId="28">#REF!</definedName>
    <definedName name="SL015YTD" localSheetId="22">#REF!</definedName>
    <definedName name="SL015YTD" localSheetId="16">#REF!</definedName>
    <definedName name="SL015YTD" localSheetId="8">#REF!</definedName>
    <definedName name="SL015YTD" localSheetId="9">#REF!</definedName>
    <definedName name="SL015YTD" localSheetId="3">#REF!</definedName>
    <definedName name="SL015YTD" localSheetId="26">#REF!</definedName>
    <definedName name="SL015YTD" localSheetId="31">#REF!</definedName>
    <definedName name="SL015YTD" localSheetId="6">#REF!</definedName>
    <definedName name="SL015YTD" localSheetId="12">#REF!</definedName>
    <definedName name="SL015YTD" localSheetId="25">#REF!</definedName>
    <definedName name="SL015YTD">#REF!</definedName>
    <definedName name="SL016Text" localSheetId="30">#REF!</definedName>
    <definedName name="SL016Text" localSheetId="4">#REF!</definedName>
    <definedName name="SL016Text" localSheetId="29">#REF!</definedName>
    <definedName name="SL016Text" localSheetId="17">#REF!</definedName>
    <definedName name="SL016Text" localSheetId="23">#REF!</definedName>
    <definedName name="SL016Text" localSheetId="27">#REF!</definedName>
    <definedName name="SL016Text" localSheetId="21">#REF!</definedName>
    <definedName name="SL016Text" localSheetId="20">#REF!</definedName>
    <definedName name="SL016Text" localSheetId="19">#REF!</definedName>
    <definedName name="SL016Text" localSheetId="18">#REF!</definedName>
    <definedName name="SL016Text" localSheetId="28">#REF!</definedName>
    <definedName name="SL016Text" localSheetId="22">#REF!</definedName>
    <definedName name="SL016Text" localSheetId="16">#REF!</definedName>
    <definedName name="SL016Text" localSheetId="8">#REF!</definedName>
    <definedName name="SL016Text" localSheetId="9">#REF!</definedName>
    <definedName name="SL016Text" localSheetId="3">#REF!</definedName>
    <definedName name="SL016Text" localSheetId="26">#REF!</definedName>
    <definedName name="SL016Text" localSheetId="31">#REF!</definedName>
    <definedName name="SL016Text" localSheetId="6">#REF!</definedName>
    <definedName name="SL016Text" localSheetId="12">#REF!</definedName>
    <definedName name="SL016Text" localSheetId="25">#REF!</definedName>
    <definedName name="SL016Text">#REF!</definedName>
    <definedName name="SL016Title" localSheetId="30">#REF!</definedName>
    <definedName name="SL016Title" localSheetId="4">#REF!</definedName>
    <definedName name="SL016Title" localSheetId="29">#REF!</definedName>
    <definedName name="SL016Title" localSheetId="17">#REF!</definedName>
    <definedName name="SL016Title" localSheetId="23">#REF!</definedName>
    <definedName name="SL016Title" localSheetId="27">#REF!</definedName>
    <definedName name="SL016Title" localSheetId="21">#REF!</definedName>
    <definedName name="SL016Title" localSheetId="20">#REF!</definedName>
    <definedName name="SL016Title" localSheetId="19">#REF!</definedName>
    <definedName name="SL016Title" localSheetId="18">#REF!</definedName>
    <definedName name="SL016Title" localSheetId="28">#REF!</definedName>
    <definedName name="SL016Title" localSheetId="22">#REF!</definedName>
    <definedName name="SL016Title" localSheetId="16">#REF!</definedName>
    <definedName name="SL016Title" localSheetId="8">#REF!</definedName>
    <definedName name="SL016Title" localSheetId="9">#REF!</definedName>
    <definedName name="SL016Title" localSheetId="3">#REF!</definedName>
    <definedName name="SL016Title" localSheetId="26">#REF!</definedName>
    <definedName name="SL016Title" localSheetId="31">#REF!</definedName>
    <definedName name="SL016Title" localSheetId="6">#REF!</definedName>
    <definedName name="SL016Title" localSheetId="12">#REF!</definedName>
    <definedName name="SL016Title" localSheetId="25">#REF!</definedName>
    <definedName name="SL016Title">#REF!</definedName>
    <definedName name="SL017Text" localSheetId="30">#REF!</definedName>
    <definedName name="SL017Text" localSheetId="4">#REF!</definedName>
    <definedName name="SL017Text" localSheetId="29">#REF!</definedName>
    <definedName name="SL017Text" localSheetId="17">#REF!</definedName>
    <definedName name="SL017Text" localSheetId="23">#REF!</definedName>
    <definedName name="SL017Text" localSheetId="27">#REF!</definedName>
    <definedName name="SL017Text" localSheetId="21">#REF!</definedName>
    <definedName name="SL017Text" localSheetId="20">#REF!</definedName>
    <definedName name="SL017Text" localSheetId="19">#REF!</definedName>
    <definedName name="SL017Text" localSheetId="18">#REF!</definedName>
    <definedName name="SL017Text" localSheetId="28">#REF!</definedName>
    <definedName name="SL017Text" localSheetId="22">#REF!</definedName>
    <definedName name="SL017Text" localSheetId="16">#REF!</definedName>
    <definedName name="SL017Text" localSheetId="8">#REF!</definedName>
    <definedName name="SL017Text" localSheetId="9">#REF!</definedName>
    <definedName name="SL017Text" localSheetId="3">#REF!</definedName>
    <definedName name="SL017Text" localSheetId="26">#REF!</definedName>
    <definedName name="SL017Text" localSheetId="31">#REF!</definedName>
    <definedName name="SL017Text" localSheetId="6">#REF!</definedName>
    <definedName name="SL017Text" localSheetId="12">#REF!</definedName>
    <definedName name="SL017Text" localSheetId="25">#REF!</definedName>
    <definedName name="SL017Text">#REF!</definedName>
    <definedName name="SL017Title" localSheetId="30">#REF!</definedName>
    <definedName name="SL017Title" localSheetId="4">#REF!</definedName>
    <definedName name="SL017Title" localSheetId="29">#REF!</definedName>
    <definedName name="SL017Title" localSheetId="17">#REF!</definedName>
    <definedName name="SL017Title" localSheetId="23">#REF!</definedName>
    <definedName name="SL017Title" localSheetId="27">#REF!</definedName>
    <definedName name="SL017Title" localSheetId="21">#REF!</definedName>
    <definedName name="SL017Title" localSheetId="20">#REF!</definedName>
    <definedName name="SL017Title" localSheetId="19">#REF!</definedName>
    <definedName name="SL017Title" localSheetId="18">#REF!</definedName>
    <definedName name="SL017Title" localSheetId="28">#REF!</definedName>
    <definedName name="SL017Title" localSheetId="22">#REF!</definedName>
    <definedName name="SL017Title" localSheetId="16">#REF!</definedName>
    <definedName name="SL017Title" localSheetId="8">#REF!</definedName>
    <definedName name="SL017Title" localSheetId="9">#REF!</definedName>
    <definedName name="SL017Title" localSheetId="3">#REF!</definedName>
    <definedName name="SL017Title" localSheetId="26">#REF!</definedName>
    <definedName name="SL017Title" localSheetId="31">#REF!</definedName>
    <definedName name="SL017Title" localSheetId="6">#REF!</definedName>
    <definedName name="SL017Title" localSheetId="12">#REF!</definedName>
    <definedName name="SL017Title" localSheetId="25">#REF!</definedName>
    <definedName name="SL017Title">#REF!</definedName>
    <definedName name="SL018Month" localSheetId="30">#REF!</definedName>
    <definedName name="SL018Month" localSheetId="4">#REF!</definedName>
    <definedName name="SL018Month" localSheetId="29">#REF!</definedName>
    <definedName name="SL018Month" localSheetId="17">#REF!</definedName>
    <definedName name="SL018Month" localSheetId="23">#REF!</definedName>
    <definedName name="SL018Month" localSheetId="27">#REF!</definedName>
    <definedName name="SL018Month" localSheetId="21">#REF!</definedName>
    <definedName name="SL018Month" localSheetId="20">#REF!</definedName>
    <definedName name="SL018Month" localSheetId="19">#REF!</definedName>
    <definedName name="SL018Month" localSheetId="18">#REF!</definedName>
    <definedName name="SL018Month" localSheetId="28">#REF!</definedName>
    <definedName name="SL018Month" localSheetId="22">#REF!</definedName>
    <definedName name="SL018Month" localSheetId="16">#REF!</definedName>
    <definedName name="SL018Month" localSheetId="8">#REF!</definedName>
    <definedName name="SL018Month" localSheetId="9">#REF!</definedName>
    <definedName name="SL018Month" localSheetId="3">#REF!</definedName>
    <definedName name="SL018Month" localSheetId="26">#REF!</definedName>
    <definedName name="SL018Month" localSheetId="31">#REF!</definedName>
    <definedName name="SL018Month" localSheetId="6">#REF!</definedName>
    <definedName name="SL018Month" localSheetId="12">#REF!</definedName>
    <definedName name="SL018Month" localSheetId="25">#REF!</definedName>
    <definedName name="SL018Month">#REF!</definedName>
    <definedName name="SL018Text" localSheetId="30">#REF!</definedName>
    <definedName name="SL018Text" localSheetId="4">#REF!</definedName>
    <definedName name="SL018Text" localSheetId="29">#REF!</definedName>
    <definedName name="SL018Text" localSheetId="17">#REF!</definedName>
    <definedName name="SL018Text" localSheetId="23">#REF!</definedName>
    <definedName name="SL018Text" localSheetId="27">#REF!</definedName>
    <definedName name="SL018Text" localSheetId="21">#REF!</definedName>
    <definedName name="SL018Text" localSheetId="20">#REF!</definedName>
    <definedName name="SL018Text" localSheetId="19">#REF!</definedName>
    <definedName name="SL018Text" localSheetId="18">#REF!</definedName>
    <definedName name="SL018Text" localSheetId="28">#REF!</definedName>
    <definedName name="SL018Text" localSheetId="22">#REF!</definedName>
    <definedName name="SL018Text" localSheetId="16">#REF!</definedName>
    <definedName name="SL018Text" localSheetId="8">#REF!</definedName>
    <definedName name="SL018Text" localSheetId="9">#REF!</definedName>
    <definedName name="SL018Text" localSheetId="3">#REF!</definedName>
    <definedName name="SL018Text" localSheetId="26">#REF!</definedName>
    <definedName name="SL018Text" localSheetId="31">#REF!</definedName>
    <definedName name="SL018Text" localSheetId="6">#REF!</definedName>
    <definedName name="SL018Text" localSheetId="12">#REF!</definedName>
    <definedName name="SL018Text" localSheetId="25">#REF!</definedName>
    <definedName name="SL018Text">#REF!</definedName>
    <definedName name="SL018Title" localSheetId="30">#REF!</definedName>
    <definedName name="SL018Title" localSheetId="4">#REF!</definedName>
    <definedName name="SL018Title" localSheetId="29">#REF!</definedName>
    <definedName name="SL018Title" localSheetId="17">#REF!</definedName>
    <definedName name="SL018Title" localSheetId="23">#REF!</definedName>
    <definedName name="SL018Title" localSheetId="27">#REF!</definedName>
    <definedName name="SL018Title" localSheetId="21">#REF!</definedName>
    <definedName name="SL018Title" localSheetId="20">#REF!</definedName>
    <definedName name="SL018Title" localSheetId="19">#REF!</definedName>
    <definedName name="SL018Title" localSheetId="18">#REF!</definedName>
    <definedName name="SL018Title" localSheetId="28">#REF!</definedName>
    <definedName name="SL018Title" localSheetId="22">#REF!</definedName>
    <definedName name="SL018Title" localSheetId="16">#REF!</definedName>
    <definedName name="SL018Title" localSheetId="8">#REF!</definedName>
    <definedName name="SL018Title" localSheetId="9">#REF!</definedName>
    <definedName name="SL018Title" localSheetId="3">#REF!</definedName>
    <definedName name="SL018Title" localSheetId="26">#REF!</definedName>
    <definedName name="SL018Title" localSheetId="31">#REF!</definedName>
    <definedName name="SL018Title" localSheetId="6">#REF!</definedName>
    <definedName name="SL018Title" localSheetId="12">#REF!</definedName>
    <definedName name="SL018Title" localSheetId="25">#REF!</definedName>
    <definedName name="SL018Title">#REF!</definedName>
    <definedName name="SL018YTD" localSheetId="30">#REF!</definedName>
    <definedName name="SL018YTD" localSheetId="4">#REF!</definedName>
    <definedName name="SL018YTD" localSheetId="29">#REF!</definedName>
    <definedName name="SL018YTD" localSheetId="17">#REF!</definedName>
    <definedName name="SL018YTD" localSheetId="23">#REF!</definedName>
    <definedName name="SL018YTD" localSheetId="27">#REF!</definedName>
    <definedName name="SL018YTD" localSheetId="21">#REF!</definedName>
    <definedName name="SL018YTD" localSheetId="20">#REF!</definedName>
    <definedName name="SL018YTD" localSheetId="19">#REF!</definedName>
    <definedName name="SL018YTD" localSheetId="18">#REF!</definedName>
    <definedName name="SL018YTD" localSheetId="28">#REF!</definedName>
    <definedName name="SL018YTD" localSheetId="22">#REF!</definedName>
    <definedName name="SL018YTD" localSheetId="16">#REF!</definedName>
    <definedName name="SL018YTD" localSheetId="8">#REF!</definedName>
    <definedName name="SL018YTD" localSheetId="9">#REF!</definedName>
    <definedName name="SL018YTD" localSheetId="3">#REF!</definedName>
    <definedName name="SL018YTD" localSheetId="26">#REF!</definedName>
    <definedName name="SL018YTD" localSheetId="31">#REF!</definedName>
    <definedName name="SL018YTD" localSheetId="6">#REF!</definedName>
    <definedName name="SL018YTD" localSheetId="12">#REF!</definedName>
    <definedName name="SL018YTD" localSheetId="25">#REF!</definedName>
    <definedName name="SL018YTD">#REF!</definedName>
    <definedName name="SL019Month" localSheetId="30">#REF!</definedName>
    <definedName name="SL019Month" localSheetId="4">#REF!</definedName>
    <definedName name="SL019Month" localSheetId="29">#REF!</definedName>
    <definedName name="SL019Month" localSheetId="17">#REF!</definedName>
    <definedName name="SL019Month" localSheetId="23">#REF!</definedName>
    <definedName name="SL019Month" localSheetId="27">#REF!</definedName>
    <definedName name="SL019Month" localSheetId="21">#REF!</definedName>
    <definedName name="SL019Month" localSheetId="20">#REF!</definedName>
    <definedName name="SL019Month" localSheetId="19">#REF!</definedName>
    <definedName name="SL019Month" localSheetId="18">#REF!</definedName>
    <definedName name="SL019Month" localSheetId="28">#REF!</definedName>
    <definedName name="SL019Month" localSheetId="22">#REF!</definedName>
    <definedName name="SL019Month" localSheetId="16">#REF!</definedName>
    <definedName name="SL019Month" localSheetId="8">#REF!</definedName>
    <definedName name="SL019Month" localSheetId="9">#REF!</definedName>
    <definedName name="SL019Month" localSheetId="3">#REF!</definedName>
    <definedName name="SL019Month" localSheetId="26">#REF!</definedName>
    <definedName name="SL019Month" localSheetId="31">#REF!</definedName>
    <definedName name="SL019Month" localSheetId="6">#REF!</definedName>
    <definedName name="SL019Month" localSheetId="12">#REF!</definedName>
    <definedName name="SL019Month" localSheetId="25">#REF!</definedName>
    <definedName name="SL019Month">#REF!</definedName>
    <definedName name="SL019Text" localSheetId="30">#REF!</definedName>
    <definedName name="SL019Text" localSheetId="4">#REF!</definedName>
    <definedName name="SL019Text" localSheetId="29">#REF!</definedName>
    <definedName name="SL019Text" localSheetId="17">#REF!</definedName>
    <definedName name="SL019Text" localSheetId="23">#REF!</definedName>
    <definedName name="SL019Text" localSheetId="27">#REF!</definedName>
    <definedName name="SL019Text" localSheetId="21">#REF!</definedName>
    <definedName name="SL019Text" localSheetId="20">#REF!</definedName>
    <definedName name="SL019Text" localSheetId="19">#REF!</definedName>
    <definedName name="SL019Text" localSheetId="18">#REF!</definedName>
    <definedName name="SL019Text" localSheetId="28">#REF!</definedName>
    <definedName name="SL019Text" localSheetId="22">#REF!</definedName>
    <definedName name="SL019Text" localSheetId="16">#REF!</definedName>
    <definedName name="SL019Text" localSheetId="8">#REF!</definedName>
    <definedName name="SL019Text" localSheetId="9">#REF!</definedName>
    <definedName name="SL019Text" localSheetId="3">#REF!</definedName>
    <definedName name="SL019Text" localSheetId="26">#REF!</definedName>
    <definedName name="SL019Text" localSheetId="31">#REF!</definedName>
    <definedName name="SL019Text" localSheetId="6">#REF!</definedName>
    <definedName name="SL019Text" localSheetId="12">#REF!</definedName>
    <definedName name="SL019Text" localSheetId="25">#REF!</definedName>
    <definedName name="SL019Text">#REF!</definedName>
    <definedName name="SL019Title" localSheetId="30">#REF!</definedName>
    <definedName name="SL019Title" localSheetId="4">#REF!</definedName>
    <definedName name="SL019Title" localSheetId="29">#REF!</definedName>
    <definedName name="SL019Title" localSheetId="17">#REF!</definedName>
    <definedName name="SL019Title" localSheetId="23">#REF!</definedName>
    <definedName name="SL019Title" localSheetId="27">#REF!</definedName>
    <definedName name="SL019Title" localSheetId="21">#REF!</definedName>
    <definedName name="SL019Title" localSheetId="20">#REF!</definedName>
    <definedName name="SL019Title" localSheetId="19">#REF!</definedName>
    <definedName name="SL019Title" localSheetId="18">#REF!</definedName>
    <definedName name="SL019Title" localSheetId="28">#REF!</definedName>
    <definedName name="SL019Title" localSheetId="22">#REF!</definedName>
    <definedName name="SL019Title" localSheetId="16">#REF!</definedName>
    <definedName name="SL019Title" localSheetId="8">#REF!</definedName>
    <definedName name="SL019Title" localSheetId="9">#REF!</definedName>
    <definedName name="SL019Title" localSheetId="3">#REF!</definedName>
    <definedName name="SL019Title" localSheetId="26">#REF!</definedName>
    <definedName name="SL019Title" localSheetId="31">#REF!</definedName>
    <definedName name="SL019Title" localSheetId="6">#REF!</definedName>
    <definedName name="SL019Title" localSheetId="12">#REF!</definedName>
    <definedName name="SL019Title" localSheetId="25">#REF!</definedName>
    <definedName name="SL019Title">#REF!</definedName>
    <definedName name="SL019YTD" localSheetId="30">#REF!</definedName>
    <definedName name="SL019YTD" localSheetId="4">#REF!</definedName>
    <definedName name="SL019YTD" localSheetId="29">#REF!</definedName>
    <definedName name="SL019YTD" localSheetId="17">#REF!</definedName>
    <definedName name="SL019YTD" localSheetId="23">#REF!</definedName>
    <definedName name="SL019YTD" localSheetId="27">#REF!</definedName>
    <definedName name="SL019YTD" localSheetId="21">#REF!</definedName>
    <definedName name="SL019YTD" localSheetId="20">#REF!</definedName>
    <definedName name="SL019YTD" localSheetId="19">#REF!</definedName>
    <definedName name="SL019YTD" localSheetId="18">#REF!</definedName>
    <definedName name="SL019YTD" localSheetId="28">#REF!</definedName>
    <definedName name="SL019YTD" localSheetId="22">#REF!</definedName>
    <definedName name="SL019YTD" localSheetId="16">#REF!</definedName>
    <definedName name="SL019YTD" localSheetId="8">#REF!</definedName>
    <definedName name="SL019YTD" localSheetId="9">#REF!</definedName>
    <definedName name="SL019YTD" localSheetId="3">#REF!</definedName>
    <definedName name="SL019YTD" localSheetId="26">#REF!</definedName>
    <definedName name="SL019YTD" localSheetId="31">#REF!</definedName>
    <definedName name="SL019YTD" localSheetId="6">#REF!</definedName>
    <definedName name="SL019YTD" localSheetId="12">#REF!</definedName>
    <definedName name="SL019YTD" localSheetId="25">#REF!</definedName>
    <definedName name="SL019YTD">#REF!</definedName>
    <definedName name="SL021Month" localSheetId="30">#REF!</definedName>
    <definedName name="SL021Month" localSheetId="4">#REF!</definedName>
    <definedName name="SL021Month" localSheetId="29">#REF!</definedName>
    <definedName name="SL021Month" localSheetId="17">#REF!</definedName>
    <definedName name="SL021Month" localSheetId="23">#REF!</definedName>
    <definedName name="SL021Month" localSheetId="27">#REF!</definedName>
    <definedName name="SL021Month" localSheetId="21">#REF!</definedName>
    <definedName name="SL021Month" localSheetId="20">#REF!</definedName>
    <definedName name="SL021Month" localSheetId="19">#REF!</definedName>
    <definedName name="SL021Month" localSheetId="18">#REF!</definedName>
    <definedName name="SL021Month" localSheetId="28">#REF!</definedName>
    <definedName name="SL021Month" localSheetId="22">#REF!</definedName>
    <definedName name="SL021Month" localSheetId="16">#REF!</definedName>
    <definedName name="SL021Month" localSheetId="8">#REF!</definedName>
    <definedName name="SL021Month" localSheetId="9">#REF!</definedName>
    <definedName name="SL021Month" localSheetId="3">#REF!</definedName>
    <definedName name="SL021Month" localSheetId="26">#REF!</definedName>
    <definedName name="SL021Month" localSheetId="31">#REF!</definedName>
    <definedName name="SL021Month" localSheetId="6">#REF!</definedName>
    <definedName name="SL021Month" localSheetId="12">#REF!</definedName>
    <definedName name="SL021Month" localSheetId="25">#REF!</definedName>
    <definedName name="SL021Month">#REF!</definedName>
    <definedName name="SL021Text" localSheetId="30">#REF!</definedName>
    <definedName name="SL021Text" localSheetId="4">#REF!</definedName>
    <definedName name="SL021Text" localSheetId="29">#REF!</definedName>
    <definedName name="SL021Text" localSheetId="17">#REF!</definedName>
    <definedName name="SL021Text" localSheetId="23">#REF!</definedName>
    <definedName name="SL021Text" localSheetId="27">#REF!</definedName>
    <definedName name="SL021Text" localSheetId="21">#REF!</definedName>
    <definedName name="SL021Text" localSheetId="20">#REF!</definedName>
    <definedName name="SL021Text" localSheetId="19">#REF!</definedName>
    <definedName name="SL021Text" localSheetId="18">#REF!</definedName>
    <definedName name="SL021Text" localSheetId="28">#REF!</definedName>
    <definedName name="SL021Text" localSheetId="22">#REF!</definedName>
    <definedName name="SL021Text" localSheetId="16">#REF!</definedName>
    <definedName name="SL021Text" localSheetId="8">#REF!</definedName>
    <definedName name="SL021Text" localSheetId="9">#REF!</definedName>
    <definedName name="SL021Text" localSheetId="3">#REF!</definedName>
    <definedName name="SL021Text" localSheetId="26">#REF!</definedName>
    <definedName name="SL021Text" localSheetId="31">#REF!</definedName>
    <definedName name="SL021Text" localSheetId="6">#REF!</definedName>
    <definedName name="SL021Text" localSheetId="12">#REF!</definedName>
    <definedName name="SL021Text" localSheetId="25">#REF!</definedName>
    <definedName name="SL021Text">#REF!</definedName>
    <definedName name="SL021Title" localSheetId="30">#REF!</definedName>
    <definedName name="SL021Title" localSheetId="4">#REF!</definedName>
    <definedName name="SL021Title" localSheetId="29">#REF!</definedName>
    <definedName name="SL021Title" localSheetId="17">#REF!</definedName>
    <definedName name="SL021Title" localSheetId="23">#REF!</definedName>
    <definedName name="SL021Title" localSheetId="27">#REF!</definedName>
    <definedName name="SL021Title" localSheetId="21">#REF!</definedName>
    <definedName name="SL021Title" localSheetId="20">#REF!</definedName>
    <definedName name="SL021Title" localSheetId="19">#REF!</definedName>
    <definedName name="SL021Title" localSheetId="18">#REF!</definedName>
    <definedName name="SL021Title" localSheetId="28">#REF!</definedName>
    <definedName name="SL021Title" localSheetId="22">#REF!</definedName>
    <definedName name="SL021Title" localSheetId="16">#REF!</definedName>
    <definedName name="SL021Title" localSheetId="8">#REF!</definedName>
    <definedName name="SL021Title" localSheetId="9">#REF!</definedName>
    <definedName name="SL021Title" localSheetId="3">#REF!</definedName>
    <definedName name="SL021Title" localSheetId="26">#REF!</definedName>
    <definedName name="SL021Title" localSheetId="31">#REF!</definedName>
    <definedName name="SL021Title" localSheetId="6">#REF!</definedName>
    <definedName name="SL021Title" localSheetId="12">#REF!</definedName>
    <definedName name="SL021Title" localSheetId="25">#REF!</definedName>
    <definedName name="SL021Title">#REF!</definedName>
    <definedName name="SL021YTD" localSheetId="30">#REF!</definedName>
    <definedName name="SL021YTD" localSheetId="4">#REF!</definedName>
    <definedName name="SL021YTD" localSheetId="29">#REF!</definedName>
    <definedName name="SL021YTD" localSheetId="17">#REF!</definedName>
    <definedName name="SL021YTD" localSheetId="23">#REF!</definedName>
    <definedName name="SL021YTD" localSheetId="27">#REF!</definedName>
    <definedName name="SL021YTD" localSheetId="21">#REF!</definedName>
    <definedName name="SL021YTD" localSheetId="20">#REF!</definedName>
    <definedName name="SL021YTD" localSheetId="19">#REF!</definedName>
    <definedName name="SL021YTD" localSheetId="18">#REF!</definedName>
    <definedName name="SL021YTD" localSheetId="28">#REF!</definedName>
    <definedName name="SL021YTD" localSheetId="22">#REF!</definedName>
    <definedName name="SL021YTD" localSheetId="16">#REF!</definedName>
    <definedName name="SL021YTD" localSheetId="8">#REF!</definedName>
    <definedName name="SL021YTD" localSheetId="9">#REF!</definedName>
    <definedName name="SL021YTD" localSheetId="3">#REF!</definedName>
    <definedName name="SL021YTD" localSheetId="26">#REF!</definedName>
    <definedName name="SL021YTD" localSheetId="31">#REF!</definedName>
    <definedName name="SL021YTD" localSheetId="6">#REF!</definedName>
    <definedName name="SL021YTD" localSheetId="12">#REF!</definedName>
    <definedName name="SL021YTD" localSheetId="25">#REF!</definedName>
    <definedName name="SL021YTD">#REF!</definedName>
    <definedName name="SL022Month" localSheetId="30">#REF!</definedName>
    <definedName name="SL022Month" localSheetId="4">#REF!</definedName>
    <definedName name="SL022Month" localSheetId="29">#REF!</definedName>
    <definedName name="SL022Month" localSheetId="17">#REF!</definedName>
    <definedName name="SL022Month" localSheetId="23">#REF!</definedName>
    <definedName name="SL022Month" localSheetId="27">#REF!</definedName>
    <definedName name="SL022Month" localSheetId="21">#REF!</definedName>
    <definedName name="SL022Month" localSheetId="20">#REF!</definedName>
    <definedName name="SL022Month" localSheetId="19">#REF!</definedName>
    <definedName name="SL022Month" localSheetId="18">#REF!</definedName>
    <definedName name="SL022Month" localSheetId="28">#REF!</definedName>
    <definedName name="SL022Month" localSheetId="22">#REF!</definedName>
    <definedName name="SL022Month" localSheetId="16">#REF!</definedName>
    <definedName name="SL022Month" localSheetId="8">#REF!</definedName>
    <definedName name="SL022Month" localSheetId="9">#REF!</definedName>
    <definedName name="SL022Month" localSheetId="3">#REF!</definedName>
    <definedName name="SL022Month" localSheetId="26">#REF!</definedName>
    <definedName name="SL022Month" localSheetId="31">#REF!</definedName>
    <definedName name="SL022Month" localSheetId="6">#REF!</definedName>
    <definedName name="SL022Month" localSheetId="12">#REF!</definedName>
    <definedName name="SL022Month" localSheetId="25">#REF!</definedName>
    <definedName name="SL022Month">#REF!</definedName>
    <definedName name="SL022Text" localSheetId="30">#REF!</definedName>
    <definedName name="SL022Text" localSheetId="4">#REF!</definedName>
    <definedName name="SL022Text" localSheetId="29">#REF!</definedName>
    <definedName name="SL022Text" localSheetId="17">#REF!</definedName>
    <definedName name="SL022Text" localSheetId="23">#REF!</definedName>
    <definedName name="SL022Text" localSheetId="27">#REF!</definedName>
    <definedName name="SL022Text" localSheetId="21">#REF!</definedName>
    <definedName name="SL022Text" localSheetId="20">#REF!</definedName>
    <definedName name="SL022Text" localSheetId="19">#REF!</definedName>
    <definedName name="SL022Text" localSheetId="18">#REF!</definedName>
    <definedName name="SL022Text" localSheetId="28">#REF!</definedName>
    <definedName name="SL022Text" localSheetId="22">#REF!</definedName>
    <definedName name="SL022Text" localSheetId="16">#REF!</definedName>
    <definedName name="SL022Text" localSheetId="8">#REF!</definedName>
    <definedName name="SL022Text" localSheetId="9">#REF!</definedName>
    <definedName name="SL022Text" localSheetId="3">#REF!</definedName>
    <definedName name="SL022Text" localSheetId="26">#REF!</definedName>
    <definedName name="SL022Text" localSheetId="31">#REF!</definedName>
    <definedName name="SL022Text" localSheetId="6">#REF!</definedName>
    <definedName name="SL022Text" localSheetId="12">#REF!</definedName>
    <definedName name="SL022Text" localSheetId="25">#REF!</definedName>
    <definedName name="SL022Text">#REF!</definedName>
    <definedName name="SL022Title" localSheetId="30">#REF!</definedName>
    <definedName name="SL022Title" localSheetId="4">#REF!</definedName>
    <definedName name="SL022Title" localSheetId="29">#REF!</definedName>
    <definedName name="SL022Title" localSheetId="17">#REF!</definedName>
    <definedName name="SL022Title" localSheetId="23">#REF!</definedName>
    <definedName name="SL022Title" localSheetId="27">#REF!</definedName>
    <definedName name="SL022Title" localSheetId="21">#REF!</definedName>
    <definedName name="SL022Title" localSheetId="20">#REF!</definedName>
    <definedName name="SL022Title" localSheetId="19">#REF!</definedName>
    <definedName name="SL022Title" localSheetId="18">#REF!</definedName>
    <definedName name="SL022Title" localSheetId="28">#REF!</definedName>
    <definedName name="SL022Title" localSheetId="22">#REF!</definedName>
    <definedName name="SL022Title" localSheetId="16">#REF!</definedName>
    <definedName name="SL022Title" localSheetId="8">#REF!</definedName>
    <definedName name="SL022Title" localSheetId="9">#REF!</definedName>
    <definedName name="SL022Title" localSheetId="3">#REF!</definedName>
    <definedName name="SL022Title" localSheetId="26">#REF!</definedName>
    <definedName name="SL022Title" localSheetId="31">#REF!</definedName>
    <definedName name="SL022Title" localSheetId="6">#REF!</definedName>
    <definedName name="SL022Title" localSheetId="12">#REF!</definedName>
    <definedName name="SL022Title" localSheetId="25">#REF!</definedName>
    <definedName name="SL022Title">#REF!</definedName>
    <definedName name="SL022YTD" localSheetId="30">#REF!</definedName>
    <definedName name="SL022YTD" localSheetId="4">#REF!</definedName>
    <definedName name="SL022YTD" localSheetId="29">#REF!</definedName>
    <definedName name="SL022YTD" localSheetId="17">#REF!</definedName>
    <definedName name="SL022YTD" localSheetId="23">#REF!</definedName>
    <definedName name="SL022YTD" localSheetId="27">#REF!</definedName>
    <definedName name="SL022YTD" localSheetId="21">#REF!</definedName>
    <definedName name="SL022YTD" localSheetId="20">#REF!</definedName>
    <definedName name="SL022YTD" localSheetId="19">#REF!</definedName>
    <definedName name="SL022YTD" localSheetId="18">#REF!</definedName>
    <definedName name="SL022YTD" localSheetId="28">#REF!</definedName>
    <definedName name="SL022YTD" localSheetId="22">#REF!</definedName>
    <definedName name="SL022YTD" localSheetId="16">#REF!</definedName>
    <definedName name="SL022YTD" localSheetId="8">#REF!</definedName>
    <definedName name="SL022YTD" localSheetId="9">#REF!</definedName>
    <definedName name="SL022YTD" localSheetId="3">#REF!</definedName>
    <definedName name="SL022YTD" localSheetId="26">#REF!</definedName>
    <definedName name="SL022YTD" localSheetId="31">#REF!</definedName>
    <definedName name="SL022YTD" localSheetId="6">#REF!</definedName>
    <definedName name="SL022YTD" localSheetId="12">#REF!</definedName>
    <definedName name="SL022YTD" localSheetId="25">#REF!</definedName>
    <definedName name="SL022YTD">#REF!</definedName>
    <definedName name="SL023Month" localSheetId="30">#REF!</definedName>
    <definedName name="SL023Month" localSheetId="4">#REF!</definedName>
    <definedName name="SL023Month" localSheetId="29">#REF!</definedName>
    <definedName name="SL023Month" localSheetId="17">#REF!</definedName>
    <definedName name="SL023Month" localSheetId="23">#REF!</definedName>
    <definedName name="SL023Month" localSheetId="27">#REF!</definedName>
    <definedName name="SL023Month" localSheetId="21">#REF!</definedName>
    <definedName name="SL023Month" localSheetId="20">#REF!</definedName>
    <definedName name="SL023Month" localSheetId="19">#REF!</definedName>
    <definedName name="SL023Month" localSheetId="18">#REF!</definedName>
    <definedName name="SL023Month" localSheetId="28">#REF!</definedName>
    <definedName name="SL023Month" localSheetId="22">#REF!</definedName>
    <definedName name="SL023Month" localSheetId="16">#REF!</definedName>
    <definedName name="SL023Month" localSheetId="8">#REF!</definedName>
    <definedName name="SL023Month" localSheetId="9">#REF!</definedName>
    <definedName name="SL023Month" localSheetId="3">#REF!</definedName>
    <definedName name="SL023Month" localSheetId="26">#REF!</definedName>
    <definedName name="SL023Month" localSheetId="31">#REF!</definedName>
    <definedName name="SL023Month" localSheetId="6">#REF!</definedName>
    <definedName name="SL023Month" localSheetId="12">#REF!</definedName>
    <definedName name="SL023Month" localSheetId="25">#REF!</definedName>
    <definedName name="SL023Month">#REF!</definedName>
    <definedName name="SL023Text" localSheetId="30">#REF!</definedName>
    <definedName name="SL023Text" localSheetId="4">#REF!</definedName>
    <definedName name="SL023Text" localSheetId="29">#REF!</definedName>
    <definedName name="SL023Text" localSheetId="17">#REF!</definedName>
    <definedName name="SL023Text" localSheetId="23">#REF!</definedName>
    <definedName name="SL023Text" localSheetId="27">#REF!</definedName>
    <definedName name="SL023Text" localSheetId="21">#REF!</definedName>
    <definedName name="SL023Text" localSheetId="20">#REF!</definedName>
    <definedName name="SL023Text" localSheetId="19">#REF!</definedName>
    <definedName name="SL023Text" localSheetId="18">#REF!</definedName>
    <definedName name="SL023Text" localSheetId="28">#REF!</definedName>
    <definedName name="SL023Text" localSheetId="22">#REF!</definedName>
    <definedName name="SL023Text" localSheetId="16">#REF!</definedName>
    <definedName name="SL023Text" localSheetId="8">#REF!</definedName>
    <definedName name="SL023Text" localSheetId="9">#REF!</definedName>
    <definedName name="SL023Text" localSheetId="3">#REF!</definedName>
    <definedName name="SL023Text" localSheetId="26">#REF!</definedName>
    <definedName name="SL023Text" localSheetId="31">#REF!</definedName>
    <definedName name="SL023Text" localSheetId="6">#REF!</definedName>
    <definedName name="SL023Text" localSheetId="12">#REF!</definedName>
    <definedName name="SL023Text" localSheetId="25">#REF!</definedName>
    <definedName name="SL023Text">#REF!</definedName>
    <definedName name="SL023Title" localSheetId="30">#REF!</definedName>
    <definedName name="SL023Title" localSheetId="4">#REF!</definedName>
    <definedName name="SL023Title" localSheetId="29">#REF!</definedName>
    <definedName name="SL023Title" localSheetId="17">#REF!</definedName>
    <definedName name="SL023Title" localSheetId="23">#REF!</definedName>
    <definedName name="SL023Title" localSheetId="27">#REF!</definedName>
    <definedName name="SL023Title" localSheetId="21">#REF!</definedName>
    <definedName name="SL023Title" localSheetId="20">#REF!</definedName>
    <definedName name="SL023Title" localSheetId="19">#REF!</definedName>
    <definedName name="SL023Title" localSheetId="18">#REF!</definedName>
    <definedName name="SL023Title" localSheetId="28">#REF!</definedName>
    <definedName name="SL023Title" localSheetId="22">#REF!</definedName>
    <definedName name="SL023Title" localSheetId="16">#REF!</definedName>
    <definedName name="SL023Title" localSheetId="8">#REF!</definedName>
    <definedName name="SL023Title" localSheetId="9">#REF!</definedName>
    <definedName name="SL023Title" localSheetId="3">#REF!</definedName>
    <definedName name="SL023Title" localSheetId="26">#REF!</definedName>
    <definedName name="SL023Title" localSheetId="31">#REF!</definedName>
    <definedName name="SL023Title" localSheetId="6">#REF!</definedName>
    <definedName name="SL023Title" localSheetId="12">#REF!</definedName>
    <definedName name="SL023Title" localSheetId="25">#REF!</definedName>
    <definedName name="SL023Title">#REF!</definedName>
    <definedName name="SL023YTD" localSheetId="30">#REF!</definedName>
    <definedName name="SL023YTD" localSheetId="4">#REF!</definedName>
    <definedName name="SL023YTD" localSheetId="29">#REF!</definedName>
    <definedName name="SL023YTD" localSheetId="17">#REF!</definedName>
    <definedName name="SL023YTD" localSheetId="23">#REF!</definedName>
    <definedName name="SL023YTD" localSheetId="27">#REF!</definedName>
    <definedName name="SL023YTD" localSheetId="21">#REF!</definedName>
    <definedName name="SL023YTD" localSheetId="20">#REF!</definedName>
    <definedName name="SL023YTD" localSheetId="19">#REF!</definedName>
    <definedName name="SL023YTD" localSheetId="18">#REF!</definedName>
    <definedName name="SL023YTD" localSheetId="28">#REF!</definedName>
    <definedName name="SL023YTD" localSheetId="22">#REF!</definedName>
    <definedName name="SL023YTD" localSheetId="16">#REF!</definedName>
    <definedName name="SL023YTD" localSheetId="8">#REF!</definedName>
    <definedName name="SL023YTD" localSheetId="9">#REF!</definedName>
    <definedName name="SL023YTD" localSheetId="3">#REF!</definedName>
    <definedName name="SL023YTD" localSheetId="26">#REF!</definedName>
    <definedName name="SL023YTD" localSheetId="31">#REF!</definedName>
    <definedName name="SL023YTD" localSheetId="6">#REF!</definedName>
    <definedName name="SL023YTD" localSheetId="12">#REF!</definedName>
    <definedName name="SL023YTD" localSheetId="25">#REF!</definedName>
    <definedName name="SL023YTD">#REF!</definedName>
    <definedName name="SL024Month" localSheetId="30">#REF!</definedName>
    <definedName name="SL024Month" localSheetId="4">#REF!</definedName>
    <definedName name="SL024Month" localSheetId="29">#REF!</definedName>
    <definedName name="SL024Month" localSheetId="17">#REF!</definedName>
    <definedName name="SL024Month" localSheetId="23">#REF!</definedName>
    <definedName name="SL024Month" localSheetId="27">#REF!</definedName>
    <definedName name="SL024Month" localSheetId="21">#REF!</definedName>
    <definedName name="SL024Month" localSheetId="20">#REF!</definedName>
    <definedName name="SL024Month" localSheetId="19">#REF!</definedName>
    <definedName name="SL024Month" localSheetId="18">#REF!</definedName>
    <definedName name="SL024Month" localSheetId="28">#REF!</definedName>
    <definedName name="SL024Month" localSheetId="22">#REF!</definedName>
    <definedName name="SL024Month" localSheetId="16">#REF!</definedName>
    <definedName name="SL024Month" localSheetId="8">#REF!</definedName>
    <definedName name="SL024Month" localSheetId="9">#REF!</definedName>
    <definedName name="SL024Month" localSheetId="3">#REF!</definedName>
    <definedName name="SL024Month" localSheetId="26">#REF!</definedName>
    <definedName name="SL024Month" localSheetId="31">#REF!</definedName>
    <definedName name="SL024Month" localSheetId="6">#REF!</definedName>
    <definedName name="SL024Month" localSheetId="12">#REF!</definedName>
    <definedName name="SL024Month" localSheetId="25">#REF!</definedName>
    <definedName name="SL024Month">#REF!</definedName>
    <definedName name="SL024Text" localSheetId="30">#REF!</definedName>
    <definedName name="SL024Text" localSheetId="4">#REF!</definedName>
    <definedName name="SL024Text" localSheetId="29">#REF!</definedName>
    <definedName name="SL024Text" localSheetId="17">#REF!</definedName>
    <definedName name="SL024Text" localSheetId="23">#REF!</definedName>
    <definedName name="SL024Text" localSheetId="27">#REF!</definedName>
    <definedName name="SL024Text" localSheetId="21">#REF!</definedName>
    <definedName name="SL024Text" localSheetId="20">#REF!</definedName>
    <definedName name="SL024Text" localSheetId="19">#REF!</definedName>
    <definedName name="SL024Text" localSheetId="18">#REF!</definedName>
    <definedName name="SL024Text" localSheetId="28">#REF!</definedName>
    <definedName name="SL024Text" localSheetId="22">#REF!</definedName>
    <definedName name="SL024Text" localSheetId="16">#REF!</definedName>
    <definedName name="SL024Text" localSheetId="8">#REF!</definedName>
    <definedName name="SL024Text" localSheetId="9">#REF!</definedName>
    <definedName name="SL024Text" localSheetId="3">#REF!</definedName>
    <definedName name="SL024Text" localSheetId="26">#REF!</definedName>
    <definedName name="SL024Text" localSheetId="31">#REF!</definedName>
    <definedName name="SL024Text" localSheetId="6">#REF!</definedName>
    <definedName name="SL024Text" localSheetId="12">#REF!</definedName>
    <definedName name="SL024Text" localSheetId="25">#REF!</definedName>
    <definedName name="SL024Text">#REF!</definedName>
    <definedName name="SL024Title" localSheetId="30">#REF!</definedName>
    <definedName name="SL024Title" localSheetId="4">#REF!</definedName>
    <definedName name="SL024Title" localSheetId="29">#REF!</definedName>
    <definedName name="SL024Title" localSheetId="17">#REF!</definedName>
    <definedName name="SL024Title" localSheetId="23">#REF!</definedName>
    <definedName name="SL024Title" localSheetId="27">#REF!</definedName>
    <definedName name="SL024Title" localSheetId="21">#REF!</definedName>
    <definedName name="SL024Title" localSheetId="20">#REF!</definedName>
    <definedName name="SL024Title" localSheetId="19">#REF!</definedName>
    <definedName name="SL024Title" localSheetId="18">#REF!</definedName>
    <definedName name="SL024Title" localSheetId="28">#REF!</definedName>
    <definedName name="SL024Title" localSheetId="22">#REF!</definedName>
    <definedName name="SL024Title" localSheetId="16">#REF!</definedName>
    <definedName name="SL024Title" localSheetId="8">#REF!</definedName>
    <definedName name="SL024Title" localSheetId="9">#REF!</definedName>
    <definedName name="SL024Title" localSheetId="3">#REF!</definedName>
    <definedName name="SL024Title" localSheetId="26">#REF!</definedName>
    <definedName name="SL024Title" localSheetId="31">#REF!</definedName>
    <definedName name="SL024Title" localSheetId="6">#REF!</definedName>
    <definedName name="SL024Title" localSheetId="12">#REF!</definedName>
    <definedName name="SL024Title" localSheetId="25">#REF!</definedName>
    <definedName name="SL024Title">#REF!</definedName>
    <definedName name="SL024YTD" localSheetId="30">#REF!</definedName>
    <definedName name="SL024YTD" localSheetId="4">#REF!</definedName>
    <definedName name="SL024YTD" localSheetId="29">#REF!</definedName>
    <definedName name="SL024YTD" localSheetId="17">#REF!</definedName>
    <definedName name="SL024YTD" localSheetId="23">#REF!</definedName>
    <definedName name="SL024YTD" localSheetId="27">#REF!</definedName>
    <definedName name="SL024YTD" localSheetId="21">#REF!</definedName>
    <definedName name="SL024YTD" localSheetId="20">#REF!</definedName>
    <definedName name="SL024YTD" localSheetId="19">#REF!</definedName>
    <definedName name="SL024YTD" localSheetId="18">#REF!</definedName>
    <definedName name="SL024YTD" localSheetId="28">#REF!</definedName>
    <definedName name="SL024YTD" localSheetId="22">#REF!</definedName>
    <definedName name="SL024YTD" localSheetId="16">#REF!</definedName>
    <definedName name="SL024YTD" localSheetId="8">#REF!</definedName>
    <definedName name="SL024YTD" localSheetId="9">#REF!</definedName>
    <definedName name="SL024YTD" localSheetId="3">#REF!</definedName>
    <definedName name="SL024YTD" localSheetId="26">#REF!</definedName>
    <definedName name="SL024YTD" localSheetId="31">#REF!</definedName>
    <definedName name="SL024YTD" localSheetId="6">#REF!</definedName>
    <definedName name="SL024YTD" localSheetId="12">#REF!</definedName>
    <definedName name="SL024YTD" localSheetId="25">#REF!</definedName>
    <definedName name="SL024YTD">#REF!</definedName>
    <definedName name="SL025Month" localSheetId="30">#REF!</definedName>
    <definedName name="SL025Month" localSheetId="4">#REF!</definedName>
    <definedName name="SL025Month" localSheetId="29">#REF!</definedName>
    <definedName name="SL025Month" localSheetId="17">#REF!</definedName>
    <definedName name="SL025Month" localSheetId="23">#REF!</definedName>
    <definedName name="SL025Month" localSheetId="27">#REF!</definedName>
    <definedName name="SL025Month" localSheetId="21">#REF!</definedName>
    <definedName name="SL025Month" localSheetId="20">#REF!</definedName>
    <definedName name="SL025Month" localSheetId="19">#REF!</definedName>
    <definedName name="SL025Month" localSheetId="18">#REF!</definedName>
    <definedName name="SL025Month" localSheetId="28">#REF!</definedName>
    <definedName name="SL025Month" localSheetId="22">#REF!</definedName>
    <definedName name="SL025Month" localSheetId="16">#REF!</definedName>
    <definedName name="SL025Month" localSheetId="8">#REF!</definedName>
    <definedName name="SL025Month" localSheetId="9">#REF!</definedName>
    <definedName name="SL025Month" localSheetId="3">#REF!</definedName>
    <definedName name="SL025Month" localSheetId="26">#REF!</definedName>
    <definedName name="SL025Month" localSheetId="31">#REF!</definedName>
    <definedName name="SL025Month" localSheetId="6">#REF!</definedName>
    <definedName name="SL025Month" localSheetId="12">#REF!</definedName>
    <definedName name="SL025Month" localSheetId="25">#REF!</definedName>
    <definedName name="SL025Month">#REF!</definedName>
    <definedName name="SL025Text" localSheetId="30">#REF!</definedName>
    <definedName name="SL025Text" localSheetId="4">#REF!</definedName>
    <definedName name="SL025Text" localSheetId="29">#REF!</definedName>
    <definedName name="SL025Text" localSheetId="17">#REF!</definedName>
    <definedName name="SL025Text" localSheetId="23">#REF!</definedName>
    <definedName name="SL025Text" localSheetId="27">#REF!</definedName>
    <definedName name="SL025Text" localSheetId="21">#REF!</definedName>
    <definedName name="SL025Text" localSheetId="20">#REF!</definedName>
    <definedName name="SL025Text" localSheetId="19">#REF!</definedName>
    <definedName name="SL025Text" localSheetId="18">#REF!</definedName>
    <definedName name="SL025Text" localSheetId="28">#REF!</definedName>
    <definedName name="SL025Text" localSheetId="22">#REF!</definedName>
    <definedName name="SL025Text" localSheetId="16">#REF!</definedName>
    <definedName name="SL025Text" localSheetId="8">#REF!</definedName>
    <definedName name="SL025Text" localSheetId="9">#REF!</definedName>
    <definedName name="SL025Text" localSheetId="3">#REF!</definedName>
    <definedName name="SL025Text" localSheetId="26">#REF!</definedName>
    <definedName name="SL025Text" localSheetId="31">#REF!</definedName>
    <definedName name="SL025Text" localSheetId="6">#REF!</definedName>
    <definedName name="SL025Text" localSheetId="12">#REF!</definedName>
    <definedName name="SL025Text" localSheetId="25">#REF!</definedName>
    <definedName name="SL025Text">#REF!</definedName>
    <definedName name="SL025Title" localSheetId="30">#REF!</definedName>
    <definedName name="SL025Title" localSheetId="4">#REF!</definedName>
    <definedName name="SL025Title" localSheetId="29">#REF!</definedName>
    <definedName name="SL025Title" localSheetId="17">#REF!</definedName>
    <definedName name="SL025Title" localSheetId="23">#REF!</definedName>
    <definedName name="SL025Title" localSheetId="27">#REF!</definedName>
    <definedName name="SL025Title" localSheetId="21">#REF!</definedName>
    <definedName name="SL025Title" localSheetId="20">#REF!</definedName>
    <definedName name="SL025Title" localSheetId="19">#REF!</definedName>
    <definedName name="SL025Title" localSheetId="18">#REF!</definedName>
    <definedName name="SL025Title" localSheetId="28">#REF!</definedName>
    <definedName name="SL025Title" localSheetId="22">#REF!</definedName>
    <definedName name="SL025Title" localSheetId="16">#REF!</definedName>
    <definedName name="SL025Title" localSheetId="8">#REF!</definedName>
    <definedName name="SL025Title" localSheetId="9">#REF!</definedName>
    <definedName name="SL025Title" localSheetId="3">#REF!</definedName>
    <definedName name="SL025Title" localSheetId="26">#REF!</definedName>
    <definedName name="SL025Title" localSheetId="31">#REF!</definedName>
    <definedName name="SL025Title" localSheetId="6">#REF!</definedName>
    <definedName name="SL025Title" localSheetId="12">#REF!</definedName>
    <definedName name="SL025Title" localSheetId="25">#REF!</definedName>
    <definedName name="SL025Title">#REF!</definedName>
    <definedName name="SL025YTD" localSheetId="30">#REF!</definedName>
    <definedName name="SL025YTD" localSheetId="4">#REF!</definedName>
    <definedName name="SL025YTD" localSheetId="29">#REF!</definedName>
    <definedName name="SL025YTD" localSheetId="17">#REF!</definedName>
    <definedName name="SL025YTD" localSheetId="23">#REF!</definedName>
    <definedName name="SL025YTD" localSheetId="27">#REF!</definedName>
    <definedName name="SL025YTD" localSheetId="21">#REF!</definedName>
    <definedName name="SL025YTD" localSheetId="20">#REF!</definedName>
    <definedName name="SL025YTD" localSheetId="19">#REF!</definedName>
    <definedName name="SL025YTD" localSheetId="18">#REF!</definedName>
    <definedName name="SL025YTD" localSheetId="28">#REF!</definedName>
    <definedName name="SL025YTD" localSheetId="22">#REF!</definedName>
    <definedName name="SL025YTD" localSheetId="16">#REF!</definedName>
    <definedName name="SL025YTD" localSheetId="8">#REF!</definedName>
    <definedName name="SL025YTD" localSheetId="9">#REF!</definedName>
    <definedName name="SL025YTD" localSheetId="3">#REF!</definedName>
    <definedName name="SL025YTD" localSheetId="26">#REF!</definedName>
    <definedName name="SL025YTD" localSheetId="31">#REF!</definedName>
    <definedName name="SL025YTD" localSheetId="6">#REF!</definedName>
    <definedName name="SL025YTD" localSheetId="12">#REF!</definedName>
    <definedName name="SL025YTD" localSheetId="25">#REF!</definedName>
    <definedName name="SL025YTD">#REF!</definedName>
    <definedName name="StartMonth" localSheetId="30">#REF!</definedName>
    <definedName name="StartMonth" localSheetId="4">#REF!</definedName>
    <definedName name="StartMonth" localSheetId="29">#REF!</definedName>
    <definedName name="StartMonth" localSheetId="17">#REF!</definedName>
    <definedName name="StartMonth" localSheetId="23">#REF!</definedName>
    <definedName name="StartMonth" localSheetId="27">#REF!</definedName>
    <definedName name="StartMonth" localSheetId="21">#REF!</definedName>
    <definedName name="StartMonth" localSheetId="20">#REF!</definedName>
    <definedName name="StartMonth" localSheetId="19">#REF!</definedName>
    <definedName name="StartMonth" localSheetId="18">#REF!</definedName>
    <definedName name="StartMonth" localSheetId="28">#REF!</definedName>
    <definedName name="StartMonth" localSheetId="22">#REF!</definedName>
    <definedName name="StartMonth" localSheetId="16">#REF!</definedName>
    <definedName name="StartMonth" localSheetId="8">#REF!</definedName>
    <definedName name="StartMonth" localSheetId="9">#REF!</definedName>
    <definedName name="StartMonth" localSheetId="3">#REF!</definedName>
    <definedName name="StartMonth" localSheetId="26">#REF!</definedName>
    <definedName name="StartMonth" localSheetId="31">#REF!</definedName>
    <definedName name="StartMonth" localSheetId="6">#REF!</definedName>
    <definedName name="StartMonth" localSheetId="12">#REF!</definedName>
    <definedName name="StartMonth" localSheetId="25">#REF!</definedName>
    <definedName name="StartMonth">#REF!</definedName>
    <definedName name="SWSC">'national caseload'!$B$47</definedName>
    <definedName name="Target1516M" localSheetId="30">#REF!</definedName>
    <definedName name="Target1516M" localSheetId="4">#REF!</definedName>
    <definedName name="Target1516M" localSheetId="29">#REF!</definedName>
    <definedName name="Target1516M" localSheetId="17">#REF!</definedName>
    <definedName name="Target1516M" localSheetId="23">#REF!</definedName>
    <definedName name="Target1516M" localSheetId="27">#REF!</definedName>
    <definedName name="Target1516M" localSheetId="21">#REF!</definedName>
    <definedName name="Target1516M" localSheetId="20">#REF!</definedName>
    <definedName name="Target1516M" localSheetId="19">#REF!</definedName>
    <definedName name="Target1516M" localSheetId="18">#REF!</definedName>
    <definedName name="Target1516M" localSheetId="28">#REF!</definedName>
    <definedName name="Target1516M" localSheetId="22">#REF!</definedName>
    <definedName name="Target1516M" localSheetId="16">#REF!</definedName>
    <definedName name="Target1516M" localSheetId="8">#REF!</definedName>
    <definedName name="Target1516M" localSheetId="9">#REF!</definedName>
    <definedName name="Target1516M" localSheetId="3">#REF!</definedName>
    <definedName name="Target1516M" localSheetId="26">#REF!</definedName>
    <definedName name="Target1516M" localSheetId="31">#REF!</definedName>
    <definedName name="Target1516M" localSheetId="6">#REF!</definedName>
    <definedName name="Target1516M" localSheetId="12">#REF!</definedName>
    <definedName name="Target1516M" localSheetId="25">#REF!</definedName>
    <definedName name="Target1516M">#REF!</definedName>
    <definedName name="Target1516Ref" localSheetId="30">#REF!</definedName>
    <definedName name="Target1516Ref" localSheetId="4">#REF!</definedName>
    <definedName name="Target1516Ref" localSheetId="29">#REF!</definedName>
    <definedName name="Target1516Ref" localSheetId="17">#REF!</definedName>
    <definedName name="Target1516Ref" localSheetId="23">#REF!</definedName>
    <definedName name="Target1516Ref" localSheetId="27">#REF!</definedName>
    <definedName name="Target1516Ref" localSheetId="21">#REF!</definedName>
    <definedName name="Target1516Ref" localSheetId="20">#REF!</definedName>
    <definedName name="Target1516Ref" localSheetId="19">#REF!</definedName>
    <definedName name="Target1516Ref" localSheetId="18">#REF!</definedName>
    <definedName name="Target1516Ref" localSheetId="28">#REF!</definedName>
    <definedName name="Target1516Ref" localSheetId="22">#REF!</definedName>
    <definedName name="Target1516Ref" localSheetId="16">#REF!</definedName>
    <definedName name="Target1516Ref" localSheetId="8">#REF!</definedName>
    <definedName name="Target1516Ref" localSheetId="9">#REF!</definedName>
    <definedName name="Target1516Ref" localSheetId="3">#REF!</definedName>
    <definedName name="Target1516Ref" localSheetId="26">#REF!</definedName>
    <definedName name="Target1516Ref" localSheetId="31">#REF!</definedName>
    <definedName name="Target1516Ref" localSheetId="6">#REF!</definedName>
    <definedName name="Target1516Ref" localSheetId="12">#REF!</definedName>
    <definedName name="Target1516Ref" localSheetId="25">#REF!</definedName>
    <definedName name="Target1516Ref">#REF!</definedName>
    <definedName name="Target1516YTD" localSheetId="30">#REF!</definedName>
    <definedName name="Target1516YTD" localSheetId="4">#REF!</definedName>
    <definedName name="Target1516YTD" localSheetId="29">#REF!</definedName>
    <definedName name="Target1516YTD" localSheetId="17">#REF!</definedName>
    <definedName name="Target1516YTD" localSheetId="23">#REF!</definedName>
    <definedName name="Target1516YTD" localSheetId="27">#REF!</definedName>
    <definedName name="Target1516YTD" localSheetId="21">#REF!</definedName>
    <definedName name="Target1516YTD" localSheetId="20">#REF!</definedName>
    <definedName name="Target1516YTD" localSheetId="19">#REF!</definedName>
    <definedName name="Target1516YTD" localSheetId="18">#REF!</definedName>
    <definedName name="Target1516YTD" localSheetId="28">#REF!</definedName>
    <definedName name="Target1516YTD" localSheetId="22">#REF!</definedName>
    <definedName name="Target1516YTD" localSheetId="16">#REF!</definedName>
    <definedName name="Target1516YTD" localSheetId="8">#REF!</definedName>
    <definedName name="Target1516YTD" localSheetId="9">#REF!</definedName>
    <definedName name="Target1516YTD" localSheetId="3">#REF!</definedName>
    <definedName name="Target1516YTD" localSheetId="26">#REF!</definedName>
    <definedName name="Target1516YTD" localSheetId="31">#REF!</definedName>
    <definedName name="Target1516YTD" localSheetId="6">#REF!</definedName>
    <definedName name="Target1516YTD" localSheetId="12">#REF!</definedName>
    <definedName name="Target1516YTD" localSheetId="25">#REF!</definedName>
    <definedName name="Target1516YTD">#REF!</definedName>
    <definedName name="Targets" localSheetId="30">#REF!</definedName>
    <definedName name="Targets" localSheetId="4">#REF!</definedName>
    <definedName name="Targets" localSheetId="29">#REF!</definedName>
    <definedName name="Targets" localSheetId="17">#REF!</definedName>
    <definedName name="Targets" localSheetId="23">#REF!</definedName>
    <definedName name="Targets" localSheetId="27">#REF!</definedName>
    <definedName name="Targets" localSheetId="21">#REF!</definedName>
    <definedName name="Targets" localSheetId="20">#REF!</definedName>
    <definedName name="Targets" localSheetId="19">#REF!</definedName>
    <definedName name="Targets" localSheetId="18">#REF!</definedName>
    <definedName name="Targets" localSheetId="28">#REF!</definedName>
    <definedName name="Targets" localSheetId="22">#REF!</definedName>
    <definedName name="Targets" localSheetId="16">#REF!</definedName>
    <definedName name="Targets" localSheetId="8">#REF!</definedName>
    <definedName name="Targets" localSheetId="9">#REF!</definedName>
    <definedName name="Targets" localSheetId="3">#REF!</definedName>
    <definedName name="Targets" localSheetId="26">#REF!</definedName>
    <definedName name="Targets" localSheetId="31">#REF!</definedName>
    <definedName name="Targets" localSheetId="6">#REF!</definedName>
    <definedName name="Targets" localSheetId="12">#REF!</definedName>
    <definedName name="Targets" localSheetId="25">#REF!</definedName>
    <definedName name="Targets">#REF!</definedName>
    <definedName name="Targets2" localSheetId="30">#REF!</definedName>
    <definedName name="Targets2" localSheetId="4">#REF!</definedName>
    <definedName name="Targets2" localSheetId="29">#REF!</definedName>
    <definedName name="Targets2" localSheetId="17">#REF!</definedName>
    <definedName name="Targets2" localSheetId="23">#REF!</definedName>
    <definedName name="Targets2" localSheetId="27">#REF!</definedName>
    <definedName name="Targets2" localSheetId="21">#REF!</definedName>
    <definedName name="Targets2" localSheetId="20">#REF!</definedName>
    <definedName name="Targets2" localSheetId="19">#REF!</definedName>
    <definedName name="Targets2" localSheetId="18">#REF!</definedName>
    <definedName name="Targets2" localSheetId="28">#REF!</definedName>
    <definedName name="Targets2" localSheetId="22">#REF!</definedName>
    <definedName name="Targets2" localSheetId="16">#REF!</definedName>
    <definedName name="Targets2" localSheetId="8">#REF!</definedName>
    <definedName name="Targets2" localSheetId="9">#REF!</definedName>
    <definedName name="Targets2" localSheetId="3">#REF!</definedName>
    <definedName name="Targets2" localSheetId="26">#REF!</definedName>
    <definedName name="Targets2" localSheetId="31">#REF!</definedName>
    <definedName name="Targets2" localSheetId="6">#REF!</definedName>
    <definedName name="Targets2" localSheetId="12">#REF!</definedName>
    <definedName name="Targets2" localSheetId="25">#REF!</definedName>
    <definedName name="Targets2">#REF!</definedName>
    <definedName name="Team_Regions">PDUs!$N$1:$Y$1</definedName>
    <definedName name="W">'national caseload'!$B$52</definedName>
    <definedName name="Wales" localSheetId="21">#REF!</definedName>
    <definedName name="Wales" localSheetId="20">#REF!</definedName>
    <definedName name="Wales" localSheetId="19">#REF!</definedName>
    <definedName name="Wales" localSheetId="18">#REF!</definedName>
    <definedName name="Wales" localSheetId="16">#REF!</definedName>
    <definedName name="Wales" localSheetId="12">#REF!</definedName>
    <definedName name="Wales">#REF!</definedName>
    <definedName name="Weighting" localSheetId="30">#REF!</definedName>
    <definedName name="Weighting" localSheetId="4">#REF!</definedName>
    <definedName name="Weighting" localSheetId="29">#REF!</definedName>
    <definedName name="Weighting" localSheetId="17">#REF!</definedName>
    <definedName name="Weighting" localSheetId="23">#REF!</definedName>
    <definedName name="Weighting" localSheetId="27">#REF!</definedName>
    <definedName name="Weighting" localSheetId="21">#REF!</definedName>
    <definedName name="Weighting" localSheetId="20">#REF!</definedName>
    <definedName name="Weighting" localSheetId="19">#REF!</definedName>
    <definedName name="Weighting" localSheetId="18">#REF!</definedName>
    <definedName name="Weighting" localSheetId="28">#REF!</definedName>
    <definedName name="Weighting" localSheetId="22">#REF!</definedName>
    <definedName name="Weighting" localSheetId="16">#REF!</definedName>
    <definedName name="Weighting" localSheetId="8">#REF!</definedName>
    <definedName name="Weighting" localSheetId="9">#REF!</definedName>
    <definedName name="Weighting" localSheetId="3">#REF!</definedName>
    <definedName name="Weighting" localSheetId="26">#REF!</definedName>
    <definedName name="Weighting" localSheetId="31">#REF!</definedName>
    <definedName name="Weighting" localSheetId="6">#REF!</definedName>
    <definedName name="Weighting" localSheetId="12">#REF!</definedName>
    <definedName name="Weighting" localSheetId="25">#REF!</definedName>
    <definedName name="Weighting">#REF!</definedName>
    <definedName name="WMR">'national caseload'!$B$57</definedName>
    <definedName name="WorkPackages" localSheetId="4">'[3]List Data'!$A$2:$A$77</definedName>
    <definedName name="WorkPackages" localSheetId="17">'[3]List Data'!$A$2:$A$77</definedName>
    <definedName name="WorkPackages" localSheetId="23">'[3]List Data'!$A$2:$A$77</definedName>
    <definedName name="WorkPackages" localSheetId="27">'[3]List Data'!$A$2:$A$77</definedName>
    <definedName name="WorkPackages" localSheetId="28">'[3]List Data'!$A$2:$A$77</definedName>
    <definedName name="WorkPackages" localSheetId="22">'[3]List Data'!$A$2:$A$77</definedName>
    <definedName name="WorkPackages" localSheetId="3">'[3]List Data'!$A$2:$A$77</definedName>
    <definedName name="WorkPackages" localSheetId="26">'[3]List Data'!$A$2:$A$77</definedName>
    <definedName name="WorkPackages" localSheetId="6">'[3]List Data'!$A$2:$A$77</definedName>
    <definedName name="WorkPackages" localSheetId="25">'[3]List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92" l="1"/>
  <c r="C2" i="91"/>
  <c r="C2" i="93"/>
  <c r="M18" i="88"/>
  <c r="L18" i="88"/>
  <c r="J18" i="88"/>
  <c r="K18" i="88" s="1"/>
  <c r="I18" i="88"/>
  <c r="G18" i="88"/>
  <c r="F18" i="88"/>
  <c r="D18" i="88"/>
  <c r="C18" i="88"/>
  <c r="M17" i="88"/>
  <c r="N17" i="88" s="1"/>
  <c r="L17" i="88"/>
  <c r="J17" i="88"/>
  <c r="I17" i="88"/>
  <c r="G17" i="88"/>
  <c r="F17" i="88"/>
  <c r="D17" i="88"/>
  <c r="C17" i="88"/>
  <c r="M16" i="88"/>
  <c r="L16" i="88"/>
  <c r="J16" i="88"/>
  <c r="K16" i="88" s="1"/>
  <c r="I16" i="88"/>
  <c r="G16" i="88"/>
  <c r="H16" i="88" s="1"/>
  <c r="F16" i="88"/>
  <c r="D16" i="88"/>
  <c r="C16" i="88"/>
  <c r="M15" i="88"/>
  <c r="L15" i="88"/>
  <c r="N15" i="88" s="1"/>
  <c r="J15" i="88"/>
  <c r="I15" i="88"/>
  <c r="G15" i="88"/>
  <c r="F15" i="88"/>
  <c r="D15" i="88"/>
  <c r="C15" i="88"/>
  <c r="M14" i="88"/>
  <c r="L14" i="88"/>
  <c r="J14" i="88"/>
  <c r="I14" i="88"/>
  <c r="G14" i="88"/>
  <c r="F14" i="88"/>
  <c r="D14" i="88"/>
  <c r="C14" i="88"/>
  <c r="M13" i="88"/>
  <c r="N13" i="88" s="1"/>
  <c r="L13" i="88"/>
  <c r="J13" i="88"/>
  <c r="K13" i="88" s="1"/>
  <c r="I13" i="88"/>
  <c r="G13" i="88"/>
  <c r="F13" i="88"/>
  <c r="H13" i="88" s="1"/>
  <c r="D13" i="88"/>
  <c r="E13" i="88" s="1"/>
  <c r="C13" i="88"/>
  <c r="M12" i="88"/>
  <c r="L12" i="88"/>
  <c r="J12" i="88"/>
  <c r="I12" i="88"/>
  <c r="G12" i="88"/>
  <c r="F12" i="88"/>
  <c r="D12" i="88"/>
  <c r="E12" i="88" s="1"/>
  <c r="C12" i="88"/>
  <c r="M11" i="88"/>
  <c r="N11" i="88" s="1"/>
  <c r="L11" i="88"/>
  <c r="K11" i="88"/>
  <c r="J11" i="88"/>
  <c r="I11" i="88"/>
  <c r="G11" i="88"/>
  <c r="F11" i="88"/>
  <c r="D11" i="88"/>
  <c r="C11" i="88"/>
  <c r="M10" i="88"/>
  <c r="L10" i="88"/>
  <c r="N10" i="88" s="1"/>
  <c r="J10" i="88"/>
  <c r="I10" i="88"/>
  <c r="G10" i="88"/>
  <c r="F10" i="88"/>
  <c r="D10" i="88"/>
  <c r="C10" i="88"/>
  <c r="M9" i="88"/>
  <c r="L9" i="88"/>
  <c r="K9" i="88"/>
  <c r="J9" i="88"/>
  <c r="I9" i="88"/>
  <c r="G9" i="88"/>
  <c r="F9" i="88"/>
  <c r="D9" i="88"/>
  <c r="C9" i="88"/>
  <c r="M8" i="88"/>
  <c r="L8" i="88"/>
  <c r="J8" i="88"/>
  <c r="I8" i="88"/>
  <c r="G8" i="88"/>
  <c r="F8" i="88"/>
  <c r="D8" i="88"/>
  <c r="C8" i="88"/>
  <c r="M7" i="88"/>
  <c r="N7" i="88" s="1"/>
  <c r="L7" i="88"/>
  <c r="J7" i="88"/>
  <c r="K7" i="88" s="1"/>
  <c r="I7" i="88"/>
  <c r="G7" i="88"/>
  <c r="F7" i="88"/>
  <c r="H7" i="88" s="1"/>
  <c r="D7" i="88"/>
  <c r="C7" i="88"/>
  <c r="M6" i="88"/>
  <c r="N6" i="88" s="1"/>
  <c r="L6" i="88"/>
  <c r="J6" i="88"/>
  <c r="I6" i="88"/>
  <c r="G6" i="88"/>
  <c r="F6" i="88"/>
  <c r="D6" i="88"/>
  <c r="C6" i="88"/>
  <c r="C58" i="89"/>
  <c r="B58" i="89"/>
  <c r="C57" i="89"/>
  <c r="B57" i="89"/>
  <c r="C56" i="89"/>
  <c r="B56" i="89"/>
  <c r="C55" i="89"/>
  <c r="B55" i="89"/>
  <c r="C54" i="89"/>
  <c r="B54" i="89"/>
  <c r="C53" i="89"/>
  <c r="B53" i="89"/>
  <c r="C52" i="89"/>
  <c r="B52" i="89"/>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C12" i="89"/>
  <c r="B12" i="89"/>
  <c r="F11" i="89"/>
  <c r="F13" i="89" s="1"/>
  <c r="C11" i="89"/>
  <c r="B11" i="89"/>
  <c r="F10" i="89"/>
  <c r="C10" i="89"/>
  <c r="B10" i="89"/>
  <c r="N130" i="87"/>
  <c r="M130" i="87"/>
  <c r="L130" i="87"/>
  <c r="K130" i="87"/>
  <c r="J130" i="87"/>
  <c r="I130" i="87"/>
  <c r="H130" i="87"/>
  <c r="G130" i="87"/>
  <c r="F130" i="87"/>
  <c r="E130" i="87"/>
  <c r="D130" i="87"/>
  <c r="C130" i="87"/>
  <c r="O129" i="87"/>
  <c r="N129" i="87"/>
  <c r="N131" i="87" s="1"/>
  <c r="M129" i="87"/>
  <c r="L129" i="87"/>
  <c r="K129" i="87"/>
  <c r="J129" i="87"/>
  <c r="I129" i="87"/>
  <c r="H129" i="87"/>
  <c r="G129" i="87"/>
  <c r="F129" i="87"/>
  <c r="E129" i="87"/>
  <c r="D129" i="87"/>
  <c r="C129" i="87"/>
  <c r="O128" i="87"/>
  <c r="N128" i="87"/>
  <c r="M128" i="87"/>
  <c r="L128" i="87"/>
  <c r="K128" i="87"/>
  <c r="J128" i="87"/>
  <c r="I128" i="87"/>
  <c r="H128" i="87"/>
  <c r="G128" i="87"/>
  <c r="F128" i="87"/>
  <c r="E128" i="87"/>
  <c r="D128" i="87"/>
  <c r="C128" i="87"/>
  <c r="O127" i="87"/>
  <c r="N127" i="87"/>
  <c r="M127" i="87"/>
  <c r="L127" i="87"/>
  <c r="K127" i="87"/>
  <c r="J127" i="87"/>
  <c r="I127" i="87"/>
  <c r="H127" i="87"/>
  <c r="G127" i="87"/>
  <c r="F127" i="87"/>
  <c r="E127" i="87"/>
  <c r="D127" i="87"/>
  <c r="C127" i="87"/>
  <c r="O126" i="87"/>
  <c r="N126" i="87"/>
  <c r="M126" i="87"/>
  <c r="L126" i="87"/>
  <c r="K126" i="87"/>
  <c r="J126" i="87"/>
  <c r="I126" i="87"/>
  <c r="H126" i="87"/>
  <c r="G126" i="87"/>
  <c r="F126" i="87"/>
  <c r="E126" i="87"/>
  <c r="D126" i="87"/>
  <c r="C126" i="87"/>
  <c r="O125" i="87"/>
  <c r="N125" i="87"/>
  <c r="M125" i="87"/>
  <c r="L125" i="87"/>
  <c r="K125" i="87"/>
  <c r="J125" i="87"/>
  <c r="I125" i="87"/>
  <c r="H125" i="87"/>
  <c r="G125" i="87"/>
  <c r="F125" i="87"/>
  <c r="E125" i="87"/>
  <c r="D125" i="87"/>
  <c r="C125" i="87"/>
  <c r="O124" i="87"/>
  <c r="N124" i="87"/>
  <c r="M124" i="87"/>
  <c r="L124" i="87"/>
  <c r="K124" i="87"/>
  <c r="J124" i="87"/>
  <c r="I124" i="87"/>
  <c r="H124" i="87"/>
  <c r="G124" i="87"/>
  <c r="F124" i="87"/>
  <c r="E124" i="87"/>
  <c r="D124" i="87"/>
  <c r="C124" i="87"/>
  <c r="O123" i="87"/>
  <c r="N123" i="87"/>
  <c r="M123" i="87"/>
  <c r="L123" i="87"/>
  <c r="K123" i="87"/>
  <c r="J123" i="87"/>
  <c r="I123" i="87"/>
  <c r="H123" i="87"/>
  <c r="G123" i="87"/>
  <c r="F123" i="87"/>
  <c r="E123" i="87"/>
  <c r="D123" i="87"/>
  <c r="C123" i="87"/>
  <c r="O122" i="87"/>
  <c r="N122" i="87"/>
  <c r="M122" i="87"/>
  <c r="L122" i="87"/>
  <c r="K122" i="87"/>
  <c r="J122" i="87"/>
  <c r="I122" i="87"/>
  <c r="H122" i="87"/>
  <c r="G122" i="87"/>
  <c r="F122" i="87"/>
  <c r="E122" i="87"/>
  <c r="D122" i="87"/>
  <c r="C122" i="87"/>
  <c r="O121" i="87"/>
  <c r="N121" i="87"/>
  <c r="M121" i="87"/>
  <c r="L121" i="87"/>
  <c r="K121" i="87"/>
  <c r="J121" i="87"/>
  <c r="I121" i="87"/>
  <c r="H121" i="87"/>
  <c r="G121" i="87"/>
  <c r="F121" i="87"/>
  <c r="E121" i="87"/>
  <c r="D121" i="87"/>
  <c r="C121" i="87"/>
  <c r="O120" i="87"/>
  <c r="N120" i="87"/>
  <c r="M120" i="87"/>
  <c r="L120" i="87"/>
  <c r="K120" i="87"/>
  <c r="J120" i="87"/>
  <c r="I120" i="87"/>
  <c r="H120" i="87"/>
  <c r="G120" i="87"/>
  <c r="F120" i="87"/>
  <c r="E120" i="87"/>
  <c r="D120" i="87"/>
  <c r="C120" i="87"/>
  <c r="O119" i="87"/>
  <c r="N119" i="87"/>
  <c r="M119" i="87"/>
  <c r="L119" i="87"/>
  <c r="K119" i="87"/>
  <c r="J119" i="87"/>
  <c r="I119" i="87"/>
  <c r="H119" i="87"/>
  <c r="G119" i="87"/>
  <c r="F119" i="87"/>
  <c r="E119" i="87"/>
  <c r="D119" i="87"/>
  <c r="C119" i="87"/>
  <c r="O118" i="87"/>
  <c r="N118" i="87"/>
  <c r="M118" i="87"/>
  <c r="L118" i="87"/>
  <c r="K118" i="87"/>
  <c r="J118" i="87"/>
  <c r="I118" i="87"/>
  <c r="H118" i="87"/>
  <c r="G118" i="87"/>
  <c r="F118" i="87"/>
  <c r="E118" i="87"/>
  <c r="D118" i="87"/>
  <c r="C118" i="87"/>
  <c r="O117" i="87"/>
  <c r="N117" i="87"/>
  <c r="M117" i="87"/>
  <c r="L117" i="87"/>
  <c r="K117" i="87"/>
  <c r="J117" i="87"/>
  <c r="I117" i="87"/>
  <c r="H117" i="87"/>
  <c r="G117" i="87"/>
  <c r="F117" i="87"/>
  <c r="E117" i="87"/>
  <c r="D117" i="87"/>
  <c r="C117" i="87"/>
  <c r="O116" i="87"/>
  <c r="N116" i="87"/>
  <c r="M116" i="87"/>
  <c r="L116" i="87"/>
  <c r="K116" i="87"/>
  <c r="J116" i="87"/>
  <c r="I116" i="87"/>
  <c r="H116" i="87"/>
  <c r="G116" i="87"/>
  <c r="F116" i="87"/>
  <c r="E116" i="87"/>
  <c r="D116" i="87"/>
  <c r="C116" i="87"/>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72" i="87"/>
  <c r="N72" i="87"/>
  <c r="M72" i="87"/>
  <c r="L72" i="87"/>
  <c r="K72" i="87"/>
  <c r="J72" i="87"/>
  <c r="I72" i="87"/>
  <c r="H72" i="87"/>
  <c r="G72" i="87"/>
  <c r="F72" i="87"/>
  <c r="E72" i="87"/>
  <c r="D72" i="87"/>
  <c r="C72" i="87"/>
  <c r="O71" i="87"/>
  <c r="N71" i="87"/>
  <c r="M71" i="87"/>
  <c r="L71" i="87"/>
  <c r="K71" i="87"/>
  <c r="J71" i="87"/>
  <c r="I71" i="87"/>
  <c r="H71" i="87"/>
  <c r="G71" i="87"/>
  <c r="F71" i="87"/>
  <c r="E71" i="87"/>
  <c r="D71" i="87"/>
  <c r="C71" i="87"/>
  <c r="O70" i="87"/>
  <c r="N70" i="87"/>
  <c r="M70" i="87"/>
  <c r="L70" i="87"/>
  <c r="K70" i="87"/>
  <c r="J70" i="87"/>
  <c r="I70" i="87"/>
  <c r="H70" i="87"/>
  <c r="G70" i="87"/>
  <c r="F70" i="87"/>
  <c r="E70" i="87"/>
  <c r="D70" i="87"/>
  <c r="C70" i="87"/>
  <c r="O69" i="87"/>
  <c r="N69" i="87"/>
  <c r="M69" i="87"/>
  <c r="L69" i="87"/>
  <c r="K69" i="87"/>
  <c r="J69" i="87"/>
  <c r="I69" i="87"/>
  <c r="H69" i="87"/>
  <c r="G69" i="87"/>
  <c r="F69" i="87"/>
  <c r="E69" i="87"/>
  <c r="D69" i="87"/>
  <c r="C69"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C18" i="84"/>
  <c r="G17" i="84"/>
  <c r="D17" i="84"/>
  <c r="C17" i="84"/>
  <c r="G16" i="84"/>
  <c r="D16" i="84"/>
  <c r="C16" i="84"/>
  <c r="G15" i="84"/>
  <c r="D15" i="84"/>
  <c r="C15" i="84"/>
  <c r="E15" i="84" s="1"/>
  <c r="F15" i="84" s="1"/>
  <c r="G14" i="84"/>
  <c r="D14" i="84"/>
  <c r="C14" i="84"/>
  <c r="G13" i="84"/>
  <c r="D13" i="84"/>
  <c r="C13" i="84"/>
  <c r="G12" i="84"/>
  <c r="D12" i="84"/>
  <c r="C12" i="84"/>
  <c r="G11" i="84"/>
  <c r="D11" i="84"/>
  <c r="C11" i="84"/>
  <c r="G10" i="84"/>
  <c r="D10" i="84"/>
  <c r="C10" i="84"/>
  <c r="E10" i="84" s="1"/>
  <c r="F10" i="84" s="1"/>
  <c r="G9" i="84"/>
  <c r="D9" i="84"/>
  <c r="C9" i="84"/>
  <c r="G8" i="84"/>
  <c r="D8" i="84"/>
  <c r="C8" i="84"/>
  <c r="E8" i="84" s="1"/>
  <c r="G7" i="84"/>
  <c r="D7" i="84"/>
  <c r="E7" i="84" s="1"/>
  <c r="F7" i="84" s="1"/>
  <c r="C7" i="84"/>
  <c r="G6" i="84"/>
  <c r="D6" i="84"/>
  <c r="C6" i="84"/>
  <c r="E6" i="84" s="1"/>
  <c r="J35" i="95"/>
  <c r="I35" i="95"/>
  <c r="D35" i="95"/>
  <c r="E35" i="95" s="1"/>
  <c r="C35" i="95"/>
  <c r="K34" i="95"/>
  <c r="J34" i="95"/>
  <c r="I34" i="95"/>
  <c r="F34" i="95" a="1"/>
  <c r="F34" i="95" s="1"/>
  <c r="D34" i="95"/>
  <c r="C34" i="95"/>
  <c r="J33" i="95"/>
  <c r="K33" i="95" s="1"/>
  <c r="I33" i="95"/>
  <c r="F33" i="95" a="1"/>
  <c r="F33" i="95" s="1"/>
  <c r="D33" i="95"/>
  <c r="E33" i="95" s="1"/>
  <c r="C33" i="95"/>
  <c r="K32" i="95"/>
  <c r="J32" i="95"/>
  <c r="I32" i="95"/>
  <c r="F32" i="95" a="1"/>
  <c r="F32" i="95" s="1"/>
  <c r="D32" i="95"/>
  <c r="E32" i="95" s="1"/>
  <c r="C32" i="95"/>
  <c r="J31" i="95"/>
  <c r="I31" i="95"/>
  <c r="F31" i="95" a="1"/>
  <c r="F31" i="95" s="1"/>
  <c r="D31" i="95"/>
  <c r="C31" i="95"/>
  <c r="J30" i="95"/>
  <c r="I30" i="95"/>
  <c r="K30" i="95" s="1"/>
  <c r="F30" i="95" a="1"/>
  <c r="F30" i="95" s="1"/>
  <c r="D30" i="95"/>
  <c r="C30" i="95"/>
  <c r="J29" i="95"/>
  <c r="K29" i="95" s="1"/>
  <c r="I29" i="95"/>
  <c r="F29" i="95" a="1"/>
  <c r="F29" i="95" s="1"/>
  <c r="D29" i="95"/>
  <c r="E29" i="95" s="1"/>
  <c r="C29" i="95"/>
  <c r="K28" i="95"/>
  <c r="J28" i="95"/>
  <c r="I28" i="95"/>
  <c r="F28" i="95" a="1"/>
  <c r="F28" i="95" s="1"/>
  <c r="D28" i="95"/>
  <c r="C28" i="95"/>
  <c r="J27" i="95"/>
  <c r="K27" i="95" s="1"/>
  <c r="I27" i="95"/>
  <c r="F27" i="95" a="1"/>
  <c r="F27" i="95" s="1"/>
  <c r="D27" i="95"/>
  <c r="C27" i="95"/>
  <c r="J26" i="95"/>
  <c r="I26" i="95"/>
  <c r="K26" i="95" s="1"/>
  <c r="F26" i="95" a="1"/>
  <c r="F26" i="95" s="1"/>
  <c r="D26" i="95"/>
  <c r="C26" i="95"/>
  <c r="J25" i="95"/>
  <c r="K25" i="95" s="1"/>
  <c r="I25" i="95"/>
  <c r="F25" i="95" a="1"/>
  <c r="F25" i="95" s="1"/>
  <c r="D25" i="95"/>
  <c r="C25" i="95"/>
  <c r="K24" i="95"/>
  <c r="J24" i="95"/>
  <c r="I24" i="95"/>
  <c r="F24" i="95" a="1"/>
  <c r="F24" i="95" s="1"/>
  <c r="D24" i="95"/>
  <c r="E24" i="95" s="1"/>
  <c r="C24" i="95"/>
  <c r="J23" i="95"/>
  <c r="I23" i="95"/>
  <c r="F23" i="95" a="1"/>
  <c r="F23" i="95" s="1"/>
  <c r="D23" i="95"/>
  <c r="C23" i="95"/>
  <c r="J18" i="95"/>
  <c r="I18" i="95"/>
  <c r="D18" i="95"/>
  <c r="E18" i="95" s="1"/>
  <c r="C18" i="95"/>
  <c r="L17" i="95" a="1"/>
  <c r="L17" i="95" s="1"/>
  <c r="J17" i="95"/>
  <c r="I17" i="95"/>
  <c r="F17" i="95" a="1"/>
  <c r="F17" i="95" s="1"/>
  <c r="D17" i="95"/>
  <c r="C17" i="95"/>
  <c r="L16" i="95" a="1"/>
  <c r="L16" i="95" s="1"/>
  <c r="J16" i="95"/>
  <c r="I16" i="95"/>
  <c r="F16" i="95" a="1"/>
  <c r="F16" i="95" s="1"/>
  <c r="D16" i="95"/>
  <c r="C16" i="95"/>
  <c r="E16" i="95" s="1"/>
  <c r="L15" i="95" a="1"/>
  <c r="L15" i="95" s="1"/>
  <c r="J15" i="95"/>
  <c r="K15" i="95" s="1"/>
  <c r="I15" i="95"/>
  <c r="F15" i="95" a="1"/>
  <c r="F15" i="95" s="1"/>
  <c r="E15" i="95"/>
  <c r="D15" i="95"/>
  <c r="C15" i="95"/>
  <c r="L14" i="95" a="1"/>
  <c r="L14" i="95" s="1"/>
  <c r="J14" i="95"/>
  <c r="K14" i="95" s="1"/>
  <c r="I14" i="95"/>
  <c r="F14" i="95" a="1"/>
  <c r="F14" i="95" s="1"/>
  <c r="D14" i="95"/>
  <c r="C14" i="95"/>
  <c r="L13" i="95" a="1"/>
  <c r="L13" i="95" s="1"/>
  <c r="J13" i="95"/>
  <c r="K13" i="95" s="1"/>
  <c r="I13" i="95"/>
  <c r="F13" i="95" a="1"/>
  <c r="F13" i="95" s="1"/>
  <c r="D13" i="95"/>
  <c r="C13" i="95"/>
  <c r="L12" i="95" a="1"/>
  <c r="L12" i="95" s="1"/>
  <c r="J12" i="95"/>
  <c r="I12" i="95"/>
  <c r="F12" i="95" a="1"/>
  <c r="F12" i="95" s="1"/>
  <c r="D12" i="95"/>
  <c r="C12" i="95"/>
  <c r="E12" i="95" s="1"/>
  <c r="L11" i="95" a="1"/>
  <c r="L11" i="95" s="1"/>
  <c r="J11" i="95"/>
  <c r="I11" i="95"/>
  <c r="K11" i="95" s="1"/>
  <c r="F11" i="95" a="1"/>
  <c r="F11" i="95" s="1"/>
  <c r="D11" i="95"/>
  <c r="C11" i="95"/>
  <c r="L10" i="95" a="1"/>
  <c r="L10" i="95" s="1"/>
  <c r="K10" i="95"/>
  <c r="J10" i="95"/>
  <c r="I10" i="95"/>
  <c r="F10" i="95" a="1"/>
  <c r="F10" i="95" s="1"/>
  <c r="D10" i="95"/>
  <c r="C10" i="95"/>
  <c r="L9" i="95" a="1"/>
  <c r="L9" i="95"/>
  <c r="J9" i="95"/>
  <c r="I9" i="95"/>
  <c r="F9" i="95" a="1"/>
  <c r="F9" i="95" s="1"/>
  <c r="D9" i="95"/>
  <c r="C9" i="95"/>
  <c r="L8" i="95" a="1"/>
  <c r="L8" i="95" s="1"/>
  <c r="J8" i="95"/>
  <c r="I8" i="95"/>
  <c r="F8" i="95" a="1"/>
  <c r="F8" i="95" s="1"/>
  <c r="D8" i="95"/>
  <c r="C8" i="95"/>
  <c r="L7" i="95" a="1"/>
  <c r="L7" i="95" s="1"/>
  <c r="J7" i="95"/>
  <c r="I7" i="95"/>
  <c r="F7" i="95" a="1"/>
  <c r="F7" i="95" s="1"/>
  <c r="D7" i="95"/>
  <c r="C7" i="95"/>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AJ104" i="110" a="1"/>
  <c r="AI104" i="110" a="1"/>
  <c r="AH104" i="110" a="1"/>
  <c r="AG104" i="110" a="1"/>
  <c r="AF104" i="110" a="1"/>
  <c r="AE104" i="110" a="1"/>
  <c r="AD104" i="110" a="1"/>
  <c r="AC104" i="110" a="1"/>
  <c r="AB104" i="110" a="1"/>
  <c r="AA104" i="110" a="1"/>
  <c r="Z104" i="110" a="1"/>
  <c r="Y104" i="110" a="1"/>
  <c r="Y104" i="110" s="1"/>
  <c r="X104" i="110" a="1"/>
  <c r="W104" i="110" a="1"/>
  <c r="V104" i="110" a="1"/>
  <c r="U104" i="110" a="1"/>
  <c r="U104" i="110" s="1"/>
  <c r="R104" i="110" a="1"/>
  <c r="R104" i="110" s="1"/>
  <c r="Q104" i="110" a="1"/>
  <c r="P104" i="110" a="1"/>
  <c r="O104" i="110" a="1"/>
  <c r="O104" i="110" s="1"/>
  <c r="N104" i="110" a="1"/>
  <c r="N104" i="110" s="1"/>
  <c r="M104" i="110" a="1"/>
  <c r="M104" i="110" s="1"/>
  <c r="L104" i="110" a="1"/>
  <c r="K104" i="110" a="1"/>
  <c r="K104" i="110" s="1"/>
  <c r="J104" i="110" a="1"/>
  <c r="J104" i="110" s="1"/>
  <c r="I104" i="110" a="1"/>
  <c r="I104" i="110" s="1"/>
  <c r="H104" i="110" a="1"/>
  <c r="G104" i="110" a="1"/>
  <c r="G104" i="110" s="1"/>
  <c r="F104" i="110" a="1"/>
  <c r="F104" i="110" s="1"/>
  <c r="E104" i="110" a="1"/>
  <c r="E104" i="110" s="1"/>
  <c r="D104" i="110" a="1"/>
  <c r="C104" i="110" a="1"/>
  <c r="AJ103" i="110" a="1"/>
  <c r="AI103" i="110" a="1"/>
  <c r="AH103" i="110" a="1"/>
  <c r="AG103" i="110" a="1"/>
  <c r="AG103" i="110" s="1"/>
  <c r="AF103" i="110" a="1"/>
  <c r="AE103" i="110" a="1"/>
  <c r="AD103" i="110" a="1"/>
  <c r="AC103" i="110" a="1"/>
  <c r="AB103" i="110" a="1"/>
  <c r="AA103" i="110" a="1"/>
  <c r="Z103" i="110" a="1"/>
  <c r="Y103" i="110" a="1"/>
  <c r="X103" i="110" a="1"/>
  <c r="X103" i="110" s="1"/>
  <c r="W103" i="110" a="1"/>
  <c r="V103" i="110" a="1"/>
  <c r="U103" i="110" a="1"/>
  <c r="R103" i="110" a="1"/>
  <c r="R103" i="110" s="1"/>
  <c r="Q103" i="110" a="1"/>
  <c r="P103" i="110" a="1"/>
  <c r="O103" i="110" a="1"/>
  <c r="O103" i="110" s="1"/>
  <c r="N103" i="110" a="1"/>
  <c r="N103" i="110" s="1"/>
  <c r="M103" i="110" a="1"/>
  <c r="M103" i="110" s="1"/>
  <c r="L103" i="110" a="1"/>
  <c r="K103" i="110" a="1"/>
  <c r="K103" i="110" s="1"/>
  <c r="J103" i="110" a="1"/>
  <c r="J103" i="110" s="1"/>
  <c r="I103" i="110" a="1"/>
  <c r="I103" i="110" s="1"/>
  <c r="H103" i="110" a="1"/>
  <c r="G103" i="110" a="1"/>
  <c r="G103" i="110" s="1"/>
  <c r="F103" i="110" a="1"/>
  <c r="F103" i="110" s="1"/>
  <c r="E103" i="110" a="1"/>
  <c r="E103" i="110" s="1"/>
  <c r="D103" i="110" a="1"/>
  <c r="C103" i="110" a="1"/>
  <c r="AJ102" i="110" a="1"/>
  <c r="AJ102" i="110" s="1"/>
  <c r="AI102" i="110" a="1"/>
  <c r="AH102" i="110" a="1"/>
  <c r="AG102" i="110" a="1"/>
  <c r="AF102" i="110" a="1"/>
  <c r="AE102" i="110" a="1"/>
  <c r="AD102" i="110" a="1"/>
  <c r="AC102" i="110" a="1"/>
  <c r="AB102" i="110" a="1"/>
  <c r="AA102" i="110" a="1"/>
  <c r="Z102" i="110" a="1"/>
  <c r="Y102" i="110" a="1"/>
  <c r="X102" i="110" a="1"/>
  <c r="W102" i="110" a="1"/>
  <c r="V102" i="110" a="1"/>
  <c r="U102" i="110" a="1"/>
  <c r="R102" i="110" a="1"/>
  <c r="R102" i="110" s="1"/>
  <c r="Q102" i="110" a="1"/>
  <c r="P102" i="110" a="1"/>
  <c r="O102" i="110" a="1"/>
  <c r="O102" i="110" s="1"/>
  <c r="N102" i="110" a="1"/>
  <c r="N102" i="110" s="1"/>
  <c r="M102" i="110" a="1"/>
  <c r="M102" i="110" s="1"/>
  <c r="L102" i="110" a="1"/>
  <c r="K102" i="110" a="1"/>
  <c r="K102" i="110" s="1"/>
  <c r="J102" i="110" a="1"/>
  <c r="J102" i="110" s="1"/>
  <c r="I102" i="110" a="1"/>
  <c r="I102" i="110" s="1"/>
  <c r="H102" i="110" a="1"/>
  <c r="G102" i="110" a="1"/>
  <c r="G102" i="110" s="1"/>
  <c r="F102" i="110" a="1"/>
  <c r="F102" i="110" s="1"/>
  <c r="E102" i="110" a="1"/>
  <c r="E102" i="110" s="1"/>
  <c r="D102" i="110" a="1"/>
  <c r="C102" i="110" a="1"/>
  <c r="C102" i="110" s="1"/>
  <c r="AJ101" i="110" a="1"/>
  <c r="AI101" i="110" a="1"/>
  <c r="AH101" i="110" a="1"/>
  <c r="AG101" i="110" a="1"/>
  <c r="AF101" i="110" a="1"/>
  <c r="AE101" i="110" a="1"/>
  <c r="AD101" i="110" a="1"/>
  <c r="AC101" i="110" a="1"/>
  <c r="AB101" i="110" a="1"/>
  <c r="AA101" i="110" a="1"/>
  <c r="Z101" i="110" a="1"/>
  <c r="Y101" i="110" a="1"/>
  <c r="X101" i="110" a="1"/>
  <c r="W101" i="110" a="1"/>
  <c r="V101" i="110" a="1"/>
  <c r="U101" i="110" a="1"/>
  <c r="U101" i="110" s="1"/>
  <c r="R101" i="110" a="1"/>
  <c r="R101" i="110" s="1"/>
  <c r="Q101" i="110" a="1"/>
  <c r="Q101" i="110" s="1"/>
  <c r="P101" i="110" a="1"/>
  <c r="O101" i="110" a="1"/>
  <c r="O101" i="110" s="1"/>
  <c r="N101" i="110" a="1"/>
  <c r="N101" i="110" s="1"/>
  <c r="M101" i="110" a="1"/>
  <c r="M101" i="110" s="1"/>
  <c r="L101" i="110" a="1"/>
  <c r="K101" i="110" a="1"/>
  <c r="K101" i="110" s="1"/>
  <c r="J101" i="110" a="1"/>
  <c r="J101" i="110" s="1"/>
  <c r="I101" i="110" a="1"/>
  <c r="I101" i="110" s="1"/>
  <c r="H101" i="110" a="1"/>
  <c r="G101" i="110" a="1"/>
  <c r="G101" i="110" s="1"/>
  <c r="F101" i="110" a="1"/>
  <c r="F101" i="110" s="1"/>
  <c r="E101" i="110" a="1"/>
  <c r="E101" i="110" s="1"/>
  <c r="D101" i="110" a="1"/>
  <c r="C101" i="110" a="1"/>
  <c r="C101" i="110" s="1"/>
  <c r="AH99" i="110" a="1"/>
  <c r="T99" i="110"/>
  <c r="P99" i="110" a="1"/>
  <c r="P99" i="110" s="1"/>
  <c r="B99" i="110"/>
  <c r="AJ97" i="110" a="1"/>
  <c r="AJ97" i="110" s="1"/>
  <c r="AI97" i="110" a="1"/>
  <c r="AI97" i="110" s="1"/>
  <c r="AH97" i="110" a="1"/>
  <c r="AH97" i="110" s="1"/>
  <c r="AG97" i="110" a="1"/>
  <c r="AF97" i="110" a="1"/>
  <c r="AF97" i="110" s="1"/>
  <c r="AE97" i="110" a="1"/>
  <c r="AD97" i="110" a="1"/>
  <c r="AD97" i="110" s="1"/>
  <c r="AC97" i="110" a="1"/>
  <c r="AB97" i="110" a="1"/>
  <c r="AA97" i="110" a="1"/>
  <c r="AA97" i="110" s="1"/>
  <c r="Z97" i="110" a="1"/>
  <c r="Z97" i="110" s="1"/>
  <c r="Y97" i="110" a="1"/>
  <c r="X97" i="110" a="1"/>
  <c r="X97" i="110" s="1"/>
  <c r="W97" i="110" a="1"/>
  <c r="W97" i="110" s="1"/>
  <c r="V97" i="110" a="1"/>
  <c r="U97" i="110" a="1"/>
  <c r="R97" i="110" a="1"/>
  <c r="Q97" i="110" a="1"/>
  <c r="P97" i="110" a="1"/>
  <c r="O97" i="110" a="1"/>
  <c r="N97" i="110" a="1"/>
  <c r="M97" i="110" a="1"/>
  <c r="L97" i="110" a="1"/>
  <c r="K97" i="110" a="1"/>
  <c r="J97" i="110" a="1"/>
  <c r="I97" i="110" a="1"/>
  <c r="I97" i="110" s="1"/>
  <c r="H97" i="110" a="1"/>
  <c r="G97" i="110" a="1"/>
  <c r="F97" i="110" a="1"/>
  <c r="E97" i="110" a="1"/>
  <c r="E97" i="110" s="1"/>
  <c r="D97" i="110" a="1"/>
  <c r="C97" i="110" a="1"/>
  <c r="AJ96" i="110" a="1"/>
  <c r="AJ96" i="110" s="1"/>
  <c r="AI96" i="110" a="1"/>
  <c r="AI96" i="110" s="1"/>
  <c r="AH96" i="110" a="1"/>
  <c r="AH96" i="110" s="1"/>
  <c r="AG96" i="110" a="1"/>
  <c r="AF96" i="110" a="1"/>
  <c r="AF96" i="110" s="1"/>
  <c r="AE96" i="110" a="1"/>
  <c r="AD96" i="110" a="1"/>
  <c r="AD96" i="110" s="1"/>
  <c r="AC96" i="110" a="1"/>
  <c r="AB96" i="110" a="1"/>
  <c r="AA96" i="110" a="1"/>
  <c r="AA96" i="110" s="1"/>
  <c r="Z96" i="110" a="1"/>
  <c r="Z96" i="110" s="1"/>
  <c r="Y96" i="110" a="1"/>
  <c r="X96" i="110" a="1"/>
  <c r="X96" i="110" s="1"/>
  <c r="W96" i="110" a="1"/>
  <c r="W96" i="110" s="1"/>
  <c r="V96" i="110" a="1"/>
  <c r="U96" i="110" a="1"/>
  <c r="R96" i="110" a="1"/>
  <c r="Q96" i="110" a="1"/>
  <c r="P96" i="110" a="1"/>
  <c r="O96" i="110" a="1"/>
  <c r="N96" i="110" a="1"/>
  <c r="N96" i="110" s="1"/>
  <c r="M96" i="110" a="1"/>
  <c r="L96" i="110" a="1"/>
  <c r="K96" i="110" a="1"/>
  <c r="J96" i="110" a="1"/>
  <c r="J96" i="110" s="1"/>
  <c r="I96" i="110" a="1"/>
  <c r="I96" i="110" s="1"/>
  <c r="H96" i="110" a="1"/>
  <c r="G96" i="110" a="1"/>
  <c r="F96" i="110" a="1"/>
  <c r="E96" i="110" a="1"/>
  <c r="D96" i="110" a="1"/>
  <c r="C96" i="110" a="1"/>
  <c r="AJ95" i="110" a="1"/>
  <c r="AJ95" i="110" s="1"/>
  <c r="AI95" i="110" a="1"/>
  <c r="AI95" i="110" s="1"/>
  <c r="AH95" i="110" a="1"/>
  <c r="AH95" i="110" s="1"/>
  <c r="AG95" i="110" a="1"/>
  <c r="AF95" i="110" a="1"/>
  <c r="AF95" i="110" s="1"/>
  <c r="AE95" i="110" a="1"/>
  <c r="AD95" i="110" a="1"/>
  <c r="AD95" i="110" s="1"/>
  <c r="AC95" i="110" a="1"/>
  <c r="AB95" i="110" a="1"/>
  <c r="AA95" i="110" a="1"/>
  <c r="AA95" i="110" s="1"/>
  <c r="Z95" i="110" a="1"/>
  <c r="Z95" i="110" s="1"/>
  <c r="Y95" i="110" a="1"/>
  <c r="X95" i="110" a="1"/>
  <c r="X95" i="110" s="1"/>
  <c r="W95" i="110" a="1"/>
  <c r="W95" i="110" s="1"/>
  <c r="V95" i="110" a="1"/>
  <c r="U95" i="110" a="1"/>
  <c r="R95" i="110" a="1"/>
  <c r="Q95" i="110" a="1"/>
  <c r="P95" i="110" a="1"/>
  <c r="O95" i="110" a="1"/>
  <c r="N95" i="110" a="1"/>
  <c r="N95" i="110" s="1"/>
  <c r="M95" i="110" a="1"/>
  <c r="L95" i="110" a="1"/>
  <c r="L95" i="110" s="1"/>
  <c r="K95" i="110" a="1"/>
  <c r="J95" i="110" a="1"/>
  <c r="J95" i="110" s="1"/>
  <c r="I95" i="110" a="1"/>
  <c r="I95" i="110" s="1"/>
  <c r="H95" i="110" a="1"/>
  <c r="G95" i="110" a="1"/>
  <c r="F95" i="110" a="1"/>
  <c r="E95" i="110" a="1"/>
  <c r="D95" i="110" a="1"/>
  <c r="C95" i="110" a="1"/>
  <c r="AJ94" i="110" a="1"/>
  <c r="AJ94" i="110" s="1"/>
  <c r="AI94" i="110" a="1"/>
  <c r="AI94" i="110" s="1"/>
  <c r="AH94" i="110" a="1"/>
  <c r="AH94" i="110"/>
  <c r="AG94" i="110" a="1"/>
  <c r="AF94" i="110" a="1"/>
  <c r="AF94" i="110" s="1"/>
  <c r="AE94" i="110" a="1"/>
  <c r="AD94" i="110" a="1"/>
  <c r="AD94" i="110" s="1"/>
  <c r="AC94" i="110" a="1"/>
  <c r="AB94" i="110" a="1"/>
  <c r="AA94" i="110" a="1"/>
  <c r="AA94" i="110" s="1"/>
  <c r="Z94" i="110" a="1"/>
  <c r="Z94" i="110" s="1"/>
  <c r="Y94" i="110" a="1"/>
  <c r="X94" i="110" a="1"/>
  <c r="X94" i="110" s="1"/>
  <c r="W94" i="110" a="1"/>
  <c r="W94" i="110" s="1"/>
  <c r="V94" i="110" a="1"/>
  <c r="U94" i="110" a="1"/>
  <c r="R94" i="110" a="1"/>
  <c r="Q94" i="110" a="1"/>
  <c r="P94" i="110" a="1"/>
  <c r="O94" i="110" a="1"/>
  <c r="N94" i="110" a="1"/>
  <c r="N94" i="110" s="1"/>
  <c r="M94" i="110" a="1"/>
  <c r="L94" i="110" a="1"/>
  <c r="L94" i="110" s="1"/>
  <c r="K94" i="110" a="1"/>
  <c r="J94" i="110" a="1"/>
  <c r="J94" i="110" s="1"/>
  <c r="I94" i="110" a="1"/>
  <c r="I94" i="110"/>
  <c r="H94" i="110" a="1"/>
  <c r="G94" i="110" a="1"/>
  <c r="F94" i="110" a="1"/>
  <c r="E94" i="110" a="1"/>
  <c r="D94" i="110" a="1"/>
  <c r="C94" i="110" a="1"/>
  <c r="AH92" i="110" a="1"/>
  <c r="AH92" i="110"/>
  <c r="T92" i="110"/>
  <c r="AB97" i="110" s="1"/>
  <c r="P92" i="110" a="1"/>
  <c r="B92" i="110"/>
  <c r="AJ90" i="110" a="1"/>
  <c r="AI90" i="110" a="1"/>
  <c r="AI90" i="110" s="1"/>
  <c r="AH90" i="110" a="1"/>
  <c r="AH90" i="110" s="1"/>
  <c r="AG90" i="110" a="1"/>
  <c r="AG90" i="110" s="1"/>
  <c r="AF90" i="110" a="1"/>
  <c r="AE90" i="110" a="1"/>
  <c r="AD90" i="110" a="1"/>
  <c r="AD90" i="110" s="1"/>
  <c r="AC90" i="110" a="1"/>
  <c r="AC90" i="110" s="1"/>
  <c r="AB90" i="110" a="1"/>
  <c r="AA90" i="110" a="1"/>
  <c r="AA90" i="110" s="1"/>
  <c r="Z90" i="110" a="1"/>
  <c r="Z90" i="110" s="1"/>
  <c r="Y90" i="110" a="1"/>
  <c r="Y90" i="110"/>
  <c r="X90" i="110" a="1"/>
  <c r="W90" i="110" a="1"/>
  <c r="W90" i="110" s="1"/>
  <c r="V90" i="110" a="1"/>
  <c r="U90" i="110" a="1"/>
  <c r="U90" i="110" s="1"/>
  <c r="R90" i="110" a="1"/>
  <c r="Q90" i="110" a="1"/>
  <c r="P90" i="110" a="1"/>
  <c r="O90" i="110" a="1"/>
  <c r="N90" i="110" a="1"/>
  <c r="M90" i="110" a="1"/>
  <c r="L90" i="110" a="1"/>
  <c r="K90" i="110" a="1"/>
  <c r="J90" i="110" a="1"/>
  <c r="I90" i="110" a="1"/>
  <c r="H90" i="110" a="1"/>
  <c r="G90" i="110" a="1"/>
  <c r="F90" i="110" a="1"/>
  <c r="E90" i="110" a="1"/>
  <c r="D90" i="110" a="1"/>
  <c r="C90" i="110" a="1"/>
  <c r="C90" i="110" s="1"/>
  <c r="AJ89" i="110" a="1"/>
  <c r="AI89" i="110" a="1"/>
  <c r="AI89" i="110" s="1"/>
  <c r="AH89" i="110" a="1"/>
  <c r="AH89" i="110" s="1"/>
  <c r="AG89" i="110" a="1"/>
  <c r="AG89" i="110" s="1"/>
  <c r="AF89" i="110" a="1"/>
  <c r="AE89" i="110" a="1"/>
  <c r="AD89" i="110" a="1"/>
  <c r="AD89" i="110" s="1"/>
  <c r="AC89" i="110" a="1"/>
  <c r="AC89" i="110" s="1"/>
  <c r="AB89" i="110" a="1"/>
  <c r="AA89" i="110" a="1"/>
  <c r="AA89" i="110" s="1"/>
  <c r="Z89" i="110" a="1"/>
  <c r="Z89" i="110" s="1"/>
  <c r="Y89" i="110" a="1"/>
  <c r="Y89" i="110" s="1"/>
  <c r="X89" i="110" a="1"/>
  <c r="W89" i="110" a="1"/>
  <c r="W89" i="110" s="1"/>
  <c r="V89" i="110" a="1"/>
  <c r="U89" i="110" a="1"/>
  <c r="U89" i="110" s="1"/>
  <c r="R89" i="110" a="1"/>
  <c r="Q89" i="110" a="1"/>
  <c r="Q89" i="110" s="1"/>
  <c r="P89" i="110" a="1"/>
  <c r="P89" i="110" s="1"/>
  <c r="O89" i="110" a="1"/>
  <c r="N89" i="110" a="1"/>
  <c r="M89" i="110" a="1"/>
  <c r="L89" i="110" a="1"/>
  <c r="K89" i="110" a="1"/>
  <c r="J89" i="110" a="1"/>
  <c r="I89" i="110" a="1"/>
  <c r="H89" i="110" a="1"/>
  <c r="G89" i="110" a="1"/>
  <c r="F89" i="110" a="1"/>
  <c r="E89" i="110" a="1"/>
  <c r="D89" i="110" a="1"/>
  <c r="C89" i="110" a="1"/>
  <c r="AJ88" i="110" a="1"/>
  <c r="AI88" i="110" a="1"/>
  <c r="AI88" i="110" s="1"/>
  <c r="AH88" i="110" a="1"/>
  <c r="AH88" i="110" s="1"/>
  <c r="AG88" i="110" a="1"/>
  <c r="AG88" i="110" s="1"/>
  <c r="AF88" i="110" a="1"/>
  <c r="AE88" i="110" a="1"/>
  <c r="AD88" i="110" a="1"/>
  <c r="AD88" i="110" s="1"/>
  <c r="AC88" i="110" a="1"/>
  <c r="AC88" i="110" s="1"/>
  <c r="AB88" i="110" a="1"/>
  <c r="AA88" i="110" a="1"/>
  <c r="AA88" i="110" s="1"/>
  <c r="Z88" i="110" a="1"/>
  <c r="Z88" i="110" s="1"/>
  <c r="Y88" i="110" a="1"/>
  <c r="Y88" i="110" s="1"/>
  <c r="X88" i="110" a="1"/>
  <c r="W88" i="110" a="1"/>
  <c r="W88" i="110" s="1"/>
  <c r="V88" i="110" a="1"/>
  <c r="U88" i="110" a="1"/>
  <c r="U88" i="110" s="1"/>
  <c r="R88" i="110" a="1"/>
  <c r="Q88" i="110" a="1"/>
  <c r="P88" i="110" a="1"/>
  <c r="O88" i="110" a="1"/>
  <c r="O88" i="110" s="1"/>
  <c r="N88" i="110" a="1"/>
  <c r="M88" i="110" a="1"/>
  <c r="M88" i="110" s="1"/>
  <c r="L88" i="110" a="1"/>
  <c r="K88" i="110" a="1"/>
  <c r="J88" i="110" a="1"/>
  <c r="I88" i="110" a="1"/>
  <c r="H88" i="110" a="1"/>
  <c r="G88" i="110" a="1"/>
  <c r="F88" i="110" a="1"/>
  <c r="E88" i="110" a="1"/>
  <c r="D88" i="110" a="1"/>
  <c r="C88" i="110" a="1"/>
  <c r="AJ87" i="110" a="1"/>
  <c r="AI87" i="110" a="1"/>
  <c r="AI87" i="110" s="1"/>
  <c r="AH87" i="110" a="1"/>
  <c r="AH87" i="110" s="1"/>
  <c r="AG87" i="110" a="1"/>
  <c r="AG87" i="110" s="1"/>
  <c r="AF87" i="110" a="1"/>
  <c r="AE87" i="110" a="1"/>
  <c r="AD87" i="110" a="1"/>
  <c r="AD87" i="110" s="1"/>
  <c r="AC87" i="110" a="1"/>
  <c r="AC87" i="110" s="1"/>
  <c r="AB87" i="110" a="1"/>
  <c r="AA87" i="110" a="1"/>
  <c r="AA87" i="110" s="1"/>
  <c r="Z87" i="110" a="1"/>
  <c r="Z87" i="110" s="1"/>
  <c r="Y87" i="110" a="1"/>
  <c r="Y87" i="110" s="1"/>
  <c r="X87" i="110" a="1"/>
  <c r="W87" i="110" a="1"/>
  <c r="W87" i="110" s="1"/>
  <c r="V87" i="110" a="1"/>
  <c r="U87" i="110" a="1"/>
  <c r="U87" i="110" s="1"/>
  <c r="R87" i="110" a="1"/>
  <c r="Q87" i="110" a="1"/>
  <c r="P87" i="110" a="1"/>
  <c r="O87" i="110" a="1"/>
  <c r="N87" i="110" a="1"/>
  <c r="M87" i="110" a="1"/>
  <c r="M87" i="110" s="1"/>
  <c r="L87" i="110" a="1"/>
  <c r="K87" i="110" a="1"/>
  <c r="J87" i="110" a="1"/>
  <c r="I87" i="110" a="1"/>
  <c r="I87" i="110" s="1"/>
  <c r="H87" i="110" a="1"/>
  <c r="H87" i="110" s="1"/>
  <c r="G87" i="110" a="1"/>
  <c r="F87" i="110" a="1"/>
  <c r="E87" i="110" a="1"/>
  <c r="D87" i="110" a="1"/>
  <c r="C87" i="110" a="1"/>
  <c r="AH85" i="110" a="1"/>
  <c r="T85" i="110"/>
  <c r="P85" i="110" a="1"/>
  <c r="B85" i="110"/>
  <c r="AJ83" i="110" a="1"/>
  <c r="AJ83" i="110" s="1"/>
  <c r="AI83" i="110" a="1"/>
  <c r="AH83" i="110" a="1"/>
  <c r="AG83" i="110" a="1"/>
  <c r="AF83" i="110" a="1"/>
  <c r="AF83" i="110" s="1"/>
  <c r="AE83" i="110" a="1"/>
  <c r="AD83" i="110" a="1"/>
  <c r="AC83" i="110" a="1"/>
  <c r="AC83" i="110"/>
  <c r="AB83" i="110" a="1"/>
  <c r="AA83" i="110" a="1"/>
  <c r="Z83" i="110" a="1"/>
  <c r="Z83" i="110" s="1"/>
  <c r="Y83" i="110" a="1"/>
  <c r="X83" i="110" a="1"/>
  <c r="X83" i="110" s="1"/>
  <c r="W83" i="110" a="1"/>
  <c r="V83" i="110" a="1"/>
  <c r="V83" i="110" s="1"/>
  <c r="U83" i="110" a="1"/>
  <c r="U83" i="110" s="1"/>
  <c r="R83" i="110" a="1"/>
  <c r="R83" i="110"/>
  <c r="Q83" i="110" a="1"/>
  <c r="P83" i="110" a="1"/>
  <c r="P83" i="110" s="1"/>
  <c r="O83" i="110" a="1"/>
  <c r="N83" i="110" a="1"/>
  <c r="M83" i="110" a="1"/>
  <c r="L83" i="110" a="1"/>
  <c r="L83" i="110" s="1"/>
  <c r="K83" i="110" a="1"/>
  <c r="K83" i="110"/>
  <c r="J83" i="110" a="1"/>
  <c r="I83" i="110" a="1"/>
  <c r="H83" i="110" a="1"/>
  <c r="H83" i="110" s="1"/>
  <c r="G83" i="110" a="1"/>
  <c r="F83" i="110" a="1"/>
  <c r="F83" i="110" s="1"/>
  <c r="E83" i="110" a="1"/>
  <c r="D83" i="110" a="1"/>
  <c r="D83" i="110" s="1"/>
  <c r="C83" i="110" a="1"/>
  <c r="C83" i="110" s="1"/>
  <c r="AJ82" i="110" a="1"/>
  <c r="AI82" i="110" a="1"/>
  <c r="AH82" i="110" a="1"/>
  <c r="AG82" i="110" a="1"/>
  <c r="AF82" i="110" a="1"/>
  <c r="AF82" i="110" s="1"/>
  <c r="AE82" i="110" a="1"/>
  <c r="AD82" i="110" a="1"/>
  <c r="AD82" i="110" s="1"/>
  <c r="AC82" i="110" a="1"/>
  <c r="AC82" i="110" s="1"/>
  <c r="AB82" i="110" a="1"/>
  <c r="AB82" i="110" s="1"/>
  <c r="AA82" i="110" a="1"/>
  <c r="Z82" i="110" a="1"/>
  <c r="Y82" i="110" a="1"/>
  <c r="X82" i="110" a="1"/>
  <c r="X82" i="110"/>
  <c r="W82" i="110" a="1"/>
  <c r="V82" i="110" a="1"/>
  <c r="V82" i="110" s="1"/>
  <c r="U82" i="110" a="1"/>
  <c r="R82" i="110" a="1"/>
  <c r="Q82" i="110" a="1"/>
  <c r="P82" i="110" a="1"/>
  <c r="P82" i="110" s="1"/>
  <c r="O82" i="110" a="1"/>
  <c r="N82" i="110" a="1"/>
  <c r="M82" i="110" a="1"/>
  <c r="L82" i="110" a="1"/>
  <c r="L82" i="110" s="1"/>
  <c r="K82" i="110" a="1"/>
  <c r="K82" i="110" s="1"/>
  <c r="J82" i="110" a="1"/>
  <c r="I82" i="110" a="1"/>
  <c r="H82" i="110" a="1"/>
  <c r="G82" i="110" a="1"/>
  <c r="G82" i="110" s="1"/>
  <c r="F82" i="110" a="1"/>
  <c r="F82" i="110" s="1"/>
  <c r="E82" i="110" a="1"/>
  <c r="D82" i="110" a="1"/>
  <c r="D82" i="110" s="1"/>
  <c r="C82" i="110" a="1"/>
  <c r="C82" i="110" s="1"/>
  <c r="AJ81" i="110" a="1"/>
  <c r="AJ81" i="110" s="1"/>
  <c r="AI81" i="110" a="1"/>
  <c r="AH81" i="110" a="1"/>
  <c r="AG81" i="110" a="1"/>
  <c r="AG81" i="110" s="1"/>
  <c r="AF81" i="110" a="1"/>
  <c r="AF81" i="110" s="1"/>
  <c r="AE81" i="110" a="1"/>
  <c r="AD81" i="110" a="1"/>
  <c r="AD81" i="110" s="1"/>
  <c r="AC81" i="110" a="1"/>
  <c r="AB81" i="110" a="1"/>
  <c r="AA81" i="110" a="1"/>
  <c r="Z81" i="110" a="1"/>
  <c r="Z81" i="110" s="1"/>
  <c r="Y81" i="110" a="1"/>
  <c r="X81" i="110" a="1"/>
  <c r="W81" i="110" a="1"/>
  <c r="V81" i="110" a="1"/>
  <c r="V81" i="110" s="1"/>
  <c r="U81" i="110" a="1"/>
  <c r="U81" i="110" s="1"/>
  <c r="R81" i="110" a="1"/>
  <c r="Q81" i="110" a="1"/>
  <c r="P81" i="110" a="1"/>
  <c r="O81" i="110" a="1"/>
  <c r="O81" i="110"/>
  <c r="N81" i="110" a="1"/>
  <c r="M81" i="110" a="1"/>
  <c r="L81" i="110" a="1"/>
  <c r="L81" i="110" s="1"/>
  <c r="K81" i="110" a="1"/>
  <c r="J81" i="110" a="1"/>
  <c r="J81" i="110" s="1"/>
  <c r="I81" i="110" a="1"/>
  <c r="H81" i="110" a="1"/>
  <c r="G81" i="110" a="1"/>
  <c r="G81" i="110" s="1"/>
  <c r="F81" i="110" a="1"/>
  <c r="F81" i="110" s="1"/>
  <c r="E81" i="110" a="1"/>
  <c r="D81" i="110" a="1"/>
  <c r="D81" i="110" s="1"/>
  <c r="C81" i="110" a="1"/>
  <c r="C81" i="110" s="1"/>
  <c r="AJ80" i="110" a="1"/>
  <c r="AI80" i="110" a="1"/>
  <c r="AH80" i="110" a="1"/>
  <c r="AG80" i="110" a="1"/>
  <c r="AG80" i="110" s="1"/>
  <c r="AF80" i="110" a="1"/>
  <c r="AE80" i="110" a="1"/>
  <c r="AD80" i="110" a="1"/>
  <c r="AD80" i="110" s="1"/>
  <c r="AC80" i="110" a="1"/>
  <c r="AC80" i="110" s="1"/>
  <c r="AB80" i="110" a="1"/>
  <c r="AA80" i="110" a="1"/>
  <c r="Z80" i="110" a="1"/>
  <c r="Y80" i="110" a="1"/>
  <c r="X80" i="110" a="1"/>
  <c r="X80" i="110"/>
  <c r="W80" i="110" a="1"/>
  <c r="V80" i="110" a="1"/>
  <c r="U80" i="110" a="1"/>
  <c r="R80" i="110" a="1"/>
  <c r="R80" i="110" s="1"/>
  <c r="Q80" i="110" a="1"/>
  <c r="P80" i="110" a="1"/>
  <c r="O80" i="110" a="1"/>
  <c r="O80" i="110" s="1"/>
  <c r="N80" i="110" a="1"/>
  <c r="M80" i="110" a="1"/>
  <c r="L80" i="110" a="1"/>
  <c r="L80" i="110" s="1"/>
  <c r="K80" i="110" a="1"/>
  <c r="J80" i="110" a="1"/>
  <c r="J80" i="110" s="1"/>
  <c r="I80" i="110" a="1"/>
  <c r="H80" i="110" a="1"/>
  <c r="H80" i="110"/>
  <c r="G80" i="110" a="1"/>
  <c r="G80" i="110" s="1"/>
  <c r="F80" i="110" a="1"/>
  <c r="F80" i="110" s="1"/>
  <c r="E80" i="110" a="1"/>
  <c r="D80" i="110" a="1"/>
  <c r="D80" i="110" s="1"/>
  <c r="C80" i="110" a="1"/>
  <c r="C80" i="110" s="1"/>
  <c r="AH78" i="110" a="1"/>
  <c r="T78" i="110"/>
  <c r="P78" i="110" a="1"/>
  <c r="B78" i="110"/>
  <c r="AJ76" i="110" a="1"/>
  <c r="AJ76" i="110" s="1"/>
  <c r="AI76" i="110" a="1"/>
  <c r="AI76" i="110" s="1"/>
  <c r="AH76" i="110" a="1"/>
  <c r="AG76" i="110" a="1"/>
  <c r="AF76" i="110" a="1"/>
  <c r="AE76" i="110" a="1"/>
  <c r="AE76" i="110" s="1"/>
  <c r="AD76" i="110" a="1"/>
  <c r="AC76" i="110" a="1"/>
  <c r="AB76" i="110" a="1"/>
  <c r="AB76" i="110" s="1"/>
  <c r="AA76" i="110" a="1"/>
  <c r="AA76" i="110" s="1"/>
  <c r="Z76" i="110" a="1"/>
  <c r="Y76" i="110" a="1"/>
  <c r="Y76" i="110" s="1"/>
  <c r="X76" i="110" a="1"/>
  <c r="W76" i="110" a="1"/>
  <c r="W76" i="110" s="1"/>
  <c r="V76" i="110" a="1"/>
  <c r="U76" i="110" a="1"/>
  <c r="U76" i="110" s="1"/>
  <c r="R76" i="110"/>
  <c r="Q76" i="110"/>
  <c r="P76" i="110"/>
  <c r="O76" i="110"/>
  <c r="N76" i="110"/>
  <c r="L76" i="110"/>
  <c r="K76" i="110"/>
  <c r="J76" i="110"/>
  <c r="I76" i="110"/>
  <c r="H76" i="110"/>
  <c r="G76" i="110"/>
  <c r="F76" i="110"/>
  <c r="D76" i="110"/>
  <c r="C76" i="110"/>
  <c r="AJ75" i="110" a="1"/>
  <c r="AJ75" i="110" s="1"/>
  <c r="AI75" i="110" a="1"/>
  <c r="AI75" i="110" s="1"/>
  <c r="AH75" i="110" a="1"/>
  <c r="AG75" i="110" a="1"/>
  <c r="AG75" i="110" s="1"/>
  <c r="AF75" i="110" a="1"/>
  <c r="AF75" i="110" s="1"/>
  <c r="AE75" i="110" a="1"/>
  <c r="AE75" i="110" s="1"/>
  <c r="AD75" i="110" a="1"/>
  <c r="AC75" i="110" a="1"/>
  <c r="AC75" i="110" s="1"/>
  <c r="AB75" i="110" a="1"/>
  <c r="AB75" i="110" s="1"/>
  <c r="AA75" i="110" a="1"/>
  <c r="AA75" i="110" s="1"/>
  <c r="Z75" i="110" a="1"/>
  <c r="Y75" i="110" a="1"/>
  <c r="X75" i="110" a="1"/>
  <c r="X75" i="110" s="1"/>
  <c r="W75" i="110" a="1"/>
  <c r="W75" i="110"/>
  <c r="V75" i="110" a="1"/>
  <c r="U75" i="110" a="1"/>
  <c r="U75" i="110" s="1"/>
  <c r="R75" i="110"/>
  <c r="Q75" i="110"/>
  <c r="P75" i="110"/>
  <c r="O75" i="110"/>
  <c r="N75" i="110"/>
  <c r="L75" i="110"/>
  <c r="K75" i="110"/>
  <c r="J75" i="110"/>
  <c r="I75" i="110"/>
  <c r="H75" i="110"/>
  <c r="G75" i="110"/>
  <c r="F75" i="110"/>
  <c r="D75" i="110"/>
  <c r="C75" i="110"/>
  <c r="AJ74" i="110" a="1"/>
  <c r="AJ74" i="110" s="1"/>
  <c r="AI74" i="110" a="1"/>
  <c r="AH74" i="110" a="1"/>
  <c r="AG74" i="110" a="1"/>
  <c r="AG74" i="110" s="1"/>
  <c r="AF74" i="110" a="1"/>
  <c r="AF74" i="110" s="1"/>
  <c r="AE74" i="110" a="1"/>
  <c r="AD74" i="110" a="1"/>
  <c r="AC74" i="110" a="1"/>
  <c r="AC74" i="110" s="1"/>
  <c r="AB74" i="110" a="1"/>
  <c r="AB74" i="110" s="1"/>
  <c r="AA74" i="110" a="1"/>
  <c r="AA74" i="110" s="1"/>
  <c r="Z74" i="110" a="1"/>
  <c r="Y74" i="110" a="1"/>
  <c r="X74" i="110" a="1"/>
  <c r="X74" i="110" s="1"/>
  <c r="W74" i="110" a="1"/>
  <c r="W74" i="110" s="1"/>
  <c r="V74" i="110" a="1"/>
  <c r="U74" i="110" a="1"/>
  <c r="U74" i="110" s="1"/>
  <c r="R74" i="110"/>
  <c r="Q74" i="110"/>
  <c r="P74" i="110"/>
  <c r="O74" i="110"/>
  <c r="N74" i="110"/>
  <c r="L74" i="110"/>
  <c r="K74" i="110"/>
  <c r="J74" i="110"/>
  <c r="I74" i="110"/>
  <c r="H74" i="110"/>
  <c r="G74" i="110"/>
  <c r="F74" i="110"/>
  <c r="D74" i="110"/>
  <c r="C74" i="110"/>
  <c r="AJ73" i="110" a="1"/>
  <c r="AJ73" i="110" s="1"/>
  <c r="AI73" i="110" a="1"/>
  <c r="AI73" i="110" s="1"/>
  <c r="AH73" i="110" a="1"/>
  <c r="AG73" i="110" a="1"/>
  <c r="AG73" i="110" s="1"/>
  <c r="AF73" i="110" a="1"/>
  <c r="AE73" i="110" a="1"/>
  <c r="AE73" i="110" s="1"/>
  <c r="AD73" i="110" a="1"/>
  <c r="AC73" i="110" a="1"/>
  <c r="AC73" i="110" s="1"/>
  <c r="AB73" i="110" a="1"/>
  <c r="AB73" i="110" s="1"/>
  <c r="AA73" i="110" a="1"/>
  <c r="AA73" i="110" s="1"/>
  <c r="Z73" i="110" a="1"/>
  <c r="Y73" i="110" a="1"/>
  <c r="Y73" i="110" s="1"/>
  <c r="X73" i="110" a="1"/>
  <c r="X73" i="110" s="1"/>
  <c r="W73" i="110" a="1"/>
  <c r="V73" i="110" a="1"/>
  <c r="U73" i="110" a="1"/>
  <c r="U73" i="110" s="1"/>
  <c r="R73" i="110"/>
  <c r="Q73" i="110"/>
  <c r="P73" i="110"/>
  <c r="O73" i="110"/>
  <c r="N73" i="110"/>
  <c r="L73" i="110"/>
  <c r="K73" i="110"/>
  <c r="J73" i="110"/>
  <c r="I73" i="110"/>
  <c r="H73" i="110"/>
  <c r="G73" i="110"/>
  <c r="F73" i="110"/>
  <c r="D73" i="110"/>
  <c r="C73" i="110"/>
  <c r="AH71" i="110" a="1"/>
  <c r="AH71" i="110" s="1"/>
  <c r="T71" i="110"/>
  <c r="AF76" i="110" s="1"/>
  <c r="P71" i="110" a="1"/>
  <c r="P71" i="110" s="1"/>
  <c r="B71" i="110"/>
  <c r="M76" i="110" s="1"/>
  <c r="Y69" i="110"/>
  <c r="Q69" i="110"/>
  <c r="O69" i="110"/>
  <c r="N69" i="110"/>
  <c r="M69" i="110"/>
  <c r="L69" i="110"/>
  <c r="J69" i="110"/>
  <c r="F69" i="110"/>
  <c r="E69" i="110"/>
  <c r="D69" i="110"/>
  <c r="AH68" i="110"/>
  <c r="V68" i="110"/>
  <c r="Q68" i="110"/>
  <c r="O68" i="110"/>
  <c r="N68" i="110"/>
  <c r="M68" i="110"/>
  <c r="J68" i="110"/>
  <c r="I68" i="110"/>
  <c r="G68" i="110"/>
  <c r="F68" i="110"/>
  <c r="D68" i="110"/>
  <c r="AH67" i="110"/>
  <c r="AD67" i="110"/>
  <c r="X67" i="110"/>
  <c r="Q67" i="110"/>
  <c r="P67" i="110"/>
  <c r="N67" i="110"/>
  <c r="M67" i="110"/>
  <c r="K67" i="110"/>
  <c r="I67" i="110"/>
  <c r="H67" i="110"/>
  <c r="G67" i="110"/>
  <c r="F67" i="110"/>
  <c r="D67" i="110"/>
  <c r="AH66" i="110"/>
  <c r="AE66" i="110"/>
  <c r="AD66" i="110"/>
  <c r="X66" i="110"/>
  <c r="U66" i="110"/>
  <c r="Q66" i="110"/>
  <c r="N66" i="110"/>
  <c r="M66" i="110"/>
  <c r="L66" i="110"/>
  <c r="K66" i="110"/>
  <c r="I66" i="110"/>
  <c r="H66" i="110"/>
  <c r="F66" i="110"/>
  <c r="D66" i="110"/>
  <c r="C66" i="110"/>
  <c r="AH64" i="110" a="1"/>
  <c r="T64" i="110"/>
  <c r="P64" i="110" a="1"/>
  <c r="P64" i="110" s="1"/>
  <c r="B64" i="110"/>
  <c r="AJ62" i="110"/>
  <c r="AI62" i="110"/>
  <c r="AG62" i="110"/>
  <c r="AF62" i="110"/>
  <c r="AE62" i="110"/>
  <c r="AD62" i="110"/>
  <c r="AC62" i="110"/>
  <c r="AB62" i="110"/>
  <c r="AA62" i="110"/>
  <c r="Y62" i="110"/>
  <c r="X62" i="110"/>
  <c r="W62" i="110"/>
  <c r="V62" i="110"/>
  <c r="U62" i="110"/>
  <c r="R62" i="110"/>
  <c r="Q62" i="110"/>
  <c r="O62" i="110"/>
  <c r="N62" i="110"/>
  <c r="M62" i="110"/>
  <c r="L62" i="110"/>
  <c r="K62" i="110"/>
  <c r="I62" i="110"/>
  <c r="G62" i="110"/>
  <c r="F62" i="110"/>
  <c r="E62" i="110"/>
  <c r="D62" i="110"/>
  <c r="C62" i="110"/>
  <c r="AJ61" i="110"/>
  <c r="AI61" i="110"/>
  <c r="AG61" i="110"/>
  <c r="AF61" i="110"/>
  <c r="AE61" i="110"/>
  <c r="AD61" i="110"/>
  <c r="AC61" i="110"/>
  <c r="AB61" i="110"/>
  <c r="AA61" i="110"/>
  <c r="Y61" i="110"/>
  <c r="X61" i="110"/>
  <c r="W61" i="110"/>
  <c r="V61" i="110"/>
  <c r="U61" i="110"/>
  <c r="R61" i="110"/>
  <c r="Q61" i="110"/>
  <c r="O61" i="110"/>
  <c r="M61" i="110"/>
  <c r="L61" i="110"/>
  <c r="K61" i="110"/>
  <c r="J61" i="110"/>
  <c r="I61" i="110"/>
  <c r="G61" i="110"/>
  <c r="F61" i="110"/>
  <c r="D61" i="110"/>
  <c r="C61" i="110"/>
  <c r="AJ60" i="110"/>
  <c r="AI60" i="110"/>
  <c r="AG60" i="110"/>
  <c r="AF60" i="110"/>
  <c r="AE60" i="110"/>
  <c r="AD60" i="110"/>
  <c r="AC60" i="110"/>
  <c r="AB60" i="110"/>
  <c r="AA60" i="110"/>
  <c r="Y60" i="110"/>
  <c r="X60" i="110"/>
  <c r="W60" i="110"/>
  <c r="V60" i="110"/>
  <c r="U60" i="110"/>
  <c r="R60" i="110"/>
  <c r="Q60" i="110"/>
  <c r="O60" i="110"/>
  <c r="N60" i="110"/>
  <c r="M60" i="110"/>
  <c r="L60" i="110"/>
  <c r="K60" i="110"/>
  <c r="I60" i="110"/>
  <c r="G60" i="110"/>
  <c r="F60" i="110"/>
  <c r="E60" i="110"/>
  <c r="D60" i="110"/>
  <c r="C60" i="110"/>
  <c r="AJ59" i="110"/>
  <c r="AI59" i="110"/>
  <c r="AG59" i="110"/>
  <c r="AF59" i="110"/>
  <c r="AE59" i="110"/>
  <c r="AD59" i="110"/>
  <c r="AC59" i="110"/>
  <c r="AB59" i="110"/>
  <c r="AA59" i="110"/>
  <c r="Y59" i="110"/>
  <c r="X59" i="110"/>
  <c r="W59" i="110"/>
  <c r="V59" i="110"/>
  <c r="U59" i="110"/>
  <c r="R59" i="110"/>
  <c r="Q59" i="110"/>
  <c r="O59" i="110"/>
  <c r="M59" i="110"/>
  <c r="L59" i="110"/>
  <c r="K59" i="110"/>
  <c r="J59" i="110"/>
  <c r="I59" i="110"/>
  <c r="G59" i="110"/>
  <c r="F59" i="110"/>
  <c r="D59" i="110"/>
  <c r="C59" i="110"/>
  <c r="AH57" i="110" a="1"/>
  <c r="AH57" i="110" s="1"/>
  <c r="T57" i="110"/>
  <c r="AH62" i="110" s="1"/>
  <c r="P57" i="110" a="1"/>
  <c r="P57" i="110" s="1"/>
  <c r="B57" i="110"/>
  <c r="AJ55" i="110"/>
  <c r="AI55" i="110"/>
  <c r="AH55" i="110"/>
  <c r="AD55" i="110"/>
  <c r="AC55" i="110"/>
  <c r="Z55" i="110"/>
  <c r="Y55" i="110"/>
  <c r="W55" i="110"/>
  <c r="U55" i="110"/>
  <c r="AI54" i="110"/>
  <c r="AE54" i="110"/>
  <c r="AD54" i="110"/>
  <c r="AC54" i="110"/>
  <c r="AA54" i="110"/>
  <c r="Z54" i="110"/>
  <c r="Y54" i="110"/>
  <c r="AJ53" i="110"/>
  <c r="AI53" i="110"/>
  <c r="AG53" i="110"/>
  <c r="AE53" i="110"/>
  <c r="AD53" i="110"/>
  <c r="AA53" i="110"/>
  <c r="Y53" i="110"/>
  <c r="V53" i="110"/>
  <c r="U53" i="110"/>
  <c r="AJ52" i="110"/>
  <c r="AH52" i="110"/>
  <c r="AE52" i="110"/>
  <c r="AB52" i="110"/>
  <c r="AA52" i="110"/>
  <c r="Z52" i="110"/>
  <c r="V52" i="110"/>
  <c r="U52" i="110"/>
  <c r="AH50" i="110" a="1"/>
  <c r="T50" i="110"/>
  <c r="P50" i="110" a="1"/>
  <c r="B50" i="110"/>
  <c r="G53" i="110" s="1"/>
  <c r="AJ48" i="110"/>
  <c r="AI48" i="110"/>
  <c r="AG48" i="110"/>
  <c r="AF48" i="110"/>
  <c r="AE48" i="110"/>
  <c r="AC48" i="110"/>
  <c r="AB48" i="110"/>
  <c r="AA48" i="110"/>
  <c r="Z48" i="110"/>
  <c r="X48" i="110"/>
  <c r="W48" i="110"/>
  <c r="U48" i="110"/>
  <c r="K48" i="110"/>
  <c r="C48" i="110"/>
  <c r="AJ47" i="110"/>
  <c r="AI47" i="110"/>
  <c r="AH47" i="110"/>
  <c r="AG47" i="110"/>
  <c r="AF47" i="110"/>
  <c r="AE47" i="110"/>
  <c r="AB47" i="110"/>
  <c r="AA47" i="110"/>
  <c r="Z47" i="110"/>
  <c r="Y47" i="110"/>
  <c r="X47" i="110"/>
  <c r="W47" i="110"/>
  <c r="U47" i="110"/>
  <c r="Q47" i="110"/>
  <c r="J47" i="110"/>
  <c r="AJ46" i="110"/>
  <c r="AI46" i="110"/>
  <c r="AG46" i="110"/>
  <c r="AF46" i="110"/>
  <c r="AE46" i="110"/>
  <c r="AC46" i="110"/>
  <c r="AB46" i="110"/>
  <c r="AA46" i="110"/>
  <c r="Z46" i="110"/>
  <c r="X46" i="110"/>
  <c r="W46" i="110"/>
  <c r="U46" i="110"/>
  <c r="R46" i="110"/>
  <c r="P46" i="110"/>
  <c r="K46" i="110"/>
  <c r="G46" i="110"/>
  <c r="AJ45" i="110"/>
  <c r="AI45" i="110"/>
  <c r="AH45" i="110"/>
  <c r="AG45" i="110"/>
  <c r="AF45" i="110"/>
  <c r="AE45" i="110"/>
  <c r="AB45" i="110"/>
  <c r="AA45" i="110"/>
  <c r="Z45" i="110"/>
  <c r="Y45" i="110"/>
  <c r="X45" i="110"/>
  <c r="W45" i="110"/>
  <c r="U45" i="110"/>
  <c r="Q45" i="110"/>
  <c r="P45" i="110"/>
  <c r="M45" i="110"/>
  <c r="K45" i="110"/>
  <c r="G45" i="110"/>
  <c r="F45" i="110"/>
  <c r="C45" i="110"/>
  <c r="AH43" i="110" a="1"/>
  <c r="AH43" i="110" s="1"/>
  <c r="T43" i="110"/>
  <c r="P43" i="110" a="1"/>
  <c r="B43" i="110"/>
  <c r="AH41" i="110"/>
  <c r="AG41" i="110"/>
  <c r="AF41" i="110"/>
  <c r="AD41" i="110"/>
  <c r="AC41" i="110"/>
  <c r="AA41" i="110"/>
  <c r="Z41" i="110"/>
  <c r="X41" i="110"/>
  <c r="W41" i="110"/>
  <c r="U41" i="110"/>
  <c r="P41" i="110"/>
  <c r="O41" i="110"/>
  <c r="N41" i="110"/>
  <c r="I41" i="110"/>
  <c r="H41" i="110"/>
  <c r="G41" i="110"/>
  <c r="E41" i="110"/>
  <c r="D41" i="110"/>
  <c r="AH40" i="110"/>
  <c r="AG40" i="110"/>
  <c r="AF40" i="110"/>
  <c r="AE40" i="110"/>
  <c r="AD40" i="110"/>
  <c r="AC40" i="110"/>
  <c r="AA40" i="110"/>
  <c r="X40" i="110"/>
  <c r="W40" i="110"/>
  <c r="V40" i="110"/>
  <c r="U40" i="110"/>
  <c r="Q40" i="110"/>
  <c r="P40" i="110"/>
  <c r="L40" i="110"/>
  <c r="K40" i="110"/>
  <c r="I40" i="110"/>
  <c r="G40" i="110"/>
  <c r="E40" i="110"/>
  <c r="D40" i="110"/>
  <c r="AI39" i="110"/>
  <c r="AH39" i="110"/>
  <c r="AG39" i="110"/>
  <c r="AF39" i="110"/>
  <c r="AD39" i="110"/>
  <c r="AC39" i="110"/>
  <c r="AA39" i="110"/>
  <c r="Y39" i="110"/>
  <c r="X39" i="110"/>
  <c r="W39" i="110"/>
  <c r="U39" i="110"/>
  <c r="Q39" i="110"/>
  <c r="O39" i="110"/>
  <c r="M39" i="110"/>
  <c r="L39" i="110"/>
  <c r="I39" i="110"/>
  <c r="H39" i="110"/>
  <c r="G39" i="110"/>
  <c r="F39" i="110"/>
  <c r="C39" i="110"/>
  <c r="AI38" i="110"/>
  <c r="AH38" i="110"/>
  <c r="AG38" i="110"/>
  <c r="AF38" i="110"/>
  <c r="AE38" i="110"/>
  <c r="AD38" i="110"/>
  <c r="AA38" i="110"/>
  <c r="Z38" i="110"/>
  <c r="Y38" i="110"/>
  <c r="X38" i="110"/>
  <c r="W38" i="110"/>
  <c r="V38" i="110"/>
  <c r="U38" i="110"/>
  <c r="P38" i="110"/>
  <c r="N38" i="110"/>
  <c r="M38" i="110"/>
  <c r="L38" i="110"/>
  <c r="K38" i="110"/>
  <c r="I38" i="110"/>
  <c r="G38" i="110"/>
  <c r="F38" i="110"/>
  <c r="D38" i="110"/>
  <c r="C38" i="110"/>
  <c r="AH36" i="110" a="1"/>
  <c r="AH36" i="110" s="1"/>
  <c r="T36" i="110"/>
  <c r="P36" i="110" a="1"/>
  <c r="P36" i="110" s="1"/>
  <c r="B36" i="110"/>
  <c r="Q41" i="110" s="1"/>
  <c r="AJ34" i="110"/>
  <c r="AI34" i="110"/>
  <c r="AG34" i="110"/>
  <c r="AF34" i="110"/>
  <c r="AE34" i="110"/>
  <c r="AD34" i="110"/>
  <c r="AC34" i="110"/>
  <c r="AB34" i="110"/>
  <c r="AA34" i="110"/>
  <c r="Y34" i="110"/>
  <c r="X34" i="110"/>
  <c r="W34" i="110"/>
  <c r="V34" i="110"/>
  <c r="U34" i="110"/>
  <c r="I34" i="110"/>
  <c r="D34" i="110"/>
  <c r="AJ33" i="110"/>
  <c r="AI33" i="110"/>
  <c r="AG33" i="110"/>
  <c r="AF33" i="110"/>
  <c r="AE33" i="110"/>
  <c r="AD33" i="110"/>
  <c r="AC33" i="110"/>
  <c r="AB33" i="110"/>
  <c r="AA33" i="110"/>
  <c r="Y33" i="110"/>
  <c r="X33" i="110"/>
  <c r="W33" i="110"/>
  <c r="V33" i="110"/>
  <c r="U33" i="110"/>
  <c r="R33" i="110"/>
  <c r="D33" i="110"/>
  <c r="AJ32" i="110"/>
  <c r="AI32" i="110"/>
  <c r="AG32" i="110"/>
  <c r="AF32" i="110"/>
  <c r="AE32" i="110"/>
  <c r="AD32" i="110"/>
  <c r="AC32" i="110"/>
  <c r="AB32" i="110"/>
  <c r="AA32" i="110"/>
  <c r="Y32" i="110"/>
  <c r="X32" i="110"/>
  <c r="W32" i="110"/>
  <c r="V32" i="110"/>
  <c r="U32" i="110"/>
  <c r="N32" i="110"/>
  <c r="I32" i="110"/>
  <c r="AJ31" i="110"/>
  <c r="AI31" i="110"/>
  <c r="AG31" i="110"/>
  <c r="AF31" i="110"/>
  <c r="AE31" i="110"/>
  <c r="AD31" i="110"/>
  <c r="AC31" i="110"/>
  <c r="AB31" i="110"/>
  <c r="AA31" i="110"/>
  <c r="Y31" i="110"/>
  <c r="X31" i="110"/>
  <c r="W31" i="110"/>
  <c r="V31" i="110"/>
  <c r="U31" i="110"/>
  <c r="J31" i="110"/>
  <c r="C31" i="110"/>
  <c r="AH29" i="110" a="1"/>
  <c r="AH29" i="110" s="1"/>
  <c r="T29" i="110"/>
  <c r="AH34" i="110" s="1"/>
  <c r="P29" i="110" a="1"/>
  <c r="B29" i="110"/>
  <c r="N34" i="110" s="1"/>
  <c r="Q27" i="110"/>
  <c r="P27" i="110"/>
  <c r="O27" i="110"/>
  <c r="L27" i="110"/>
  <c r="K27" i="110"/>
  <c r="J27" i="110"/>
  <c r="G27" i="110"/>
  <c r="E27" i="110"/>
  <c r="D27" i="110"/>
  <c r="AC26" i="110"/>
  <c r="R26" i="110"/>
  <c r="P26" i="110"/>
  <c r="L26" i="110"/>
  <c r="K26" i="110"/>
  <c r="J26" i="110"/>
  <c r="I26" i="110"/>
  <c r="H26" i="110"/>
  <c r="G26" i="110"/>
  <c r="Q25" i="110"/>
  <c r="P25" i="110"/>
  <c r="M25" i="110"/>
  <c r="K25" i="110"/>
  <c r="J25" i="110"/>
  <c r="H25" i="110"/>
  <c r="G25" i="110"/>
  <c r="E25" i="110"/>
  <c r="C25" i="110"/>
  <c r="AD24" i="110"/>
  <c r="R24" i="110"/>
  <c r="Q24" i="110"/>
  <c r="O24" i="110"/>
  <c r="L24" i="110"/>
  <c r="K24" i="110"/>
  <c r="J24" i="110"/>
  <c r="H24" i="110"/>
  <c r="G24" i="110"/>
  <c r="C24" i="110"/>
  <c r="AH22" i="110" a="1"/>
  <c r="T22" i="110"/>
  <c r="P22" i="110" a="1"/>
  <c r="B22" i="110"/>
  <c r="AA20" i="110"/>
  <c r="U20" i="110"/>
  <c r="H20" i="110"/>
  <c r="AA19" i="110"/>
  <c r="W19" i="110"/>
  <c r="AA18" i="110"/>
  <c r="W18" i="110"/>
  <c r="AB17" i="110"/>
  <c r="X17" i="110"/>
  <c r="I17" i="110"/>
  <c r="AH15" i="110" a="1"/>
  <c r="T15" i="110"/>
  <c r="AC20" i="110" s="1"/>
  <c r="P15" i="110" a="1"/>
  <c r="B15" i="110"/>
  <c r="I18" i="110" s="1"/>
  <c r="P13" i="110"/>
  <c r="O13" i="110"/>
  <c r="I13" i="110"/>
  <c r="H13" i="110"/>
  <c r="G13" i="110"/>
  <c r="E13" i="110"/>
  <c r="C13" i="110"/>
  <c r="P12" i="110"/>
  <c r="L12" i="110"/>
  <c r="K12" i="110"/>
  <c r="I12" i="110"/>
  <c r="H12" i="110"/>
  <c r="G12" i="110"/>
  <c r="Q11" i="110"/>
  <c r="P11" i="110"/>
  <c r="N11" i="110"/>
  <c r="M11" i="110"/>
  <c r="L11" i="110"/>
  <c r="F11" i="110"/>
  <c r="D11" i="110"/>
  <c r="C11" i="110"/>
  <c r="Q10" i="110"/>
  <c r="N10" i="110"/>
  <c r="K10" i="110"/>
  <c r="I10" i="110"/>
  <c r="H10" i="110"/>
  <c r="D10" i="110"/>
  <c r="C10" i="110"/>
  <c r="T8" i="110"/>
  <c r="B8" i="110"/>
  <c r="R104" i="108" a="1"/>
  <c r="Q104" i="108" a="1"/>
  <c r="P104" i="108" a="1"/>
  <c r="P104" i="108" s="1"/>
  <c r="O104" i="108" a="1"/>
  <c r="O104" i="108" s="1"/>
  <c r="N104" i="108" a="1"/>
  <c r="M104" i="108" a="1"/>
  <c r="L104" i="108" a="1"/>
  <c r="K104" i="108" a="1"/>
  <c r="K104" i="108" s="1"/>
  <c r="J104" i="108" a="1"/>
  <c r="I104" i="108" a="1"/>
  <c r="H104" i="108" a="1"/>
  <c r="G104" i="108" a="1"/>
  <c r="F104" i="108" a="1"/>
  <c r="E104" i="108" a="1"/>
  <c r="E104" i="108" s="1"/>
  <c r="D104" i="108" a="1"/>
  <c r="D104" i="108" s="1"/>
  <c r="C104" i="108" a="1"/>
  <c r="R103" i="108" a="1"/>
  <c r="Q103" i="108" a="1"/>
  <c r="P103" i="108" a="1"/>
  <c r="O103" i="108" a="1"/>
  <c r="N103" i="108" a="1"/>
  <c r="M103" i="108" a="1"/>
  <c r="L103" i="108" a="1"/>
  <c r="L103" i="108" s="1"/>
  <c r="K103" i="108" a="1"/>
  <c r="K103" i="108" s="1"/>
  <c r="J103" i="108" a="1"/>
  <c r="I103" i="108" a="1"/>
  <c r="H103" i="108" a="1"/>
  <c r="G103" i="108" a="1"/>
  <c r="F103" i="108" a="1"/>
  <c r="E103" i="108" a="1"/>
  <c r="E103" i="108" s="1"/>
  <c r="D103" i="108" a="1"/>
  <c r="C103" i="108" a="1"/>
  <c r="R102" i="108" a="1"/>
  <c r="Q102" i="108" a="1"/>
  <c r="P102" i="108" a="1"/>
  <c r="O102" i="108" a="1"/>
  <c r="N102" i="108" a="1"/>
  <c r="M102" i="108" a="1"/>
  <c r="L102" i="108" a="1"/>
  <c r="K102" i="108" a="1"/>
  <c r="J102" i="108" a="1"/>
  <c r="I102" i="108" a="1"/>
  <c r="H102" i="108" a="1"/>
  <c r="G102" i="108" a="1"/>
  <c r="F102" i="108" a="1"/>
  <c r="E102" i="108" a="1"/>
  <c r="D102" i="108" a="1"/>
  <c r="C102" i="108" a="1"/>
  <c r="R101" i="108" a="1"/>
  <c r="Q101" i="108" a="1"/>
  <c r="Q101" i="108" s="1"/>
  <c r="P101" i="108" a="1"/>
  <c r="P101" i="108" s="1"/>
  <c r="O101" i="108" a="1"/>
  <c r="N101" i="108" a="1"/>
  <c r="M101" i="108" a="1"/>
  <c r="M101" i="108" s="1"/>
  <c r="L101" i="108" a="1"/>
  <c r="L101" i="108" s="1"/>
  <c r="K101" i="108" a="1"/>
  <c r="K101" i="108" s="1"/>
  <c r="J101" i="108" a="1"/>
  <c r="I101" i="108" a="1"/>
  <c r="H101" i="108" a="1"/>
  <c r="G101" i="108" a="1"/>
  <c r="F101" i="108" a="1"/>
  <c r="E101" i="108" a="1"/>
  <c r="D101" i="108" a="1"/>
  <c r="C101" i="108" a="1"/>
  <c r="P99" i="108" a="1"/>
  <c r="B99" i="108"/>
  <c r="AJ97" i="108" a="1"/>
  <c r="AI97" i="108" a="1"/>
  <c r="AH97" i="108" a="1"/>
  <c r="AH97" i="108" s="1"/>
  <c r="AG97" i="108" a="1"/>
  <c r="AF97" i="108" a="1"/>
  <c r="AE97" i="108" a="1"/>
  <c r="AE97" i="108" s="1"/>
  <c r="AD97" i="108" a="1"/>
  <c r="AC97" i="108" a="1"/>
  <c r="AC97" i="108" s="1"/>
  <c r="AB97" i="108" a="1"/>
  <c r="AA97" i="108" a="1"/>
  <c r="Z97" i="108" a="1"/>
  <c r="Z97" i="108" s="1"/>
  <c r="Y97" i="108" a="1"/>
  <c r="X97" i="108" a="1"/>
  <c r="W97" i="108" a="1"/>
  <c r="V97" i="108" a="1"/>
  <c r="V97" i="108" s="1"/>
  <c r="U97" i="108" a="1"/>
  <c r="U97" i="108" s="1"/>
  <c r="R97" i="108" a="1"/>
  <c r="Q97" i="108" a="1"/>
  <c r="P97" i="108" a="1"/>
  <c r="O97" i="108" a="1"/>
  <c r="N97" i="108" a="1"/>
  <c r="M97" i="108" a="1"/>
  <c r="L97" i="108" a="1"/>
  <c r="K97" i="108" a="1"/>
  <c r="J97" i="108" a="1"/>
  <c r="I97" i="108" a="1"/>
  <c r="H97" i="108" a="1"/>
  <c r="G97" i="108" a="1"/>
  <c r="F97" i="108" a="1"/>
  <c r="E97" i="108" a="1"/>
  <c r="D97" i="108" a="1"/>
  <c r="C97" i="108" a="1"/>
  <c r="AJ96" i="108" a="1"/>
  <c r="AI96" i="108" a="1"/>
  <c r="AH96" i="108" a="1"/>
  <c r="AH96" i="108" s="1"/>
  <c r="AG96" i="108" a="1"/>
  <c r="AF96" i="108" a="1"/>
  <c r="AE96" i="108" a="1"/>
  <c r="AD96" i="108" a="1"/>
  <c r="AC96" i="108" a="1"/>
  <c r="AC96" i="108" s="1"/>
  <c r="AB96" i="108" a="1"/>
  <c r="AA96" i="108" a="1"/>
  <c r="Z96" i="108" a="1"/>
  <c r="Y96" i="108" a="1"/>
  <c r="Y96" i="108" s="1"/>
  <c r="X96" i="108" a="1"/>
  <c r="W96" i="108" a="1"/>
  <c r="W96" i="108" s="1"/>
  <c r="V96" i="108" a="1"/>
  <c r="U96" i="108" a="1"/>
  <c r="U96" i="108" s="1"/>
  <c r="R96" i="108" a="1"/>
  <c r="Q96" i="108" a="1"/>
  <c r="P96" i="108" a="1"/>
  <c r="O96" i="108" a="1"/>
  <c r="N96" i="108" a="1"/>
  <c r="M96" i="108" a="1"/>
  <c r="L96" i="108" a="1"/>
  <c r="L96" i="108" s="1"/>
  <c r="K96" i="108" a="1"/>
  <c r="J96" i="108" a="1"/>
  <c r="I96" i="108" a="1"/>
  <c r="H96" i="108" a="1"/>
  <c r="G96" i="108" a="1"/>
  <c r="F96" i="108" a="1"/>
  <c r="E96" i="108" a="1"/>
  <c r="D96" i="108" a="1"/>
  <c r="C96" i="108" a="1"/>
  <c r="AJ95" i="108" a="1"/>
  <c r="AI95" i="108" a="1"/>
  <c r="AI95" i="108"/>
  <c r="AH95" i="108" a="1"/>
  <c r="AG95" i="108" a="1"/>
  <c r="AG95" i="108" s="1"/>
  <c r="AF95" i="108" a="1"/>
  <c r="AE95" i="108" a="1"/>
  <c r="AE95" i="108" s="1"/>
  <c r="AD95" i="108" a="1"/>
  <c r="AD95" i="108"/>
  <c r="AC95" i="108" a="1"/>
  <c r="AB95" i="108" a="1"/>
  <c r="AA95" i="108" a="1"/>
  <c r="Z95" i="108" a="1"/>
  <c r="Z95" i="108" s="1"/>
  <c r="Y95" i="108" a="1"/>
  <c r="Y95" i="108" s="1"/>
  <c r="X95" i="108" a="1"/>
  <c r="W95" i="108" a="1"/>
  <c r="W95" i="108"/>
  <c r="V95" i="108" a="1"/>
  <c r="U95" i="108" a="1"/>
  <c r="U95" i="108" s="1"/>
  <c r="R95" i="108" a="1"/>
  <c r="Q95" i="108" a="1"/>
  <c r="P95" i="108" a="1"/>
  <c r="O95" i="108" a="1"/>
  <c r="N95" i="108" a="1"/>
  <c r="M95" i="108" a="1"/>
  <c r="L95" i="108" a="1"/>
  <c r="K95" i="108" a="1"/>
  <c r="J95" i="108" a="1"/>
  <c r="I95" i="108" a="1"/>
  <c r="H95" i="108" a="1"/>
  <c r="G95" i="108" a="1"/>
  <c r="F95" i="108" a="1"/>
  <c r="E95" i="108" a="1"/>
  <c r="D95" i="108" a="1"/>
  <c r="C95" i="108" a="1"/>
  <c r="AJ94" i="108" a="1"/>
  <c r="AI94" i="108" a="1"/>
  <c r="AH94" i="108" a="1"/>
  <c r="AH94" i="108" s="1"/>
  <c r="AG94" i="108" a="1"/>
  <c r="AG94" i="108" s="1"/>
  <c r="AF94" i="108" a="1"/>
  <c r="AE94" i="108" a="1"/>
  <c r="AD94" i="108" a="1"/>
  <c r="AD94" i="108" s="1"/>
  <c r="AC94" i="108" a="1"/>
  <c r="AB94" i="108" a="1"/>
  <c r="AA94" i="108" a="1"/>
  <c r="Z94" i="108" a="1"/>
  <c r="Y94" i="108" a="1"/>
  <c r="Y94" i="108" s="1"/>
  <c r="X94" i="108" a="1"/>
  <c r="W94" i="108" a="1"/>
  <c r="W94" i="108" s="1"/>
  <c r="V94" i="108" a="1"/>
  <c r="V94" i="108" s="1"/>
  <c r="U94" i="108" a="1"/>
  <c r="R94" i="108" a="1"/>
  <c r="Q94" i="108" a="1"/>
  <c r="P94" i="108" a="1"/>
  <c r="O94" i="108" a="1"/>
  <c r="N94" i="108" a="1"/>
  <c r="M94" i="108" a="1"/>
  <c r="L94" i="108" a="1"/>
  <c r="K94" i="108" a="1"/>
  <c r="J94" i="108" a="1"/>
  <c r="I94" i="108" a="1"/>
  <c r="H94" i="108" a="1"/>
  <c r="G94" i="108" a="1"/>
  <c r="F94" i="108" a="1"/>
  <c r="E94" i="108" a="1"/>
  <c r="D94" i="108" a="1"/>
  <c r="C94" i="108" a="1"/>
  <c r="AH92" i="108" a="1"/>
  <c r="T92" i="108"/>
  <c r="P92" i="108" a="1"/>
  <c r="B92" i="108"/>
  <c r="AJ90" i="108" a="1"/>
  <c r="AI90" i="108" a="1"/>
  <c r="AH90" i="108" a="1"/>
  <c r="AH90" i="108"/>
  <c r="AG90" i="108" a="1"/>
  <c r="AG90" i="108" s="1"/>
  <c r="AF90" i="108" a="1"/>
  <c r="AE90" i="108" a="1"/>
  <c r="AD90" i="108" a="1"/>
  <c r="AC90" i="108" a="1"/>
  <c r="AC90" i="108" s="1"/>
  <c r="AB90" i="108" a="1"/>
  <c r="AB90" i="108" s="1"/>
  <c r="AA90" i="108" a="1"/>
  <c r="Z90" i="108" a="1"/>
  <c r="Y90" i="108" a="1"/>
  <c r="Y90" i="108" s="1"/>
  <c r="X90" i="108" a="1"/>
  <c r="W90" i="108" a="1"/>
  <c r="V90" i="108" a="1"/>
  <c r="V90" i="108" s="1"/>
  <c r="U90" i="108" a="1"/>
  <c r="R90" i="108" a="1"/>
  <c r="R90" i="108" s="1"/>
  <c r="Q90" i="108" a="1"/>
  <c r="P90" i="108" a="1"/>
  <c r="P90" i="108" s="1"/>
  <c r="O90" i="108" a="1"/>
  <c r="O90" i="108" s="1"/>
  <c r="N90" i="108" a="1"/>
  <c r="M90" i="108" a="1"/>
  <c r="L90" i="108" a="1"/>
  <c r="K90" i="108" a="1"/>
  <c r="K90" i="108" s="1"/>
  <c r="J90" i="108" a="1"/>
  <c r="I90" i="108" a="1"/>
  <c r="H90" i="108" a="1"/>
  <c r="G90" i="108" a="1"/>
  <c r="F90" i="108" a="1"/>
  <c r="E90" i="108" a="1"/>
  <c r="D90" i="108" a="1"/>
  <c r="D90" i="108" s="1"/>
  <c r="C90" i="108" a="1"/>
  <c r="AJ89" i="108" a="1"/>
  <c r="AJ89" i="108" s="1"/>
  <c r="AI89" i="108" a="1"/>
  <c r="AH89" i="108" a="1"/>
  <c r="AH89" i="108" s="1"/>
  <c r="AG89" i="108" a="1"/>
  <c r="AF89" i="108" a="1"/>
  <c r="AE89" i="108" a="1"/>
  <c r="AD89" i="108" a="1"/>
  <c r="AC89" i="108" a="1"/>
  <c r="AC89" i="108" s="1"/>
  <c r="AB89" i="108" a="1"/>
  <c r="AB89" i="108" s="1"/>
  <c r="AA89" i="108" a="1"/>
  <c r="Z89" i="108" a="1"/>
  <c r="Z89" i="108" s="1"/>
  <c r="Y89" i="108" a="1"/>
  <c r="Y89" i="108" s="1"/>
  <c r="X89" i="108" a="1"/>
  <c r="X89" i="108" s="1"/>
  <c r="W89" i="108" a="1"/>
  <c r="V89" i="108" a="1"/>
  <c r="U89" i="108" a="1"/>
  <c r="R89" i="108" a="1"/>
  <c r="R89" i="108" s="1"/>
  <c r="Q89" i="108" a="1"/>
  <c r="P89" i="108" a="1"/>
  <c r="P89" i="108" s="1"/>
  <c r="O89" i="108" a="1"/>
  <c r="N89" i="108" a="1"/>
  <c r="M89" i="108" a="1"/>
  <c r="L89" i="108" a="1"/>
  <c r="K89" i="108" a="1"/>
  <c r="K89" i="108" s="1"/>
  <c r="J89" i="108" a="1"/>
  <c r="I89" i="108" a="1"/>
  <c r="H89" i="108" a="1"/>
  <c r="H89" i="108"/>
  <c r="G89" i="108" a="1"/>
  <c r="F89" i="108" a="1"/>
  <c r="F89" i="108" s="1"/>
  <c r="E89" i="108" a="1"/>
  <c r="D89" i="108" a="1"/>
  <c r="C89" i="108" a="1"/>
  <c r="C89" i="108" s="1"/>
  <c r="AJ88" i="108" a="1"/>
  <c r="AJ88" i="108" s="1"/>
  <c r="AI88" i="108" a="1"/>
  <c r="AH88" i="108" a="1"/>
  <c r="AG88" i="108" a="1"/>
  <c r="AG88" i="108" s="1"/>
  <c r="AF88" i="108" a="1"/>
  <c r="AF88" i="108" s="1"/>
  <c r="AE88" i="108" a="1"/>
  <c r="AD88" i="108" a="1"/>
  <c r="AC88" i="108" a="1"/>
  <c r="AB88" i="108" a="1"/>
  <c r="AB88" i="108" s="1"/>
  <c r="AA88" i="108" a="1"/>
  <c r="Z88" i="108" a="1"/>
  <c r="Z88" i="108" s="1"/>
  <c r="Y88" i="108" a="1"/>
  <c r="X88" i="108" a="1"/>
  <c r="W88" i="108" a="1"/>
  <c r="V88" i="108" a="1"/>
  <c r="V88" i="108" s="1"/>
  <c r="U88" i="108" a="1"/>
  <c r="R88" i="108" a="1"/>
  <c r="Q88" i="108" a="1"/>
  <c r="P88" i="108" a="1"/>
  <c r="O88" i="108" a="1"/>
  <c r="O88" i="108" s="1"/>
  <c r="N88" i="108" a="1"/>
  <c r="M88" i="108" a="1"/>
  <c r="L88" i="108" a="1"/>
  <c r="L88" i="108" s="1"/>
  <c r="K88" i="108" a="1"/>
  <c r="J88" i="108" a="1"/>
  <c r="I88" i="108" a="1"/>
  <c r="H88" i="108" a="1"/>
  <c r="G88" i="108" a="1"/>
  <c r="G88" i="108" s="1"/>
  <c r="F88" i="108" a="1"/>
  <c r="E88" i="108" a="1"/>
  <c r="D88" i="108" a="1"/>
  <c r="D88" i="108" s="1"/>
  <c r="C88" i="108" a="1"/>
  <c r="C88" i="108" s="1"/>
  <c r="AJ87" i="108" a="1"/>
  <c r="AJ87" i="108" s="1"/>
  <c r="AI87" i="108" a="1"/>
  <c r="AH87" i="108" a="1"/>
  <c r="AH87" i="108" s="1"/>
  <c r="AG87" i="108" a="1"/>
  <c r="AF87" i="108" a="1"/>
  <c r="AF87" i="108" s="1"/>
  <c r="AE87" i="108" a="1"/>
  <c r="AD87" i="108" a="1"/>
  <c r="AC87" i="108" a="1"/>
  <c r="AB87" i="108" a="1"/>
  <c r="AA87" i="108" a="1"/>
  <c r="Z87" i="108" a="1"/>
  <c r="Z87" i="108" s="1"/>
  <c r="Y87" i="108" a="1"/>
  <c r="Y87" i="108" s="1"/>
  <c r="X87" i="108" a="1"/>
  <c r="W87" i="108" a="1"/>
  <c r="V87" i="108" a="1"/>
  <c r="V87" i="108" s="1"/>
  <c r="U87" i="108" a="1"/>
  <c r="R87" i="108" a="1"/>
  <c r="R87" i="108" s="1"/>
  <c r="Q87" i="108" a="1"/>
  <c r="P87" i="108" a="1"/>
  <c r="O87" i="108" a="1"/>
  <c r="O87" i="108"/>
  <c r="N87" i="108" a="1"/>
  <c r="N87" i="108"/>
  <c r="M87" i="108" a="1"/>
  <c r="L87" i="108" a="1"/>
  <c r="K87" i="108" a="1"/>
  <c r="K87" i="108" s="1"/>
  <c r="J87" i="108" a="1"/>
  <c r="I87" i="108" a="1"/>
  <c r="H87" i="108" a="1"/>
  <c r="H87" i="108" s="1"/>
  <c r="G87" i="108" a="1"/>
  <c r="F87" i="108" a="1"/>
  <c r="F87" i="108" s="1"/>
  <c r="E87" i="108" a="1"/>
  <c r="D87" i="108" a="1"/>
  <c r="D87" i="108" s="1"/>
  <c r="C87" i="108" a="1"/>
  <c r="C87" i="108" s="1"/>
  <c r="AH85" i="108" a="1"/>
  <c r="T85" i="108"/>
  <c r="P85" i="108" a="1"/>
  <c r="P85" i="108" s="1"/>
  <c r="B85" i="108"/>
  <c r="AJ83" i="108" a="1"/>
  <c r="AI83" i="108" a="1"/>
  <c r="AH83" i="108" a="1"/>
  <c r="AG83" i="108" a="1"/>
  <c r="AF83" i="108" a="1"/>
  <c r="AE83" i="108" a="1"/>
  <c r="AD83" i="108" a="1"/>
  <c r="AC83" i="108" a="1"/>
  <c r="AB83" i="108" a="1"/>
  <c r="AA83" i="108" a="1"/>
  <c r="Z83" i="108" a="1"/>
  <c r="Y83" i="108" a="1"/>
  <c r="X83" i="108" a="1"/>
  <c r="W83" i="108" a="1"/>
  <c r="V83" i="108" a="1"/>
  <c r="U83" i="108" a="1"/>
  <c r="R83" i="108" a="1"/>
  <c r="R83" i="108" s="1"/>
  <c r="Q83" i="108" a="1"/>
  <c r="Q83" i="108" s="1"/>
  <c r="P83" i="108" a="1"/>
  <c r="O83" i="108" a="1"/>
  <c r="O83" i="108" s="1"/>
  <c r="N83" i="108" a="1"/>
  <c r="N83" i="108" s="1"/>
  <c r="M83" i="108" a="1"/>
  <c r="M83" i="108" s="1"/>
  <c r="L83" i="108" a="1"/>
  <c r="K83" i="108" a="1"/>
  <c r="K83" i="108" s="1"/>
  <c r="J83" i="108" a="1"/>
  <c r="J83" i="108" s="1"/>
  <c r="I83" i="108" a="1"/>
  <c r="I83" i="108" s="1"/>
  <c r="H83" i="108" a="1"/>
  <c r="G83" i="108" a="1"/>
  <c r="G83" i="108" s="1"/>
  <c r="F83" i="108" a="1"/>
  <c r="F83" i="108" s="1"/>
  <c r="E83" i="108" a="1"/>
  <c r="E83" i="108" s="1"/>
  <c r="D83" i="108" a="1"/>
  <c r="C83" i="108" a="1"/>
  <c r="C83" i="108" s="1"/>
  <c r="AJ82" i="108" a="1"/>
  <c r="AI82" i="108" a="1"/>
  <c r="AH82" i="108" a="1"/>
  <c r="AG82" i="108" a="1"/>
  <c r="AF82" i="108" a="1"/>
  <c r="AE82" i="108" a="1"/>
  <c r="AD82" i="108" a="1"/>
  <c r="AC82" i="108" a="1"/>
  <c r="AB82" i="108" a="1"/>
  <c r="AA82" i="108" a="1"/>
  <c r="Z82" i="108" a="1"/>
  <c r="Y82" i="108" a="1"/>
  <c r="Y82" i="108" s="1"/>
  <c r="X82" i="108" a="1"/>
  <c r="W82" i="108" a="1"/>
  <c r="V82" i="108" a="1"/>
  <c r="U82" i="108" a="1"/>
  <c r="R82" i="108" a="1"/>
  <c r="R82" i="108" s="1"/>
  <c r="Q82" i="108" a="1"/>
  <c r="Q82" i="108" s="1"/>
  <c r="P82" i="108" a="1"/>
  <c r="O82" i="108" a="1"/>
  <c r="O82" i="108" s="1"/>
  <c r="N82" i="108" a="1"/>
  <c r="N82" i="108" s="1"/>
  <c r="M82" i="108" a="1"/>
  <c r="M82" i="108" s="1"/>
  <c r="L82" i="108" a="1"/>
  <c r="K82" i="108" a="1"/>
  <c r="K82" i="108" s="1"/>
  <c r="J82" i="108" a="1"/>
  <c r="J82" i="108" s="1"/>
  <c r="I82" i="108" a="1"/>
  <c r="I82" i="108" s="1"/>
  <c r="H82" i="108" a="1"/>
  <c r="G82" i="108" a="1"/>
  <c r="G82" i="108" s="1"/>
  <c r="F82" i="108" a="1"/>
  <c r="F82" i="108" s="1"/>
  <c r="E82" i="108" a="1"/>
  <c r="E82" i="108" s="1"/>
  <c r="D82" i="108" a="1"/>
  <c r="C82" i="108" a="1"/>
  <c r="C82" i="108" s="1"/>
  <c r="AJ81" i="108" a="1"/>
  <c r="AI81" i="108" a="1"/>
  <c r="AH81" i="108" a="1"/>
  <c r="AG81" i="108" a="1"/>
  <c r="AF81" i="108" a="1"/>
  <c r="AE81" i="108" a="1"/>
  <c r="AD81" i="108" a="1"/>
  <c r="AC81" i="108" a="1"/>
  <c r="AB81" i="108" a="1"/>
  <c r="AA81" i="108" a="1"/>
  <c r="Z81" i="108" a="1"/>
  <c r="Y81" i="108" a="1"/>
  <c r="X81" i="108" a="1"/>
  <c r="W81" i="108" a="1"/>
  <c r="W81" i="108" s="1"/>
  <c r="V81" i="108" a="1"/>
  <c r="U81" i="108" a="1"/>
  <c r="R81" i="108" a="1"/>
  <c r="R81" i="108" s="1"/>
  <c r="Q81" i="108" a="1"/>
  <c r="Q81" i="108" s="1"/>
  <c r="P81" i="108" a="1"/>
  <c r="O81" i="108" a="1"/>
  <c r="O81" i="108" s="1"/>
  <c r="N81" i="108" a="1"/>
  <c r="N81" i="108" s="1"/>
  <c r="M81" i="108" a="1"/>
  <c r="M81" i="108" s="1"/>
  <c r="L81" i="108" a="1"/>
  <c r="K81" i="108" a="1"/>
  <c r="K81" i="108" s="1"/>
  <c r="J81" i="108" a="1"/>
  <c r="J81" i="108" s="1"/>
  <c r="I81" i="108" a="1"/>
  <c r="I81" i="108" s="1"/>
  <c r="H81" i="108" a="1"/>
  <c r="G81" i="108" a="1"/>
  <c r="G81" i="108" s="1"/>
  <c r="F81" i="108" a="1"/>
  <c r="F81" i="108" s="1"/>
  <c r="E81" i="108" a="1"/>
  <c r="E81" i="108"/>
  <c r="D81" i="108" a="1"/>
  <c r="C81" i="108" a="1"/>
  <c r="C81" i="108" s="1"/>
  <c r="AJ80" i="108" a="1"/>
  <c r="AI80" i="108" a="1"/>
  <c r="AH80" i="108" a="1"/>
  <c r="AG80" i="108" a="1"/>
  <c r="AF80" i="108" a="1"/>
  <c r="AE80" i="108" a="1"/>
  <c r="AD80" i="108" a="1"/>
  <c r="AC80" i="108" a="1"/>
  <c r="AB80" i="108" a="1"/>
  <c r="AA80" i="108" a="1"/>
  <c r="AA80" i="108" s="1"/>
  <c r="Z80" i="108" a="1"/>
  <c r="Y80" i="108" a="1"/>
  <c r="X80" i="108" a="1"/>
  <c r="X80" i="108" s="1"/>
  <c r="W80" i="108" a="1"/>
  <c r="V80" i="108" a="1"/>
  <c r="U80" i="108" a="1"/>
  <c r="U80" i="108" s="1"/>
  <c r="R80" i="108" a="1"/>
  <c r="R80" i="108"/>
  <c r="Q80" i="108" a="1"/>
  <c r="Q80" i="108" s="1"/>
  <c r="P80" i="108" a="1"/>
  <c r="O80" i="108" a="1"/>
  <c r="O80" i="108"/>
  <c r="N80" i="108" a="1"/>
  <c r="N80" i="108" s="1"/>
  <c r="M80" i="108" a="1"/>
  <c r="M80" i="108" s="1"/>
  <c r="L80" i="108" a="1"/>
  <c r="K80" i="108" a="1"/>
  <c r="K80" i="108" s="1"/>
  <c r="J80" i="108" a="1"/>
  <c r="J80" i="108" s="1"/>
  <c r="I80" i="108" a="1"/>
  <c r="I80" i="108" s="1"/>
  <c r="H80" i="108" a="1"/>
  <c r="G80" i="108" a="1"/>
  <c r="G80" i="108" s="1"/>
  <c r="F80" i="108" a="1"/>
  <c r="F80" i="108" s="1"/>
  <c r="E80" i="108" a="1"/>
  <c r="E80" i="108" s="1"/>
  <c r="D80" i="108" a="1"/>
  <c r="C80" i="108" a="1"/>
  <c r="C80" i="108" s="1"/>
  <c r="AH78" i="108" a="1"/>
  <c r="T78" i="108"/>
  <c r="P78" i="108" a="1"/>
  <c r="P78" i="108" s="1"/>
  <c r="B78" i="108"/>
  <c r="AJ76" i="108" a="1"/>
  <c r="AI76" i="108" a="1"/>
  <c r="AI76" i="108" s="1"/>
  <c r="AH76" i="108" a="1"/>
  <c r="AH76" i="108" s="1"/>
  <c r="AG76" i="108" a="1"/>
  <c r="AF76" i="108" a="1"/>
  <c r="AE76" i="108" a="1"/>
  <c r="AE76" i="108" s="1"/>
  <c r="AD76" i="108" a="1"/>
  <c r="AD76" i="108" s="1"/>
  <c r="AC76" i="108" a="1"/>
  <c r="AB76" i="108" a="1"/>
  <c r="AA76" i="108" a="1"/>
  <c r="Z76" i="108" a="1"/>
  <c r="Z76" i="108" s="1"/>
  <c r="Y76" i="108" a="1"/>
  <c r="X76" i="108" a="1"/>
  <c r="X76" i="108" s="1"/>
  <c r="W76" i="108" a="1"/>
  <c r="V76" i="108" a="1"/>
  <c r="U76" i="108" a="1"/>
  <c r="N76" i="108"/>
  <c r="M76" i="108"/>
  <c r="G76" i="108"/>
  <c r="D76" i="108"/>
  <c r="AJ75" i="108" a="1"/>
  <c r="AJ75" i="108" s="1"/>
  <c r="AI75" i="108" a="1"/>
  <c r="AH75" i="108" a="1"/>
  <c r="AG75" i="108" a="1"/>
  <c r="AF75" i="108" a="1"/>
  <c r="AF75" i="108" s="1"/>
  <c r="AE75" i="108" a="1"/>
  <c r="AE75" i="108" s="1"/>
  <c r="AD75" i="108" a="1"/>
  <c r="AC75" i="108" a="1"/>
  <c r="AB75" i="108" a="1"/>
  <c r="AB75" i="108"/>
  <c r="AA75" i="108" a="1"/>
  <c r="AA75" i="108" s="1"/>
  <c r="Z75" i="108" a="1"/>
  <c r="Y75" i="108" a="1"/>
  <c r="X75" i="108" a="1"/>
  <c r="X75" i="108" s="1"/>
  <c r="W75" i="108" a="1"/>
  <c r="W75" i="108"/>
  <c r="V75" i="108" a="1"/>
  <c r="V75" i="108"/>
  <c r="U75" i="108" a="1"/>
  <c r="O75" i="108"/>
  <c r="M75" i="108"/>
  <c r="L75" i="108"/>
  <c r="J75" i="108"/>
  <c r="D75" i="108"/>
  <c r="AJ74" i="108" a="1"/>
  <c r="AJ74" i="108"/>
  <c r="AI74" i="108" a="1"/>
  <c r="AH74" i="108" a="1"/>
  <c r="AH74" i="108" s="1"/>
  <c r="AG74" i="108" a="1"/>
  <c r="AF74" i="108" a="1"/>
  <c r="AF74" i="108" s="1"/>
  <c r="AE74" i="108" a="1"/>
  <c r="AE74" i="108" s="1"/>
  <c r="AD74" i="108" a="1"/>
  <c r="AC74" i="108" a="1"/>
  <c r="AB74" i="108" a="1"/>
  <c r="AA74" i="108" a="1"/>
  <c r="AA74" i="108" s="1"/>
  <c r="Z74" i="108" a="1"/>
  <c r="Y74" i="108" a="1"/>
  <c r="X74" i="108" a="1"/>
  <c r="X74" i="108" s="1"/>
  <c r="W74" i="108" a="1"/>
  <c r="V74" i="108" a="1"/>
  <c r="V74" i="108" s="1"/>
  <c r="U74" i="108" a="1"/>
  <c r="R74" i="108"/>
  <c r="P74" i="108"/>
  <c r="O74" i="108"/>
  <c r="J74" i="108"/>
  <c r="I74" i="108"/>
  <c r="G74" i="108"/>
  <c r="E74" i="108"/>
  <c r="D74" i="108"/>
  <c r="AJ73" i="108" a="1"/>
  <c r="AI73" i="108" a="1"/>
  <c r="AH73" i="108" a="1"/>
  <c r="AH73" i="108" s="1"/>
  <c r="AG73" i="108" a="1"/>
  <c r="AF73" i="108" a="1"/>
  <c r="AF73" i="108" s="1"/>
  <c r="AE73" i="108" a="1"/>
  <c r="AD73" i="108" a="1"/>
  <c r="AD73" i="108" s="1"/>
  <c r="AC73" i="108" a="1"/>
  <c r="AB73" i="108" a="1"/>
  <c r="AB73" i="108" s="1"/>
  <c r="AA73" i="108" a="1"/>
  <c r="Z73" i="108" a="1"/>
  <c r="Y73" i="108" a="1"/>
  <c r="X73" i="108" a="1"/>
  <c r="X73" i="108" s="1"/>
  <c r="W73" i="108" a="1"/>
  <c r="W73" i="108" s="1"/>
  <c r="V73" i="108" a="1"/>
  <c r="U73" i="108" a="1"/>
  <c r="R73" i="108"/>
  <c r="Q73" i="108"/>
  <c r="P73" i="108"/>
  <c r="O73" i="108"/>
  <c r="N73" i="108"/>
  <c r="M73" i="108"/>
  <c r="H73" i="108"/>
  <c r="F73" i="108"/>
  <c r="E73" i="108"/>
  <c r="D73" i="108"/>
  <c r="AH71" i="108" a="1"/>
  <c r="T71" i="108"/>
  <c r="P71" i="108" a="1"/>
  <c r="P71" i="108" s="1"/>
  <c r="B71" i="108"/>
  <c r="R76" i="108" s="1"/>
  <c r="AJ69" i="108"/>
  <c r="AG69" i="108"/>
  <c r="Y69" i="108"/>
  <c r="V69" i="108"/>
  <c r="O69" i="108"/>
  <c r="M69" i="108"/>
  <c r="K69" i="108"/>
  <c r="J69" i="108"/>
  <c r="E69" i="108"/>
  <c r="D69" i="108"/>
  <c r="AJ68" i="108"/>
  <c r="AC68" i="108"/>
  <c r="Y68" i="108"/>
  <c r="W68" i="108"/>
  <c r="O68" i="108"/>
  <c r="N68" i="108"/>
  <c r="M68" i="108"/>
  <c r="K68" i="108"/>
  <c r="J68" i="108"/>
  <c r="E68" i="108"/>
  <c r="C68" i="108"/>
  <c r="AI67" i="108"/>
  <c r="AD67" i="108"/>
  <c r="AB67" i="108"/>
  <c r="U67" i="108"/>
  <c r="Q67" i="108"/>
  <c r="P67" i="108"/>
  <c r="N67" i="108"/>
  <c r="J67" i="108"/>
  <c r="I67" i="108"/>
  <c r="H67" i="108"/>
  <c r="E67" i="108"/>
  <c r="D67" i="108"/>
  <c r="AI66" i="108"/>
  <c r="AD66" i="108"/>
  <c r="Z66" i="108"/>
  <c r="W66" i="108"/>
  <c r="R66" i="108"/>
  <c r="N66" i="108"/>
  <c r="L66" i="108"/>
  <c r="K66" i="108"/>
  <c r="J66" i="108"/>
  <c r="E66" i="108"/>
  <c r="D66" i="108"/>
  <c r="C66" i="108"/>
  <c r="AH64" i="108" a="1"/>
  <c r="AH64" i="108" s="1"/>
  <c r="T64" i="108"/>
  <c r="AE69" i="108" s="1"/>
  <c r="P64" i="108" a="1"/>
  <c r="B64" i="108"/>
  <c r="R62" i="108"/>
  <c r="Q62" i="108"/>
  <c r="P62" i="108"/>
  <c r="O62" i="108"/>
  <c r="N62" i="108"/>
  <c r="L62" i="108"/>
  <c r="K62" i="108"/>
  <c r="J62" i="108"/>
  <c r="I62" i="108"/>
  <c r="H62" i="108"/>
  <c r="G62" i="108"/>
  <c r="F62" i="108"/>
  <c r="D62" i="108"/>
  <c r="C62" i="108"/>
  <c r="R61" i="108"/>
  <c r="Q61" i="108"/>
  <c r="P61" i="108"/>
  <c r="O61" i="108"/>
  <c r="N61" i="108"/>
  <c r="L61" i="108"/>
  <c r="K61" i="108"/>
  <c r="J61" i="108"/>
  <c r="I61" i="108"/>
  <c r="H61" i="108"/>
  <c r="G61" i="108"/>
  <c r="F61" i="108"/>
  <c r="D61" i="108"/>
  <c r="C61" i="108"/>
  <c r="AF60" i="108"/>
  <c r="R60" i="108"/>
  <c r="Q60" i="108"/>
  <c r="P60" i="108"/>
  <c r="O60" i="108"/>
  <c r="N60" i="108"/>
  <c r="L60" i="108"/>
  <c r="K60" i="108"/>
  <c r="J60" i="108"/>
  <c r="I60" i="108"/>
  <c r="H60" i="108"/>
  <c r="G60" i="108"/>
  <c r="F60" i="108"/>
  <c r="D60" i="108"/>
  <c r="C60" i="108"/>
  <c r="X59" i="108"/>
  <c r="R59" i="108"/>
  <c r="Q59" i="108"/>
  <c r="P59" i="108"/>
  <c r="O59" i="108"/>
  <c r="N59" i="108"/>
  <c r="L59" i="108"/>
  <c r="K59" i="108"/>
  <c r="J59" i="108"/>
  <c r="I59" i="108"/>
  <c r="H59" i="108"/>
  <c r="G59" i="108"/>
  <c r="F59" i="108"/>
  <c r="D59" i="108"/>
  <c r="C59" i="108"/>
  <c r="AH57" i="108" a="1"/>
  <c r="T57" i="108"/>
  <c r="AD61" i="108" s="1"/>
  <c r="P57" i="108" a="1"/>
  <c r="P57" i="108" s="1"/>
  <c r="B57" i="108"/>
  <c r="M62" i="108" s="1"/>
  <c r="R55" i="108"/>
  <c r="Q55" i="108"/>
  <c r="O55" i="108"/>
  <c r="M55" i="108"/>
  <c r="L55" i="108"/>
  <c r="J55" i="108"/>
  <c r="H55" i="108"/>
  <c r="F55" i="108"/>
  <c r="E55" i="108"/>
  <c r="R54" i="108"/>
  <c r="Q54" i="108"/>
  <c r="P54" i="108"/>
  <c r="N54" i="108"/>
  <c r="M54" i="108"/>
  <c r="J54" i="108"/>
  <c r="H54" i="108"/>
  <c r="G54" i="108"/>
  <c r="F54" i="108"/>
  <c r="D54" i="108"/>
  <c r="R53" i="108"/>
  <c r="Q53" i="108"/>
  <c r="N53" i="108"/>
  <c r="M53" i="108"/>
  <c r="L53" i="108"/>
  <c r="I53" i="108"/>
  <c r="H53" i="108"/>
  <c r="F53" i="108"/>
  <c r="D53" i="108"/>
  <c r="R52" i="108"/>
  <c r="Q52" i="108"/>
  <c r="O52" i="108"/>
  <c r="N52" i="108"/>
  <c r="M52" i="108"/>
  <c r="I52" i="108"/>
  <c r="H52" i="108"/>
  <c r="G52" i="108"/>
  <c r="E52" i="108"/>
  <c r="D52" i="108"/>
  <c r="AH50" i="108" a="1"/>
  <c r="T50" i="108"/>
  <c r="AD55" i="108" s="1"/>
  <c r="P50" i="108" a="1"/>
  <c r="P50" i="108"/>
  <c r="B50" i="108"/>
  <c r="AJ48" i="108"/>
  <c r="AH48" i="108"/>
  <c r="AF48" i="108"/>
  <c r="AD48" i="108"/>
  <c r="AC48" i="108"/>
  <c r="AB48" i="108"/>
  <c r="Z48" i="108"/>
  <c r="Y48" i="108"/>
  <c r="W48" i="108"/>
  <c r="V48" i="108"/>
  <c r="O48" i="108"/>
  <c r="J48" i="108"/>
  <c r="AJ47" i="108"/>
  <c r="AH47" i="108"/>
  <c r="AG47" i="108"/>
  <c r="AE47" i="108"/>
  <c r="AD47" i="108"/>
  <c r="AB47" i="108"/>
  <c r="Z47" i="108"/>
  <c r="Y47" i="108"/>
  <c r="X47" i="108"/>
  <c r="W47" i="108"/>
  <c r="U47" i="108"/>
  <c r="O47" i="108"/>
  <c r="F47" i="108"/>
  <c r="E47" i="108"/>
  <c r="AJ46" i="108"/>
  <c r="AH46" i="108"/>
  <c r="AE46" i="108"/>
  <c r="AD46" i="108"/>
  <c r="AC46" i="108"/>
  <c r="AB46" i="108"/>
  <c r="Z46" i="108"/>
  <c r="Y46" i="108"/>
  <c r="W46" i="108"/>
  <c r="U46" i="108"/>
  <c r="L46" i="108"/>
  <c r="K46" i="108"/>
  <c r="G46" i="108"/>
  <c r="AJ45" i="108"/>
  <c r="AH45" i="108"/>
  <c r="AF45" i="108"/>
  <c r="AE45" i="108"/>
  <c r="AD45" i="108"/>
  <c r="AB45" i="108"/>
  <c r="Z45" i="108"/>
  <c r="Y45" i="108"/>
  <c r="X45" i="108"/>
  <c r="V45" i="108"/>
  <c r="U45" i="108"/>
  <c r="P45" i="108"/>
  <c r="N45" i="108"/>
  <c r="M45" i="108"/>
  <c r="D45" i="108"/>
  <c r="C45" i="108"/>
  <c r="AH43" i="108" a="1"/>
  <c r="T43" i="108"/>
  <c r="P43" i="108" a="1"/>
  <c r="B43" i="108"/>
  <c r="AJ41" i="108"/>
  <c r="AI41" i="108"/>
  <c r="AH41" i="108"/>
  <c r="AF41" i="108"/>
  <c r="AC41" i="108"/>
  <c r="AB41" i="108"/>
  <c r="AA41" i="108"/>
  <c r="Z41" i="108"/>
  <c r="X41" i="108"/>
  <c r="W41" i="108"/>
  <c r="V41" i="108"/>
  <c r="R41" i="108"/>
  <c r="Q41" i="108"/>
  <c r="P41" i="108"/>
  <c r="N41" i="108"/>
  <c r="M41" i="108"/>
  <c r="L41" i="108"/>
  <c r="K41" i="108"/>
  <c r="I41" i="108"/>
  <c r="H41" i="108"/>
  <c r="F41" i="108"/>
  <c r="E41" i="108"/>
  <c r="D41" i="108"/>
  <c r="C41" i="108"/>
  <c r="AJ40" i="108"/>
  <c r="AH40" i="108"/>
  <c r="AF40" i="108"/>
  <c r="AD40" i="108"/>
  <c r="AC40" i="108"/>
  <c r="AB40" i="108"/>
  <c r="AA40" i="108"/>
  <c r="X40" i="108"/>
  <c r="W40" i="108"/>
  <c r="V40" i="108"/>
  <c r="R40" i="108"/>
  <c r="Q40" i="108"/>
  <c r="P40" i="108"/>
  <c r="M40" i="108"/>
  <c r="L40" i="108"/>
  <c r="K40" i="108"/>
  <c r="J40" i="108"/>
  <c r="I40" i="108"/>
  <c r="H40" i="108"/>
  <c r="F40" i="108"/>
  <c r="D40" i="108"/>
  <c r="C40" i="108"/>
  <c r="AJ39" i="108"/>
  <c r="AI39" i="108"/>
  <c r="AH39" i="108"/>
  <c r="AE39" i="108"/>
  <c r="AC39" i="108"/>
  <c r="AB39" i="108"/>
  <c r="AA39" i="108"/>
  <c r="Z39" i="108"/>
  <c r="X39" i="108"/>
  <c r="W39" i="108"/>
  <c r="R39" i="108"/>
  <c r="Q39" i="108"/>
  <c r="P39" i="108"/>
  <c r="N39" i="108"/>
  <c r="M39" i="108"/>
  <c r="L39" i="108"/>
  <c r="K39" i="108"/>
  <c r="I39" i="108"/>
  <c r="H39" i="108"/>
  <c r="F39" i="108"/>
  <c r="E39" i="108"/>
  <c r="D39" i="108"/>
  <c r="C39" i="108"/>
  <c r="AJ38" i="108"/>
  <c r="AH38" i="108"/>
  <c r="AE38" i="108"/>
  <c r="AD38" i="108"/>
  <c r="AC38" i="108"/>
  <c r="AB38" i="108"/>
  <c r="AA38" i="108"/>
  <c r="X38" i="108"/>
  <c r="W38" i="108"/>
  <c r="U38" i="108"/>
  <c r="R38" i="108"/>
  <c r="Q38" i="108"/>
  <c r="P38" i="108"/>
  <c r="M38" i="108"/>
  <c r="L38" i="108"/>
  <c r="K38" i="108"/>
  <c r="J38" i="108"/>
  <c r="I38" i="108"/>
  <c r="H38" i="108"/>
  <c r="F38" i="108"/>
  <c r="D38" i="108"/>
  <c r="C38" i="108"/>
  <c r="AH36" i="108" a="1"/>
  <c r="AH36" i="108" s="1"/>
  <c r="T36" i="108"/>
  <c r="P36" i="108" a="1"/>
  <c r="P36" i="108" s="1"/>
  <c r="B36" i="108"/>
  <c r="AJ34" i="108"/>
  <c r="AI34" i="108"/>
  <c r="AG34" i="108"/>
  <c r="Y34" i="108"/>
  <c r="X34" i="108"/>
  <c r="R34" i="108"/>
  <c r="P34" i="108"/>
  <c r="O34" i="108"/>
  <c r="N34" i="108"/>
  <c r="L34" i="108"/>
  <c r="K34" i="108"/>
  <c r="J34" i="108"/>
  <c r="I34" i="108"/>
  <c r="G34" i="108"/>
  <c r="F34" i="108"/>
  <c r="D34" i="108"/>
  <c r="C34" i="108"/>
  <c r="AI33" i="108"/>
  <c r="AH33" i="108"/>
  <c r="AC33" i="108"/>
  <c r="V33" i="108"/>
  <c r="R33" i="108"/>
  <c r="Q33" i="108"/>
  <c r="P33" i="108"/>
  <c r="O33" i="108"/>
  <c r="N33" i="108"/>
  <c r="K33" i="108"/>
  <c r="J33" i="108"/>
  <c r="I33" i="108"/>
  <c r="H33" i="108"/>
  <c r="G33" i="108"/>
  <c r="F33" i="108"/>
  <c r="D33" i="108"/>
  <c r="AF32" i="108"/>
  <c r="AD32" i="108"/>
  <c r="AA32" i="108"/>
  <c r="R32" i="108"/>
  <c r="P32" i="108"/>
  <c r="O32" i="108"/>
  <c r="N32" i="108"/>
  <c r="L32" i="108"/>
  <c r="K32" i="108"/>
  <c r="J32" i="108"/>
  <c r="I32" i="108"/>
  <c r="G32" i="108"/>
  <c r="F32" i="108"/>
  <c r="D32" i="108"/>
  <c r="C32" i="108"/>
  <c r="AC31" i="108"/>
  <c r="AB31" i="108"/>
  <c r="Z31" i="108"/>
  <c r="R31" i="108"/>
  <c r="Q31" i="108"/>
  <c r="P31" i="108"/>
  <c r="O31" i="108"/>
  <c r="N31" i="108"/>
  <c r="L31" i="108"/>
  <c r="K31" i="108"/>
  <c r="J31" i="108"/>
  <c r="I31" i="108"/>
  <c r="H31" i="108"/>
  <c r="G31" i="108"/>
  <c r="F31" i="108"/>
  <c r="D31" i="108"/>
  <c r="C31" i="108"/>
  <c r="AH29" i="108" a="1"/>
  <c r="T29" i="108"/>
  <c r="P29" i="108" a="1"/>
  <c r="P29" i="108" s="1"/>
  <c r="B29" i="108"/>
  <c r="AJ27" i="108"/>
  <c r="AI27" i="108"/>
  <c r="AG27" i="108"/>
  <c r="AF27" i="108"/>
  <c r="AE27" i="108"/>
  <c r="AD27" i="108"/>
  <c r="AB27" i="108"/>
  <c r="AA27" i="108"/>
  <c r="Z27" i="108"/>
  <c r="X27" i="108"/>
  <c r="W27" i="108"/>
  <c r="V27" i="108"/>
  <c r="P27" i="108"/>
  <c r="L27" i="108"/>
  <c r="F27" i="108"/>
  <c r="AJ26" i="108"/>
  <c r="AI26" i="108"/>
  <c r="AH26" i="108"/>
  <c r="AG26" i="108"/>
  <c r="AF26" i="108"/>
  <c r="AE26" i="108"/>
  <c r="AB26" i="108"/>
  <c r="AA26" i="108"/>
  <c r="Z26" i="108"/>
  <c r="Y26" i="108"/>
  <c r="X26" i="108"/>
  <c r="W26" i="108"/>
  <c r="V26" i="108"/>
  <c r="P26" i="108"/>
  <c r="M26" i="108"/>
  <c r="F26" i="108"/>
  <c r="AJ25" i="108"/>
  <c r="AI25" i="108"/>
  <c r="AG25" i="108"/>
  <c r="AF25" i="108"/>
  <c r="AE25" i="108"/>
  <c r="AD25" i="108"/>
  <c r="AB25" i="108"/>
  <c r="AA25" i="108"/>
  <c r="Z25" i="108"/>
  <c r="X25" i="108"/>
  <c r="W25" i="108"/>
  <c r="V25" i="108"/>
  <c r="Q25" i="108"/>
  <c r="M25" i="108"/>
  <c r="G25" i="108"/>
  <c r="AJ24" i="108"/>
  <c r="AI24" i="108"/>
  <c r="AH24" i="108"/>
  <c r="AG24" i="108"/>
  <c r="AF24" i="108"/>
  <c r="AE24" i="108"/>
  <c r="AB24" i="108"/>
  <c r="AA24" i="108"/>
  <c r="Z24" i="108"/>
  <c r="Y24" i="108"/>
  <c r="X24" i="108"/>
  <c r="W24" i="108"/>
  <c r="V24" i="108"/>
  <c r="Q24" i="108"/>
  <c r="N24" i="108"/>
  <c r="G24" i="108"/>
  <c r="D24" i="108"/>
  <c r="AH22" i="108" a="1"/>
  <c r="AH22" i="108" s="1"/>
  <c r="T22" i="108"/>
  <c r="P22" i="108" a="1"/>
  <c r="P22" i="108" s="1"/>
  <c r="B22" i="108"/>
  <c r="M27" i="108" s="1"/>
  <c r="R20" i="108"/>
  <c r="Q20" i="108"/>
  <c r="O20" i="108"/>
  <c r="N20" i="108"/>
  <c r="M20" i="108"/>
  <c r="L20" i="108"/>
  <c r="K20" i="108"/>
  <c r="J20" i="108"/>
  <c r="I20" i="108"/>
  <c r="G20" i="108"/>
  <c r="F20" i="108"/>
  <c r="E20" i="108"/>
  <c r="D20" i="108"/>
  <c r="C20" i="108"/>
  <c r="R19" i="108"/>
  <c r="Q19" i="108"/>
  <c r="P19" i="108"/>
  <c r="N19" i="108"/>
  <c r="M19" i="108"/>
  <c r="L19" i="108"/>
  <c r="K19" i="108"/>
  <c r="J19" i="108"/>
  <c r="I19" i="108"/>
  <c r="H19" i="108"/>
  <c r="F19" i="108"/>
  <c r="E19" i="108"/>
  <c r="D19" i="108"/>
  <c r="C19" i="108"/>
  <c r="AF18" i="108"/>
  <c r="R18" i="108"/>
  <c r="Q18" i="108"/>
  <c r="P18" i="108"/>
  <c r="O18" i="108"/>
  <c r="M18" i="108"/>
  <c r="L18" i="108"/>
  <c r="K18" i="108"/>
  <c r="J18" i="108"/>
  <c r="I18" i="108"/>
  <c r="H18" i="108"/>
  <c r="G18" i="108"/>
  <c r="E18" i="108"/>
  <c r="D18" i="108"/>
  <c r="C18" i="108"/>
  <c r="AI17" i="108"/>
  <c r="R17" i="108"/>
  <c r="Q17" i="108"/>
  <c r="P17" i="108"/>
  <c r="O17" i="108"/>
  <c r="N17" i="108"/>
  <c r="L17" i="108"/>
  <c r="K17" i="108"/>
  <c r="J17" i="108"/>
  <c r="I17" i="108"/>
  <c r="H17" i="108"/>
  <c r="G17" i="108"/>
  <c r="F17" i="108"/>
  <c r="D17" i="108"/>
  <c r="C17" i="108"/>
  <c r="AH15" i="108" a="1"/>
  <c r="T15" i="108"/>
  <c r="U19" i="108" s="1"/>
  <c r="P15" i="108" a="1"/>
  <c r="P15" i="108" s="1"/>
  <c r="B15" i="108"/>
  <c r="P20" i="108" s="1"/>
  <c r="AF13" i="108"/>
  <c r="AG12" i="108"/>
  <c r="U12" i="108"/>
  <c r="AJ11" i="108"/>
  <c r="AG11" i="108"/>
  <c r="AF10" i="108"/>
  <c r="AH8" i="108"/>
  <c r="T8" i="108"/>
  <c r="AE12" i="108" s="1"/>
  <c r="B8" i="108"/>
  <c r="O13" i="108" s="1"/>
  <c r="P104" i="109"/>
  <c r="M104" i="109"/>
  <c r="L104" i="109"/>
  <c r="J104" i="109"/>
  <c r="F104" i="109"/>
  <c r="D104" i="109"/>
  <c r="C104" i="109"/>
  <c r="Q103" i="109"/>
  <c r="M103" i="109"/>
  <c r="K103" i="109"/>
  <c r="J103" i="109"/>
  <c r="H103" i="109"/>
  <c r="D103" i="109"/>
  <c r="R102" i="109"/>
  <c r="Q102" i="109"/>
  <c r="N102" i="109"/>
  <c r="K102" i="109"/>
  <c r="I102" i="109"/>
  <c r="H102" i="109"/>
  <c r="E102" i="109"/>
  <c r="R101" i="109"/>
  <c r="P101" i="109"/>
  <c r="N101" i="109"/>
  <c r="L101" i="109"/>
  <c r="I101" i="109"/>
  <c r="F101" i="109"/>
  <c r="E101" i="109"/>
  <c r="C101" i="109"/>
  <c r="B99" i="109"/>
  <c r="AH97" i="109"/>
  <c r="AF97" i="109"/>
  <c r="AE97" i="109"/>
  <c r="AD97" i="109"/>
  <c r="AC97" i="109"/>
  <c r="AB97" i="109"/>
  <c r="AA97" i="109"/>
  <c r="Z97" i="109"/>
  <c r="X97" i="109"/>
  <c r="W97" i="109"/>
  <c r="V97" i="109"/>
  <c r="U97" i="109"/>
  <c r="Q97" i="109"/>
  <c r="M97" i="109"/>
  <c r="K97" i="109"/>
  <c r="J97" i="109"/>
  <c r="H97" i="109"/>
  <c r="D97" i="109"/>
  <c r="AH96" i="109"/>
  <c r="AG96" i="109"/>
  <c r="AF96" i="109"/>
  <c r="AD96" i="109"/>
  <c r="AC96" i="109"/>
  <c r="AB96" i="109"/>
  <c r="AA96" i="109"/>
  <c r="Z96" i="109"/>
  <c r="Y96" i="109"/>
  <c r="X96" i="109"/>
  <c r="V96" i="109"/>
  <c r="U96" i="109"/>
  <c r="P96" i="109"/>
  <c r="N96" i="109"/>
  <c r="L96" i="109"/>
  <c r="J96" i="109"/>
  <c r="G96" i="109"/>
  <c r="D96" i="109"/>
  <c r="C96" i="109"/>
  <c r="AH95" i="109"/>
  <c r="AG95" i="109"/>
  <c r="AF95" i="109"/>
  <c r="AE95" i="109"/>
  <c r="AD95" i="109"/>
  <c r="AB95" i="109"/>
  <c r="AA95" i="109"/>
  <c r="Z95" i="109"/>
  <c r="Y95" i="109"/>
  <c r="X95" i="109"/>
  <c r="W95" i="109"/>
  <c r="V95" i="109"/>
  <c r="R95" i="109"/>
  <c r="P95" i="109"/>
  <c r="O95" i="109"/>
  <c r="M95" i="109"/>
  <c r="I95" i="109"/>
  <c r="G95" i="109"/>
  <c r="F95" i="109"/>
  <c r="D95" i="109"/>
  <c r="AH94" i="109"/>
  <c r="AG94" i="109"/>
  <c r="AF94" i="109"/>
  <c r="AE94" i="109"/>
  <c r="AD94" i="109"/>
  <c r="AC94" i="109"/>
  <c r="AB94" i="109"/>
  <c r="Z94" i="109"/>
  <c r="Y94" i="109"/>
  <c r="X94" i="109"/>
  <c r="W94" i="109"/>
  <c r="V94" i="109"/>
  <c r="U94" i="109"/>
  <c r="R94" i="109"/>
  <c r="O94" i="109"/>
  <c r="M94" i="109"/>
  <c r="L94" i="109"/>
  <c r="J94" i="109"/>
  <c r="H94" i="109"/>
  <c r="F94" i="109"/>
  <c r="D94" i="109"/>
  <c r="C94" i="109"/>
  <c r="AF92" i="109"/>
  <c r="T92" i="109"/>
  <c r="AG97" i="109" s="1"/>
  <c r="P92" i="109"/>
  <c r="B92" i="109"/>
  <c r="P97" i="109" s="1"/>
  <c r="AH90" i="109"/>
  <c r="AA90" i="109"/>
  <c r="Q90" i="109"/>
  <c r="P90" i="109"/>
  <c r="N90" i="109"/>
  <c r="L90" i="109"/>
  <c r="J90" i="109"/>
  <c r="H90" i="109"/>
  <c r="G90" i="109"/>
  <c r="E90" i="109"/>
  <c r="AE89" i="109"/>
  <c r="AD89" i="109"/>
  <c r="V89" i="109"/>
  <c r="P89" i="109"/>
  <c r="N89" i="109"/>
  <c r="M89" i="109"/>
  <c r="K89" i="109"/>
  <c r="J89" i="109"/>
  <c r="G89" i="109"/>
  <c r="E89" i="109"/>
  <c r="D89" i="109"/>
  <c r="AH88" i="109"/>
  <c r="AD88" i="109"/>
  <c r="AB88" i="109"/>
  <c r="W88" i="109"/>
  <c r="Q88" i="109"/>
  <c r="P88" i="109"/>
  <c r="M88" i="109"/>
  <c r="L88" i="109"/>
  <c r="J88" i="109"/>
  <c r="H88" i="109"/>
  <c r="F88" i="109"/>
  <c r="D88" i="109"/>
  <c r="C88" i="109"/>
  <c r="AD87" i="109"/>
  <c r="AC87" i="109"/>
  <c r="Z87" i="109"/>
  <c r="X87" i="109"/>
  <c r="R87" i="109"/>
  <c r="P87" i="109"/>
  <c r="O87" i="109"/>
  <c r="L87" i="109"/>
  <c r="J87" i="109"/>
  <c r="I87" i="109"/>
  <c r="G87" i="109"/>
  <c r="F87" i="109"/>
  <c r="C87" i="109"/>
  <c r="T85" i="109"/>
  <c r="AE90" i="109" s="1"/>
  <c r="P85" i="109"/>
  <c r="B85" i="109"/>
  <c r="O90" i="109" s="1"/>
  <c r="AH83" i="109"/>
  <c r="AF83" i="109"/>
  <c r="AE83" i="109"/>
  <c r="AD83" i="109"/>
  <c r="AC83" i="109"/>
  <c r="AB83" i="109"/>
  <c r="AA83" i="109"/>
  <c r="Z83" i="109"/>
  <c r="X83" i="109"/>
  <c r="W83" i="109"/>
  <c r="V83" i="109"/>
  <c r="U83" i="109"/>
  <c r="Q83" i="109"/>
  <c r="P83" i="109"/>
  <c r="M83" i="109"/>
  <c r="L83" i="109"/>
  <c r="J83" i="109"/>
  <c r="H83" i="109"/>
  <c r="F83" i="109"/>
  <c r="D83" i="109"/>
  <c r="C83" i="109"/>
  <c r="AH82" i="109"/>
  <c r="AG82" i="109"/>
  <c r="AF82" i="109"/>
  <c r="AD82" i="109"/>
  <c r="AC82" i="109"/>
  <c r="AB82" i="109"/>
  <c r="AA82" i="109"/>
  <c r="Z82" i="109"/>
  <c r="Y82" i="109"/>
  <c r="X82" i="109"/>
  <c r="V82" i="109"/>
  <c r="U82" i="109"/>
  <c r="R82" i="109"/>
  <c r="P82" i="109"/>
  <c r="O82" i="109"/>
  <c r="L82" i="109"/>
  <c r="J82" i="109"/>
  <c r="I82" i="109"/>
  <c r="G82" i="109"/>
  <c r="F82" i="109"/>
  <c r="C82" i="109"/>
  <c r="AH81" i="109"/>
  <c r="AG81" i="109"/>
  <c r="AF81" i="109"/>
  <c r="AE81" i="109"/>
  <c r="AD81" i="109"/>
  <c r="AB81" i="109"/>
  <c r="AA81" i="109"/>
  <c r="Z81" i="109"/>
  <c r="Y81" i="109"/>
  <c r="X81" i="109"/>
  <c r="W81" i="109"/>
  <c r="V81" i="109"/>
  <c r="R81" i="109"/>
  <c r="Q81" i="109"/>
  <c r="P81" i="109"/>
  <c r="O81" i="109"/>
  <c r="M81" i="109"/>
  <c r="L81" i="109"/>
  <c r="J81" i="109"/>
  <c r="I81" i="109"/>
  <c r="H81" i="109"/>
  <c r="G81" i="109"/>
  <c r="F81" i="109"/>
  <c r="D81" i="109"/>
  <c r="AH80" i="109"/>
  <c r="AG80" i="109"/>
  <c r="AF80" i="109"/>
  <c r="AE80" i="109"/>
  <c r="AD80" i="109"/>
  <c r="AC80" i="109"/>
  <c r="AB80" i="109"/>
  <c r="Z80" i="109"/>
  <c r="Y80" i="109"/>
  <c r="X80" i="109"/>
  <c r="W80" i="109"/>
  <c r="V80" i="109"/>
  <c r="U80" i="109"/>
  <c r="R80" i="109"/>
  <c r="O80" i="109"/>
  <c r="N80" i="109"/>
  <c r="M80" i="109"/>
  <c r="L80" i="109"/>
  <c r="K80" i="109"/>
  <c r="J80" i="109"/>
  <c r="H80" i="109"/>
  <c r="F80" i="109"/>
  <c r="E80" i="109"/>
  <c r="D80" i="109"/>
  <c r="C80" i="109"/>
  <c r="AF78" i="109"/>
  <c r="T78" i="109"/>
  <c r="AG83" i="109" s="1"/>
  <c r="P78" i="109"/>
  <c r="B78" i="109"/>
  <c r="AH76" i="109"/>
  <c r="AE76" i="109"/>
  <c r="AB76" i="109"/>
  <c r="X76" i="109"/>
  <c r="W76" i="109"/>
  <c r="J76" i="109"/>
  <c r="AG75" i="109"/>
  <c r="AE75" i="109"/>
  <c r="AD75" i="109"/>
  <c r="X75" i="109"/>
  <c r="V75" i="109"/>
  <c r="P75" i="109"/>
  <c r="O75" i="109"/>
  <c r="E75" i="109"/>
  <c r="D75" i="109"/>
  <c r="AD74" i="109"/>
  <c r="AB74" i="109"/>
  <c r="Z74" i="109"/>
  <c r="W74" i="109"/>
  <c r="N74" i="109"/>
  <c r="J74" i="109"/>
  <c r="I74" i="109"/>
  <c r="C74" i="109"/>
  <c r="AD73" i="109"/>
  <c r="AC73" i="109"/>
  <c r="Z73" i="109"/>
  <c r="U73" i="109"/>
  <c r="Q73" i="109"/>
  <c r="P73" i="109"/>
  <c r="H73" i="109"/>
  <c r="F73" i="109"/>
  <c r="C73" i="109"/>
  <c r="T71" i="109"/>
  <c r="AD76" i="109" s="1"/>
  <c r="B71" i="109"/>
  <c r="P76" i="109" s="1"/>
  <c r="AH69" i="109"/>
  <c r="AF69" i="109"/>
  <c r="AD69" i="109"/>
  <c r="AC69" i="109"/>
  <c r="AB69" i="109"/>
  <c r="AA69" i="109"/>
  <c r="X69" i="109"/>
  <c r="W69" i="109"/>
  <c r="V69" i="109"/>
  <c r="U69" i="109"/>
  <c r="Q69" i="109"/>
  <c r="P69" i="109"/>
  <c r="I69" i="109"/>
  <c r="F69" i="109"/>
  <c r="D69" i="109"/>
  <c r="AH68" i="109"/>
  <c r="AG68" i="109"/>
  <c r="AF68" i="109"/>
  <c r="AD68" i="109"/>
  <c r="AC68" i="109"/>
  <c r="AA68" i="109"/>
  <c r="Z68" i="109"/>
  <c r="Y68" i="109"/>
  <c r="X68" i="109"/>
  <c r="V68" i="109"/>
  <c r="U68" i="109"/>
  <c r="R68" i="109"/>
  <c r="O68" i="109"/>
  <c r="N68" i="109"/>
  <c r="G68" i="109"/>
  <c r="D68" i="109"/>
  <c r="C68" i="109"/>
  <c r="AH67" i="109"/>
  <c r="AG67" i="109"/>
  <c r="AF67" i="109"/>
  <c r="AD67" i="109"/>
  <c r="AB67" i="109"/>
  <c r="AA67" i="109"/>
  <c r="Z67" i="109"/>
  <c r="Y67" i="109"/>
  <c r="X67" i="109"/>
  <c r="W67" i="109"/>
  <c r="R67" i="109"/>
  <c r="P67" i="109"/>
  <c r="N67" i="109"/>
  <c r="M67" i="109"/>
  <c r="I67" i="109"/>
  <c r="G67" i="109"/>
  <c r="D67" i="109"/>
  <c r="AH66" i="109"/>
  <c r="AG66" i="109"/>
  <c r="AF66" i="109"/>
  <c r="AE66" i="109"/>
  <c r="AD66" i="109"/>
  <c r="AC66" i="109"/>
  <c r="AB66" i="109"/>
  <c r="Z66" i="109"/>
  <c r="Y66" i="109"/>
  <c r="X66" i="109"/>
  <c r="W66" i="109"/>
  <c r="V66" i="109"/>
  <c r="U66" i="109"/>
  <c r="P66" i="109"/>
  <c r="L66" i="109"/>
  <c r="J66" i="109"/>
  <c r="G66" i="109"/>
  <c r="F66" i="109"/>
  <c r="C66" i="109"/>
  <c r="AF64" i="109"/>
  <c r="T64" i="109"/>
  <c r="B64" i="109"/>
  <c r="AH62" i="109"/>
  <c r="AE62" i="109"/>
  <c r="AD62" i="109"/>
  <c r="AB62" i="109"/>
  <c r="Z62" i="109"/>
  <c r="Y62" i="109"/>
  <c r="V62" i="109"/>
  <c r="AG61" i="109"/>
  <c r="AF61" i="109"/>
  <c r="AE61" i="109"/>
  <c r="AC61" i="109"/>
  <c r="AB61" i="109"/>
  <c r="X61" i="109"/>
  <c r="W61" i="109"/>
  <c r="V61" i="109"/>
  <c r="H61" i="109"/>
  <c r="AH60" i="109"/>
  <c r="AE60" i="109"/>
  <c r="AD60" i="109"/>
  <c r="AA60" i="109"/>
  <c r="Z60" i="109"/>
  <c r="X60" i="109"/>
  <c r="V60" i="109"/>
  <c r="U60" i="109"/>
  <c r="J60" i="109"/>
  <c r="AH59" i="109"/>
  <c r="AG59" i="109"/>
  <c r="AC59" i="109"/>
  <c r="AB59" i="109"/>
  <c r="AA59" i="109"/>
  <c r="Y59" i="109"/>
  <c r="X59" i="109"/>
  <c r="I59" i="109"/>
  <c r="G59" i="109"/>
  <c r="T57" i="109"/>
  <c r="AA62" i="109" s="1"/>
  <c r="B57" i="109"/>
  <c r="H62" i="109" s="1"/>
  <c r="AH55" i="109"/>
  <c r="AF55" i="109"/>
  <c r="AE55" i="109"/>
  <c r="AD55" i="109"/>
  <c r="AC55" i="109"/>
  <c r="AB55" i="109"/>
  <c r="AA55" i="109"/>
  <c r="Z55" i="109"/>
  <c r="X55" i="109"/>
  <c r="W55" i="109"/>
  <c r="V55" i="109"/>
  <c r="U55" i="109"/>
  <c r="P55" i="109"/>
  <c r="N55" i="109"/>
  <c r="M55" i="109"/>
  <c r="K55" i="109"/>
  <c r="J55" i="109"/>
  <c r="F55" i="109"/>
  <c r="E55" i="109"/>
  <c r="D55" i="109"/>
  <c r="AH54" i="109"/>
  <c r="AG54" i="109"/>
  <c r="AF54" i="109"/>
  <c r="AD54" i="109"/>
  <c r="AC54" i="109"/>
  <c r="AB54" i="109"/>
  <c r="AA54" i="109"/>
  <c r="Z54" i="109"/>
  <c r="Y54" i="109"/>
  <c r="X54" i="109"/>
  <c r="V54" i="109"/>
  <c r="U54" i="109"/>
  <c r="R54" i="109"/>
  <c r="Q54" i="109"/>
  <c r="P54" i="109"/>
  <c r="N54" i="109"/>
  <c r="L54" i="109"/>
  <c r="J54" i="109"/>
  <c r="I54" i="109"/>
  <c r="H54" i="109"/>
  <c r="G54" i="109"/>
  <c r="D54" i="109"/>
  <c r="C54" i="109"/>
  <c r="AH53" i="109"/>
  <c r="AG53" i="109"/>
  <c r="AF53" i="109"/>
  <c r="AE53" i="109"/>
  <c r="AD53" i="109"/>
  <c r="AB53" i="109"/>
  <c r="AA53" i="109"/>
  <c r="Z53" i="109"/>
  <c r="Y53" i="109"/>
  <c r="X53" i="109"/>
  <c r="W53" i="109"/>
  <c r="V53" i="109"/>
  <c r="R53" i="109"/>
  <c r="P53" i="109"/>
  <c r="O53" i="109"/>
  <c r="M53" i="109"/>
  <c r="L53" i="109"/>
  <c r="J53" i="109"/>
  <c r="I53" i="109"/>
  <c r="G53" i="109"/>
  <c r="F53" i="109"/>
  <c r="D53" i="109"/>
  <c r="AH52" i="109"/>
  <c r="AG52" i="109"/>
  <c r="AF52" i="109"/>
  <c r="AE52" i="109"/>
  <c r="AD52" i="109"/>
  <c r="AC52" i="109"/>
  <c r="AB52" i="109"/>
  <c r="Z52" i="109"/>
  <c r="Y52" i="109"/>
  <c r="X52" i="109"/>
  <c r="W52" i="109"/>
  <c r="V52" i="109"/>
  <c r="U52" i="109"/>
  <c r="R52" i="109"/>
  <c r="O52" i="109"/>
  <c r="N52" i="109"/>
  <c r="M52" i="109"/>
  <c r="L52" i="109"/>
  <c r="J52" i="109"/>
  <c r="H52" i="109"/>
  <c r="F52" i="109"/>
  <c r="E52" i="109"/>
  <c r="D52" i="109"/>
  <c r="C52" i="109"/>
  <c r="AF50" i="109"/>
  <c r="T50" i="109"/>
  <c r="AG55" i="109" s="1"/>
  <c r="P50" i="109"/>
  <c r="B50" i="109"/>
  <c r="Q55" i="109" s="1"/>
  <c r="Q48" i="109"/>
  <c r="P48" i="109"/>
  <c r="N48" i="109"/>
  <c r="M48" i="109"/>
  <c r="L48" i="109"/>
  <c r="J48" i="109"/>
  <c r="H48" i="109"/>
  <c r="G48" i="109"/>
  <c r="E48" i="109"/>
  <c r="D48" i="109"/>
  <c r="P47" i="109"/>
  <c r="O47" i="109"/>
  <c r="N47" i="109"/>
  <c r="M47" i="109"/>
  <c r="K47" i="109"/>
  <c r="J47" i="109"/>
  <c r="G47" i="109"/>
  <c r="F47" i="109"/>
  <c r="E47" i="109"/>
  <c r="D47" i="109"/>
  <c r="AC46" i="109"/>
  <c r="R46" i="109"/>
  <c r="Q46" i="109"/>
  <c r="P46" i="109"/>
  <c r="M46" i="109"/>
  <c r="L46" i="109"/>
  <c r="J46" i="109"/>
  <c r="I46" i="109"/>
  <c r="H46" i="109"/>
  <c r="F46" i="109"/>
  <c r="D46" i="109"/>
  <c r="C46" i="109"/>
  <c r="AG45" i="109"/>
  <c r="R45" i="109"/>
  <c r="P45" i="109"/>
  <c r="O45" i="109"/>
  <c r="L45" i="109"/>
  <c r="K45" i="109"/>
  <c r="J45" i="109"/>
  <c r="I45" i="109"/>
  <c r="G45" i="109"/>
  <c r="F45" i="109"/>
  <c r="C45" i="109"/>
  <c r="T43" i="109"/>
  <c r="AH47" i="109" s="1"/>
  <c r="P43" i="109"/>
  <c r="B43" i="109"/>
  <c r="AC41" i="109"/>
  <c r="R41" i="109"/>
  <c r="Q41" i="109"/>
  <c r="P41" i="109"/>
  <c r="L41" i="109"/>
  <c r="J41" i="109"/>
  <c r="I41" i="109"/>
  <c r="H41" i="109"/>
  <c r="F41" i="109"/>
  <c r="D41" i="109"/>
  <c r="C41" i="109"/>
  <c r="AD40" i="109"/>
  <c r="R40" i="109"/>
  <c r="P40" i="109"/>
  <c r="O40" i="109"/>
  <c r="L40" i="109"/>
  <c r="K40" i="109"/>
  <c r="J40" i="109"/>
  <c r="I40" i="109"/>
  <c r="F40" i="109"/>
  <c r="C40" i="109"/>
  <c r="AG39" i="109"/>
  <c r="AD39" i="109"/>
  <c r="R39" i="109"/>
  <c r="Q39" i="109"/>
  <c r="O39" i="109"/>
  <c r="N39" i="109"/>
  <c r="L39" i="109"/>
  <c r="I39" i="109"/>
  <c r="H39" i="109"/>
  <c r="F39" i="109"/>
  <c r="E39" i="109"/>
  <c r="D39" i="109"/>
  <c r="C39" i="109"/>
  <c r="AF38" i="109"/>
  <c r="X38" i="109"/>
  <c r="R38" i="109"/>
  <c r="Q38" i="109"/>
  <c r="O38" i="109"/>
  <c r="N38" i="109"/>
  <c r="L38" i="109"/>
  <c r="K38" i="109"/>
  <c r="I38" i="109"/>
  <c r="G38" i="109"/>
  <c r="F38" i="109"/>
  <c r="D38" i="109"/>
  <c r="C38" i="109"/>
  <c r="AF36" i="109"/>
  <c r="T36" i="109"/>
  <c r="AD41" i="109" s="1"/>
  <c r="B36" i="109"/>
  <c r="AH34" i="109"/>
  <c r="AF34" i="109"/>
  <c r="AE34" i="109"/>
  <c r="AD34" i="109"/>
  <c r="AC34" i="109"/>
  <c r="AB34" i="109"/>
  <c r="AA34" i="109"/>
  <c r="Z34" i="109"/>
  <c r="X34" i="109"/>
  <c r="W34" i="109"/>
  <c r="V34" i="109"/>
  <c r="U34" i="109"/>
  <c r="L34" i="109"/>
  <c r="J34" i="109"/>
  <c r="AH33" i="109"/>
  <c r="AG33" i="109"/>
  <c r="AF33" i="109"/>
  <c r="AD33" i="109"/>
  <c r="AC33" i="109"/>
  <c r="AB33" i="109"/>
  <c r="AA33" i="109"/>
  <c r="Z33" i="109"/>
  <c r="Y33" i="109"/>
  <c r="X33" i="109"/>
  <c r="V33" i="109"/>
  <c r="U33" i="109"/>
  <c r="L33" i="109"/>
  <c r="J33" i="109"/>
  <c r="AH32" i="109"/>
  <c r="AG32" i="109"/>
  <c r="AF32" i="109"/>
  <c r="AE32" i="109"/>
  <c r="AD32" i="109"/>
  <c r="AB32" i="109"/>
  <c r="AA32" i="109"/>
  <c r="Z32" i="109"/>
  <c r="Y32" i="109"/>
  <c r="X32" i="109"/>
  <c r="W32" i="109"/>
  <c r="V32" i="109"/>
  <c r="N32" i="109"/>
  <c r="L32" i="109"/>
  <c r="D32" i="109"/>
  <c r="AH31" i="109"/>
  <c r="AG31" i="109"/>
  <c r="AF31" i="109"/>
  <c r="AE31" i="109"/>
  <c r="AD31" i="109"/>
  <c r="AC31" i="109"/>
  <c r="AB31" i="109"/>
  <c r="Z31" i="109"/>
  <c r="Y31" i="109"/>
  <c r="X31" i="109"/>
  <c r="W31" i="109"/>
  <c r="V31" i="109"/>
  <c r="U31" i="109"/>
  <c r="O31" i="109"/>
  <c r="L31" i="109"/>
  <c r="E31" i="109"/>
  <c r="AF29" i="109"/>
  <c r="T29" i="109"/>
  <c r="AG34" i="109" s="1"/>
  <c r="B29" i="109"/>
  <c r="P34" i="109" s="1"/>
  <c r="AH27" i="109"/>
  <c r="AG27" i="109"/>
  <c r="AE27" i="109"/>
  <c r="AD27" i="109"/>
  <c r="AB27" i="109"/>
  <c r="AA27" i="109"/>
  <c r="Z27" i="109"/>
  <c r="Y27" i="109"/>
  <c r="X27" i="109"/>
  <c r="V27" i="109"/>
  <c r="R27" i="109"/>
  <c r="P27" i="109"/>
  <c r="H27" i="109"/>
  <c r="F27" i="109"/>
  <c r="AG26" i="109"/>
  <c r="AF26" i="109"/>
  <c r="AE26" i="109"/>
  <c r="AD26" i="109"/>
  <c r="AC26" i="109"/>
  <c r="AB26" i="109"/>
  <c r="Z26" i="109"/>
  <c r="X26" i="109"/>
  <c r="W26" i="109"/>
  <c r="V26" i="109"/>
  <c r="U26" i="109"/>
  <c r="R26" i="109"/>
  <c r="O26" i="109"/>
  <c r="G26" i="109"/>
  <c r="D26" i="109"/>
  <c r="AH25" i="109"/>
  <c r="AF25" i="109"/>
  <c r="AE25" i="109"/>
  <c r="AD25" i="109"/>
  <c r="AC25" i="109"/>
  <c r="AA25" i="109"/>
  <c r="Z25" i="109"/>
  <c r="X25" i="109"/>
  <c r="W25" i="109"/>
  <c r="V25" i="109"/>
  <c r="U25" i="109"/>
  <c r="P25" i="109"/>
  <c r="M25" i="109"/>
  <c r="E25" i="109"/>
  <c r="C25" i="109"/>
  <c r="AH24" i="109"/>
  <c r="AG24" i="109"/>
  <c r="AF24" i="109"/>
  <c r="AC24" i="109"/>
  <c r="AB24" i="109"/>
  <c r="AA24" i="109"/>
  <c r="Z24" i="109"/>
  <c r="Y24" i="109"/>
  <c r="X24" i="109"/>
  <c r="V24" i="109"/>
  <c r="O24" i="109"/>
  <c r="L24" i="109"/>
  <c r="D24" i="109"/>
  <c r="AF22" i="109"/>
  <c r="T22" i="109"/>
  <c r="B22" i="109"/>
  <c r="J27" i="109" s="1"/>
  <c r="AH20" i="109"/>
  <c r="AF20" i="109"/>
  <c r="AE20" i="109"/>
  <c r="AD20" i="109"/>
  <c r="AC20" i="109"/>
  <c r="AB20" i="109"/>
  <c r="AA20" i="109"/>
  <c r="Z20" i="109"/>
  <c r="X20" i="109"/>
  <c r="W20" i="109"/>
  <c r="V20" i="109"/>
  <c r="U20" i="109"/>
  <c r="R20" i="109"/>
  <c r="M20" i="109"/>
  <c r="L20" i="109"/>
  <c r="K20" i="109"/>
  <c r="J20" i="109"/>
  <c r="F20" i="109"/>
  <c r="C20" i="109"/>
  <c r="AH19" i="109"/>
  <c r="AG19" i="109"/>
  <c r="AF19" i="109"/>
  <c r="AD19" i="109"/>
  <c r="AC19" i="109"/>
  <c r="AB19" i="109"/>
  <c r="AA19" i="109"/>
  <c r="Z19" i="109"/>
  <c r="Y19" i="109"/>
  <c r="X19" i="109"/>
  <c r="V19" i="109"/>
  <c r="U19" i="109"/>
  <c r="R19" i="109"/>
  <c r="O19" i="109"/>
  <c r="N19" i="109"/>
  <c r="L19" i="109"/>
  <c r="K19" i="109"/>
  <c r="H19" i="109"/>
  <c r="D19" i="109"/>
  <c r="C19" i="109"/>
  <c r="AH18" i="109"/>
  <c r="AG18" i="109"/>
  <c r="AF18" i="109"/>
  <c r="AE18" i="109"/>
  <c r="AD18" i="109"/>
  <c r="AB18" i="109"/>
  <c r="AA18" i="109"/>
  <c r="Z18" i="109"/>
  <c r="Y18" i="109"/>
  <c r="X18" i="109"/>
  <c r="W18" i="109"/>
  <c r="V18" i="109"/>
  <c r="P18" i="109"/>
  <c r="O18" i="109"/>
  <c r="N18" i="109"/>
  <c r="L18" i="109"/>
  <c r="J18" i="109"/>
  <c r="I18" i="109"/>
  <c r="F18" i="109"/>
  <c r="E18" i="109"/>
  <c r="AH17" i="109"/>
  <c r="AG17" i="109"/>
  <c r="AF17" i="109"/>
  <c r="AE17" i="109"/>
  <c r="AD17" i="109"/>
  <c r="AC17" i="109"/>
  <c r="AB17" i="109"/>
  <c r="Z17" i="109"/>
  <c r="Y17" i="109"/>
  <c r="X17" i="109"/>
  <c r="W17" i="109"/>
  <c r="V17" i="109"/>
  <c r="U17" i="109"/>
  <c r="P17" i="109"/>
  <c r="N17" i="109"/>
  <c r="M17" i="109"/>
  <c r="L17" i="109"/>
  <c r="K17" i="109"/>
  <c r="J17" i="109"/>
  <c r="E17" i="109"/>
  <c r="D17" i="109"/>
  <c r="C17" i="109"/>
  <c r="AF15" i="109"/>
  <c r="T15" i="109"/>
  <c r="AG20" i="109" s="1"/>
  <c r="P15" i="109"/>
  <c r="B15" i="109"/>
  <c r="P13" i="109"/>
  <c r="F13" i="109"/>
  <c r="N12" i="109"/>
  <c r="D12" i="109"/>
  <c r="M11" i="109"/>
  <c r="C11" i="109"/>
  <c r="Y10" i="109"/>
  <c r="K10" i="109"/>
  <c r="T8" i="109"/>
  <c r="Z11" i="109" s="1"/>
  <c r="B8" i="109"/>
  <c r="L13" i="109" s="1"/>
  <c r="AJ104" i="107"/>
  <c r="AH104" i="107"/>
  <c r="AG104" i="107"/>
  <c r="AF104" i="107"/>
  <c r="AE104" i="107"/>
  <c r="AD104" i="107"/>
  <c r="AC104" i="107"/>
  <c r="AB104" i="107"/>
  <c r="Z104" i="107"/>
  <c r="Y104" i="107"/>
  <c r="X104" i="107"/>
  <c r="W104" i="107"/>
  <c r="V104" i="107"/>
  <c r="U104" i="107"/>
  <c r="R104" i="107"/>
  <c r="P104" i="107"/>
  <c r="O104" i="107"/>
  <c r="N104" i="107"/>
  <c r="M104" i="107"/>
  <c r="K104" i="107"/>
  <c r="J104" i="107"/>
  <c r="H104" i="107"/>
  <c r="G104" i="107"/>
  <c r="F104" i="107"/>
  <c r="E104" i="107"/>
  <c r="D104" i="107"/>
  <c r="AJ103" i="107"/>
  <c r="AH103" i="107"/>
  <c r="AG103" i="107"/>
  <c r="AF103" i="107"/>
  <c r="AE103" i="107"/>
  <c r="AD103" i="107"/>
  <c r="AC103" i="107"/>
  <c r="AB103" i="107"/>
  <c r="Z103" i="107"/>
  <c r="Y103" i="107"/>
  <c r="X103" i="107"/>
  <c r="W103" i="107"/>
  <c r="V103" i="107"/>
  <c r="U103" i="107"/>
  <c r="R103" i="107"/>
  <c r="O103" i="107"/>
  <c r="N103" i="107"/>
  <c r="M103" i="107"/>
  <c r="L103" i="107"/>
  <c r="K103" i="107"/>
  <c r="J103" i="107"/>
  <c r="H103" i="107"/>
  <c r="F103" i="107"/>
  <c r="E103" i="107"/>
  <c r="D103" i="107"/>
  <c r="C103" i="107"/>
  <c r="AJ102" i="107"/>
  <c r="AH102" i="107"/>
  <c r="AG102" i="107"/>
  <c r="AF102" i="107"/>
  <c r="AE102" i="107"/>
  <c r="AD102" i="107"/>
  <c r="AC102" i="107"/>
  <c r="AB102" i="107"/>
  <c r="Z102" i="107"/>
  <c r="Y102" i="107"/>
  <c r="X102" i="107"/>
  <c r="W102" i="107"/>
  <c r="V102" i="107"/>
  <c r="U102" i="107"/>
  <c r="R102" i="107"/>
  <c r="P102" i="107"/>
  <c r="O102" i="107"/>
  <c r="N102" i="107"/>
  <c r="M102" i="107"/>
  <c r="K102" i="107"/>
  <c r="J102" i="107"/>
  <c r="H102" i="107"/>
  <c r="G102" i="107"/>
  <c r="F102" i="107"/>
  <c r="E102" i="107"/>
  <c r="D102" i="107"/>
  <c r="AJ101" i="107"/>
  <c r="AH101" i="107"/>
  <c r="AG101" i="107"/>
  <c r="AF101" i="107"/>
  <c r="AE101" i="107"/>
  <c r="AD101" i="107"/>
  <c r="AC101" i="107"/>
  <c r="AB101" i="107"/>
  <c r="Z101" i="107"/>
  <c r="Y101" i="107"/>
  <c r="X101" i="107"/>
  <c r="W101" i="107"/>
  <c r="V101" i="107"/>
  <c r="U101" i="107"/>
  <c r="R101" i="107"/>
  <c r="O101" i="107"/>
  <c r="N101" i="107"/>
  <c r="M101" i="107"/>
  <c r="L101" i="107"/>
  <c r="K101" i="107"/>
  <c r="J101" i="107"/>
  <c r="H101" i="107"/>
  <c r="F101" i="107"/>
  <c r="E101" i="107"/>
  <c r="D101" i="107"/>
  <c r="C101" i="107"/>
  <c r="AH99" i="107"/>
  <c r="T99" i="107"/>
  <c r="AI104" i="107" s="1"/>
  <c r="P99" i="107"/>
  <c r="B99" i="107"/>
  <c r="AJ97" i="107"/>
  <c r="AI97" i="107"/>
  <c r="AG97" i="107"/>
  <c r="AC97" i="107"/>
  <c r="AA97" i="107"/>
  <c r="Z97" i="107"/>
  <c r="Y97" i="107"/>
  <c r="V97" i="107"/>
  <c r="L97" i="107"/>
  <c r="J97" i="107"/>
  <c r="AJ96" i="107"/>
  <c r="AH96" i="107"/>
  <c r="AC96" i="107"/>
  <c r="AB96" i="107"/>
  <c r="AA96" i="107"/>
  <c r="Z96" i="107"/>
  <c r="V96" i="107"/>
  <c r="N96" i="107"/>
  <c r="J96" i="107"/>
  <c r="AJ95" i="107"/>
  <c r="AH95" i="107"/>
  <c r="AD95" i="107"/>
  <c r="AC95" i="107"/>
  <c r="AA95" i="107"/>
  <c r="Z95" i="107"/>
  <c r="X95" i="107"/>
  <c r="N95" i="107"/>
  <c r="K95" i="107"/>
  <c r="C95" i="107"/>
  <c r="AI94" i="107"/>
  <c r="AD94" i="107"/>
  <c r="AC94" i="107"/>
  <c r="AB94" i="107"/>
  <c r="AA94" i="107"/>
  <c r="Y94" i="107"/>
  <c r="O94" i="107"/>
  <c r="K94" i="107"/>
  <c r="D94" i="107"/>
  <c r="AH92" i="107"/>
  <c r="T92" i="107"/>
  <c r="B92" i="107"/>
  <c r="O97" i="107" s="1"/>
  <c r="AJ90" i="107"/>
  <c r="AH90" i="107"/>
  <c r="AG90" i="107"/>
  <c r="AF90" i="107"/>
  <c r="AE90" i="107"/>
  <c r="AD90" i="107"/>
  <c r="AC90" i="107"/>
  <c r="AB90" i="107"/>
  <c r="Z90" i="107"/>
  <c r="Y90" i="107"/>
  <c r="X90" i="107"/>
  <c r="W90" i="107"/>
  <c r="V90" i="107"/>
  <c r="U90" i="107"/>
  <c r="P90" i="107"/>
  <c r="O90" i="107"/>
  <c r="N90" i="107"/>
  <c r="M90" i="107"/>
  <c r="K90" i="107"/>
  <c r="G90" i="107"/>
  <c r="F90" i="107"/>
  <c r="E90" i="107"/>
  <c r="D90" i="107"/>
  <c r="AJ89" i="107"/>
  <c r="AH89" i="107"/>
  <c r="AG89" i="107"/>
  <c r="AF89" i="107"/>
  <c r="AE89" i="107"/>
  <c r="AD89" i="107"/>
  <c r="AC89" i="107"/>
  <c r="AB89" i="107"/>
  <c r="Z89" i="107"/>
  <c r="Y89" i="107"/>
  <c r="X89" i="107"/>
  <c r="W89" i="107"/>
  <c r="V89" i="107"/>
  <c r="U89" i="107"/>
  <c r="R89" i="107"/>
  <c r="O89" i="107"/>
  <c r="L89" i="107"/>
  <c r="K89" i="107"/>
  <c r="J89" i="107"/>
  <c r="H89" i="107"/>
  <c r="F89" i="107"/>
  <c r="C89" i="107"/>
  <c r="AJ88" i="107"/>
  <c r="AH88" i="107"/>
  <c r="AG88" i="107"/>
  <c r="AF88" i="107"/>
  <c r="AE88" i="107"/>
  <c r="AD88" i="107"/>
  <c r="AC88" i="107"/>
  <c r="AB88" i="107"/>
  <c r="Z88" i="107"/>
  <c r="Y88" i="107"/>
  <c r="X88" i="107"/>
  <c r="W88" i="107"/>
  <c r="V88" i="107"/>
  <c r="U88" i="107"/>
  <c r="P88" i="107"/>
  <c r="O88" i="107"/>
  <c r="N88" i="107"/>
  <c r="M88" i="107"/>
  <c r="K88" i="107"/>
  <c r="J88" i="107"/>
  <c r="G88" i="107"/>
  <c r="F88" i="107"/>
  <c r="E88" i="107"/>
  <c r="D88" i="107"/>
  <c r="AJ87" i="107"/>
  <c r="AH87" i="107"/>
  <c r="AG87" i="107"/>
  <c r="AF87" i="107"/>
  <c r="AE87" i="107"/>
  <c r="AD87" i="107"/>
  <c r="AC87" i="107"/>
  <c r="AB87" i="107"/>
  <c r="Z87" i="107"/>
  <c r="Y87" i="107"/>
  <c r="X87" i="107"/>
  <c r="W87" i="107"/>
  <c r="V87" i="107"/>
  <c r="U87" i="107"/>
  <c r="R87" i="107"/>
  <c r="O87" i="107"/>
  <c r="N87" i="107"/>
  <c r="L87" i="107"/>
  <c r="K87" i="107"/>
  <c r="J87" i="107"/>
  <c r="H87" i="107"/>
  <c r="F87" i="107"/>
  <c r="E87" i="107"/>
  <c r="C87" i="107"/>
  <c r="AH85" i="107"/>
  <c r="T85" i="107"/>
  <c r="AI90" i="107" s="1"/>
  <c r="P85" i="107"/>
  <c r="B85" i="107"/>
  <c r="J90" i="107" s="1"/>
  <c r="AJ83" i="107"/>
  <c r="AG83" i="107"/>
  <c r="AF83" i="107"/>
  <c r="AD83" i="107"/>
  <c r="AC83" i="107"/>
  <c r="AA83" i="107"/>
  <c r="X83" i="107"/>
  <c r="V83" i="107"/>
  <c r="U83" i="107"/>
  <c r="AJ82" i="107"/>
  <c r="AI82" i="107"/>
  <c r="AH82" i="107"/>
  <c r="AF82" i="107"/>
  <c r="AB82" i="107"/>
  <c r="AA82" i="107"/>
  <c r="Z82" i="107"/>
  <c r="Y82" i="107"/>
  <c r="V82" i="107"/>
  <c r="AJ81" i="107"/>
  <c r="AG81" i="107"/>
  <c r="AF81" i="107"/>
  <c r="AD81" i="107"/>
  <c r="AC81" i="107"/>
  <c r="AA81" i="107"/>
  <c r="X81" i="107"/>
  <c r="V81" i="107"/>
  <c r="U81" i="107"/>
  <c r="AJ80" i="107"/>
  <c r="AI80" i="107"/>
  <c r="AH80" i="107"/>
  <c r="AF80" i="107"/>
  <c r="AB80" i="107"/>
  <c r="AA80" i="107"/>
  <c r="Z80" i="107"/>
  <c r="Y80" i="107"/>
  <c r="V80" i="107"/>
  <c r="AH78" i="107"/>
  <c r="T78" i="107"/>
  <c r="B78" i="107"/>
  <c r="F82" i="107" s="1"/>
  <c r="AJ76" i="107"/>
  <c r="AH76" i="107"/>
  <c r="AG76" i="107"/>
  <c r="AF76" i="107"/>
  <c r="AE76" i="107"/>
  <c r="AD76" i="107"/>
  <c r="AC76" i="107"/>
  <c r="AB76" i="107"/>
  <c r="Z76" i="107"/>
  <c r="Y76" i="107"/>
  <c r="X76" i="107"/>
  <c r="W76" i="107"/>
  <c r="V76" i="107"/>
  <c r="U76" i="107"/>
  <c r="P76" i="107"/>
  <c r="O76" i="107"/>
  <c r="N76" i="107"/>
  <c r="M76" i="107"/>
  <c r="K76" i="107"/>
  <c r="J76" i="107"/>
  <c r="G76" i="107"/>
  <c r="F76" i="107"/>
  <c r="E76" i="107"/>
  <c r="D76" i="107"/>
  <c r="AJ75" i="107"/>
  <c r="AH75" i="107"/>
  <c r="AG75" i="107"/>
  <c r="AF75" i="107"/>
  <c r="AE75" i="107"/>
  <c r="AD75" i="107"/>
  <c r="AC75" i="107"/>
  <c r="AB75" i="107"/>
  <c r="Z75" i="107"/>
  <c r="Y75" i="107"/>
  <c r="X75" i="107"/>
  <c r="W75" i="107"/>
  <c r="V75" i="107"/>
  <c r="U75" i="107"/>
  <c r="R75" i="107"/>
  <c r="O75" i="107"/>
  <c r="N75" i="107"/>
  <c r="L75" i="107"/>
  <c r="K75" i="107"/>
  <c r="J75" i="107"/>
  <c r="H75" i="107"/>
  <c r="F75" i="107"/>
  <c r="E75" i="107"/>
  <c r="C75" i="107"/>
  <c r="AJ74" i="107"/>
  <c r="AH74" i="107"/>
  <c r="AG74" i="107"/>
  <c r="AF74" i="107"/>
  <c r="AE74" i="107"/>
  <c r="AD74" i="107"/>
  <c r="AC74" i="107"/>
  <c r="AB74" i="107"/>
  <c r="Z74" i="107"/>
  <c r="Y74" i="107"/>
  <c r="X74" i="107"/>
  <c r="W74" i="107"/>
  <c r="V74" i="107"/>
  <c r="U74" i="107"/>
  <c r="P74" i="107"/>
  <c r="O74" i="107"/>
  <c r="N74" i="107"/>
  <c r="M74" i="107"/>
  <c r="K74" i="107"/>
  <c r="J74" i="107"/>
  <c r="G74" i="107"/>
  <c r="F74" i="107"/>
  <c r="E74" i="107"/>
  <c r="D74" i="107"/>
  <c r="AJ73" i="107"/>
  <c r="AH73" i="107"/>
  <c r="AG73" i="107"/>
  <c r="AF73" i="107"/>
  <c r="AE73" i="107"/>
  <c r="AD73" i="107"/>
  <c r="AC73" i="107"/>
  <c r="AB73" i="107"/>
  <c r="Z73" i="107"/>
  <c r="Y73" i="107"/>
  <c r="X73" i="107"/>
  <c r="W73" i="107"/>
  <c r="V73" i="107"/>
  <c r="U73" i="107"/>
  <c r="R73" i="107"/>
  <c r="O73" i="107"/>
  <c r="N73" i="107"/>
  <c r="L73" i="107"/>
  <c r="K73" i="107"/>
  <c r="J73" i="107"/>
  <c r="H73" i="107"/>
  <c r="F73" i="107"/>
  <c r="E73" i="107"/>
  <c r="C73" i="107"/>
  <c r="AH71" i="107"/>
  <c r="T71" i="107"/>
  <c r="AI76" i="107" s="1"/>
  <c r="P71" i="107"/>
  <c r="B71" i="107"/>
  <c r="AJ69" i="107"/>
  <c r="AG69" i="107"/>
  <c r="AF69" i="107"/>
  <c r="AD69" i="107"/>
  <c r="AC69" i="107"/>
  <c r="AA69" i="107"/>
  <c r="X69" i="107"/>
  <c r="V69" i="107"/>
  <c r="U69" i="107"/>
  <c r="AJ68" i="107"/>
  <c r="AI68" i="107"/>
  <c r="AH68" i="107"/>
  <c r="AF68" i="107"/>
  <c r="AB68" i="107"/>
  <c r="AA68" i="107"/>
  <c r="Z68" i="107"/>
  <c r="Y68" i="107"/>
  <c r="V68" i="107"/>
  <c r="AJ67" i="107"/>
  <c r="AG67" i="107"/>
  <c r="AF67" i="107"/>
  <c r="AD67" i="107"/>
  <c r="AC67" i="107"/>
  <c r="AA67" i="107"/>
  <c r="X67" i="107"/>
  <c r="V67" i="107"/>
  <c r="U67" i="107"/>
  <c r="C67" i="107"/>
  <c r="AJ66" i="107"/>
  <c r="AI66" i="107"/>
  <c r="AH66" i="107"/>
  <c r="AF66" i="107"/>
  <c r="AB66" i="107"/>
  <c r="AA66" i="107"/>
  <c r="Z66" i="107"/>
  <c r="Y66" i="107"/>
  <c r="V66" i="107"/>
  <c r="G66" i="107"/>
  <c r="AH64" i="107"/>
  <c r="T64" i="107"/>
  <c r="B64" i="107"/>
  <c r="AJ62" i="107"/>
  <c r="AH62" i="107"/>
  <c r="AG62" i="107"/>
  <c r="AF62" i="107"/>
  <c r="AE62" i="107"/>
  <c r="AD62" i="107"/>
  <c r="AC62" i="107"/>
  <c r="AB62" i="107"/>
  <c r="Z62" i="107"/>
  <c r="Y62" i="107"/>
  <c r="X62" i="107"/>
  <c r="W62" i="107"/>
  <c r="V62" i="107"/>
  <c r="U62" i="107"/>
  <c r="P62" i="107"/>
  <c r="O62" i="107"/>
  <c r="N62" i="107"/>
  <c r="M62" i="107"/>
  <c r="K62" i="107"/>
  <c r="J62" i="107"/>
  <c r="G62" i="107"/>
  <c r="F62" i="107"/>
  <c r="E62" i="107"/>
  <c r="D62" i="107"/>
  <c r="AJ61" i="107"/>
  <c r="AH61" i="107"/>
  <c r="AG61" i="107"/>
  <c r="AF61" i="107"/>
  <c r="AE61" i="107"/>
  <c r="AD61" i="107"/>
  <c r="AC61" i="107"/>
  <c r="AB61" i="107"/>
  <c r="Z61" i="107"/>
  <c r="Y61" i="107"/>
  <c r="X61" i="107"/>
  <c r="W61" i="107"/>
  <c r="V61" i="107"/>
  <c r="U61" i="107"/>
  <c r="R61" i="107"/>
  <c r="O61" i="107"/>
  <c r="N61" i="107"/>
  <c r="L61" i="107"/>
  <c r="K61" i="107"/>
  <c r="J61" i="107"/>
  <c r="H61" i="107"/>
  <c r="F61" i="107"/>
  <c r="E61" i="107"/>
  <c r="C61" i="107"/>
  <c r="AJ60" i="107"/>
  <c r="AH60" i="107"/>
  <c r="AG60" i="107"/>
  <c r="AF60" i="107"/>
  <c r="AE60" i="107"/>
  <c r="AD60" i="107"/>
  <c r="AC60" i="107"/>
  <c r="AB60" i="107"/>
  <c r="Z60" i="107"/>
  <c r="Y60" i="107"/>
  <c r="X60" i="107"/>
  <c r="W60" i="107"/>
  <c r="V60" i="107"/>
  <c r="U60" i="107"/>
  <c r="P60" i="107"/>
  <c r="O60" i="107"/>
  <c r="N60" i="107"/>
  <c r="M60" i="107"/>
  <c r="K60" i="107"/>
  <c r="J60" i="107"/>
  <c r="G60" i="107"/>
  <c r="F60" i="107"/>
  <c r="E60" i="107"/>
  <c r="D60" i="107"/>
  <c r="AJ59" i="107"/>
  <c r="AH59" i="107"/>
  <c r="AG59" i="107"/>
  <c r="AF59" i="107"/>
  <c r="AE59" i="107"/>
  <c r="AD59" i="107"/>
  <c r="AC59" i="107"/>
  <c r="AB59" i="107"/>
  <c r="Z59" i="107"/>
  <c r="Y59" i="107"/>
  <c r="X59" i="107"/>
  <c r="W59" i="107"/>
  <c r="V59" i="107"/>
  <c r="U59" i="107"/>
  <c r="R59" i="107"/>
  <c r="O59" i="107"/>
  <c r="N59" i="107"/>
  <c r="L59" i="107"/>
  <c r="K59" i="107"/>
  <c r="J59" i="107"/>
  <c r="H59" i="107"/>
  <c r="F59" i="107"/>
  <c r="E59" i="107"/>
  <c r="C59" i="107"/>
  <c r="AH57" i="107"/>
  <c r="T57" i="107"/>
  <c r="AI62" i="107" s="1"/>
  <c r="P57" i="107"/>
  <c r="B57" i="107"/>
  <c r="AJ55" i="107"/>
  <c r="AF55" i="107"/>
  <c r="AA55" i="107"/>
  <c r="X55" i="107"/>
  <c r="AI54" i="107"/>
  <c r="AF54" i="107"/>
  <c r="AA54" i="107"/>
  <c r="V54" i="107"/>
  <c r="AI53" i="107"/>
  <c r="AD53" i="107"/>
  <c r="AA53" i="107"/>
  <c r="V53" i="107"/>
  <c r="AI52" i="107"/>
  <c r="AD52" i="107"/>
  <c r="Z52" i="107"/>
  <c r="V52" i="107"/>
  <c r="T50" i="107"/>
  <c r="Z55" i="107" s="1"/>
  <c r="B50" i="107"/>
  <c r="K55" i="107" s="1"/>
  <c r="AJ48" i="107"/>
  <c r="AH48" i="107"/>
  <c r="AG48" i="107"/>
  <c r="AF48" i="107"/>
  <c r="AE48" i="107"/>
  <c r="AD48" i="107"/>
  <c r="AC48" i="107"/>
  <c r="AB48" i="107"/>
  <c r="Z48" i="107"/>
  <c r="Y48" i="107"/>
  <c r="X48" i="107"/>
  <c r="W48" i="107"/>
  <c r="V48" i="107"/>
  <c r="U48" i="107"/>
  <c r="P48" i="107"/>
  <c r="O48" i="107"/>
  <c r="N48" i="107"/>
  <c r="M48" i="107"/>
  <c r="K48" i="107"/>
  <c r="J48" i="107"/>
  <c r="G48" i="107"/>
  <c r="F48" i="107"/>
  <c r="E48" i="107"/>
  <c r="D48" i="107"/>
  <c r="AJ47" i="107"/>
  <c r="AH47" i="107"/>
  <c r="AG47" i="107"/>
  <c r="AF47" i="107"/>
  <c r="AE47" i="107"/>
  <c r="AD47" i="107"/>
  <c r="AC47" i="107"/>
  <c r="AB47" i="107"/>
  <c r="Z47" i="107"/>
  <c r="Y47" i="107"/>
  <c r="X47" i="107"/>
  <c r="W47" i="107"/>
  <c r="V47" i="107"/>
  <c r="U47" i="107"/>
  <c r="R47" i="107"/>
  <c r="O47" i="107"/>
  <c r="N47" i="107"/>
  <c r="L47" i="107"/>
  <c r="K47" i="107"/>
  <c r="J47" i="107"/>
  <c r="H47" i="107"/>
  <c r="F47" i="107"/>
  <c r="E47" i="107"/>
  <c r="C47" i="107"/>
  <c r="AJ46" i="107"/>
  <c r="AH46" i="107"/>
  <c r="AG46" i="107"/>
  <c r="AF46" i="107"/>
  <c r="AE46" i="107"/>
  <c r="AD46" i="107"/>
  <c r="AC46" i="107"/>
  <c r="AB46" i="107"/>
  <c r="Z46" i="107"/>
  <c r="Y46" i="107"/>
  <c r="X46" i="107"/>
  <c r="W46" i="107"/>
  <c r="V46" i="107"/>
  <c r="U46" i="107"/>
  <c r="P46" i="107"/>
  <c r="O46" i="107"/>
  <c r="N46" i="107"/>
  <c r="M46" i="107"/>
  <c r="K46" i="107"/>
  <c r="J46" i="107"/>
  <c r="G46" i="107"/>
  <c r="F46" i="107"/>
  <c r="E46" i="107"/>
  <c r="D46" i="107"/>
  <c r="AJ45" i="107"/>
  <c r="AH45" i="107"/>
  <c r="AG45" i="107"/>
  <c r="AF45" i="107"/>
  <c r="AE45" i="107"/>
  <c r="AD45" i="107"/>
  <c r="AC45" i="107"/>
  <c r="AB45" i="107"/>
  <c r="Z45" i="107"/>
  <c r="Y45" i="107"/>
  <c r="X45" i="107"/>
  <c r="W45" i="107"/>
  <c r="V45" i="107"/>
  <c r="U45" i="107"/>
  <c r="R45" i="107"/>
  <c r="O45" i="107"/>
  <c r="N45" i="107"/>
  <c r="L45" i="107"/>
  <c r="K45" i="107"/>
  <c r="J45" i="107"/>
  <c r="H45" i="107"/>
  <c r="F45" i="107"/>
  <c r="E45" i="107"/>
  <c r="C45" i="107"/>
  <c r="AH43" i="107"/>
  <c r="T43" i="107"/>
  <c r="AI48" i="107" s="1"/>
  <c r="P43" i="107"/>
  <c r="B43" i="107"/>
  <c r="R41" i="107"/>
  <c r="P41" i="107"/>
  <c r="O41" i="107"/>
  <c r="J41" i="107"/>
  <c r="I41" i="107"/>
  <c r="F41" i="107"/>
  <c r="C41" i="107"/>
  <c r="Q40" i="107"/>
  <c r="P40" i="107"/>
  <c r="N40" i="107"/>
  <c r="K40" i="107"/>
  <c r="J40" i="107"/>
  <c r="F40" i="107"/>
  <c r="D40" i="107"/>
  <c r="R39" i="107"/>
  <c r="L39" i="107"/>
  <c r="K39" i="107"/>
  <c r="I39" i="107"/>
  <c r="G39" i="107"/>
  <c r="F39" i="107"/>
  <c r="AD38" i="107"/>
  <c r="P38" i="107"/>
  <c r="O38" i="107"/>
  <c r="N38" i="107"/>
  <c r="H38" i="107"/>
  <c r="G38" i="107"/>
  <c r="D38" i="107"/>
  <c r="T36" i="107"/>
  <c r="AA41" i="107" s="1"/>
  <c r="B36" i="107"/>
  <c r="K41" i="107" s="1"/>
  <c r="AJ34" i="107"/>
  <c r="AH34" i="107"/>
  <c r="AG34" i="107"/>
  <c r="AF34" i="107"/>
  <c r="AE34" i="107"/>
  <c r="AD34" i="107"/>
  <c r="AC34" i="107"/>
  <c r="AB34" i="107"/>
  <c r="Z34" i="107"/>
  <c r="Y34" i="107"/>
  <c r="X34" i="107"/>
  <c r="W34" i="107"/>
  <c r="V34" i="107"/>
  <c r="U34" i="107"/>
  <c r="P34" i="107"/>
  <c r="O34" i="107"/>
  <c r="N34" i="107"/>
  <c r="M34" i="107"/>
  <c r="K34" i="107"/>
  <c r="J34" i="107"/>
  <c r="G34" i="107"/>
  <c r="F34" i="107"/>
  <c r="E34" i="107"/>
  <c r="D34" i="107"/>
  <c r="AJ33" i="107"/>
  <c r="AH33" i="107"/>
  <c r="AG33" i="107"/>
  <c r="AF33" i="107"/>
  <c r="AE33" i="107"/>
  <c r="AD33" i="107"/>
  <c r="AC33" i="107"/>
  <c r="AB33" i="107"/>
  <c r="Z33" i="107"/>
  <c r="Y33" i="107"/>
  <c r="X33" i="107"/>
  <c r="W33" i="107"/>
  <c r="V33" i="107"/>
  <c r="U33" i="107"/>
  <c r="R33" i="107"/>
  <c r="O33" i="107"/>
  <c r="N33" i="107"/>
  <c r="L33" i="107"/>
  <c r="K33" i="107"/>
  <c r="J33" i="107"/>
  <c r="H33" i="107"/>
  <c r="F33" i="107"/>
  <c r="E33" i="107"/>
  <c r="C33" i="107"/>
  <c r="AJ32" i="107"/>
  <c r="AH32" i="107"/>
  <c r="AG32" i="107"/>
  <c r="AF32" i="107"/>
  <c r="AE32" i="107"/>
  <c r="AD32" i="107"/>
  <c r="AC32" i="107"/>
  <c r="AB32" i="107"/>
  <c r="Z32" i="107"/>
  <c r="Y32" i="107"/>
  <c r="X32" i="107"/>
  <c r="W32" i="107"/>
  <c r="V32" i="107"/>
  <c r="U32" i="107"/>
  <c r="P32" i="107"/>
  <c r="O32" i="107"/>
  <c r="N32" i="107"/>
  <c r="M32" i="107"/>
  <c r="K32" i="107"/>
  <c r="J32" i="107"/>
  <c r="G32" i="107"/>
  <c r="F32" i="107"/>
  <c r="E32" i="107"/>
  <c r="D32" i="107"/>
  <c r="AJ31" i="107"/>
  <c r="AH31" i="107"/>
  <c r="AG31" i="107"/>
  <c r="AF31" i="107"/>
  <c r="AE31" i="107"/>
  <c r="AD31" i="107"/>
  <c r="AC31" i="107"/>
  <c r="AB31" i="107"/>
  <c r="Z31" i="107"/>
  <c r="Y31" i="107"/>
  <c r="X31" i="107"/>
  <c r="W31" i="107"/>
  <c r="V31" i="107"/>
  <c r="U31" i="107"/>
  <c r="R31" i="107"/>
  <c r="O31" i="107"/>
  <c r="N31" i="107"/>
  <c r="L31" i="107"/>
  <c r="K31" i="107"/>
  <c r="J31" i="107"/>
  <c r="H31" i="107"/>
  <c r="F31" i="107"/>
  <c r="E31" i="107"/>
  <c r="C31" i="107"/>
  <c r="AH29" i="107"/>
  <c r="T29" i="107"/>
  <c r="AI34" i="107" s="1"/>
  <c r="P29" i="107"/>
  <c r="B29" i="107"/>
  <c r="AJ27" i="107"/>
  <c r="X27" i="107"/>
  <c r="O27" i="107"/>
  <c r="J27" i="107"/>
  <c r="I27" i="107"/>
  <c r="G27" i="107"/>
  <c r="AF26" i="107"/>
  <c r="Q26" i="107"/>
  <c r="P26" i="107"/>
  <c r="O26" i="107"/>
  <c r="J26" i="107"/>
  <c r="F26" i="107"/>
  <c r="D26" i="107"/>
  <c r="AA25" i="107"/>
  <c r="R25" i="107"/>
  <c r="L25" i="107"/>
  <c r="K25" i="107"/>
  <c r="J25" i="107"/>
  <c r="F25" i="107"/>
  <c r="AI24" i="107"/>
  <c r="V24" i="107"/>
  <c r="Q24" i="107"/>
  <c r="N24" i="107"/>
  <c r="H24" i="107"/>
  <c r="G24" i="107"/>
  <c r="F24" i="107"/>
  <c r="T22" i="107"/>
  <c r="B22" i="107"/>
  <c r="K27" i="107" s="1"/>
  <c r="AJ20" i="107"/>
  <c r="AH20" i="107"/>
  <c r="AG20" i="107"/>
  <c r="AF20" i="107"/>
  <c r="AE20" i="107"/>
  <c r="AD20" i="107"/>
  <c r="AC20" i="107"/>
  <c r="AB20" i="107"/>
  <c r="Z20" i="107"/>
  <c r="Y20" i="107"/>
  <c r="X20" i="107"/>
  <c r="W20" i="107"/>
  <c r="V20" i="107"/>
  <c r="U20" i="107"/>
  <c r="P20" i="107"/>
  <c r="O20" i="107"/>
  <c r="N20" i="107"/>
  <c r="M20" i="107"/>
  <c r="K20" i="107"/>
  <c r="J20" i="107"/>
  <c r="G20" i="107"/>
  <c r="F20" i="107"/>
  <c r="E20" i="107"/>
  <c r="D20" i="107"/>
  <c r="AJ19" i="107"/>
  <c r="AH19" i="107"/>
  <c r="AG19" i="107"/>
  <c r="AF19" i="107"/>
  <c r="AE19" i="107"/>
  <c r="AD19" i="107"/>
  <c r="AC19" i="107"/>
  <c r="AB19" i="107"/>
  <c r="Z19" i="107"/>
  <c r="Y19" i="107"/>
  <c r="X19" i="107"/>
  <c r="W19" i="107"/>
  <c r="V19" i="107"/>
  <c r="U19" i="107"/>
  <c r="R19" i="107"/>
  <c r="O19" i="107"/>
  <c r="N19" i="107"/>
  <c r="L19" i="107"/>
  <c r="K19" i="107"/>
  <c r="J19" i="107"/>
  <c r="H19" i="107"/>
  <c r="F19" i="107"/>
  <c r="E19" i="107"/>
  <c r="C19" i="107"/>
  <c r="AJ18" i="107"/>
  <c r="AH18" i="107"/>
  <c r="AG18" i="107"/>
  <c r="AF18" i="107"/>
  <c r="AE18" i="107"/>
  <c r="AD18" i="107"/>
  <c r="AC18" i="107"/>
  <c r="AB18" i="107"/>
  <c r="Z18" i="107"/>
  <c r="Y18" i="107"/>
  <c r="X18" i="107"/>
  <c r="W18" i="107"/>
  <c r="V18" i="107"/>
  <c r="U18" i="107"/>
  <c r="P18" i="107"/>
  <c r="O18" i="107"/>
  <c r="N18" i="107"/>
  <c r="M18" i="107"/>
  <c r="K18" i="107"/>
  <c r="J18" i="107"/>
  <c r="G18" i="107"/>
  <c r="F18" i="107"/>
  <c r="E18" i="107"/>
  <c r="D18" i="107"/>
  <c r="AJ17" i="107"/>
  <c r="AH17" i="107"/>
  <c r="AG17" i="107"/>
  <c r="AF17" i="107"/>
  <c r="AE17" i="107"/>
  <c r="AD17" i="107"/>
  <c r="AC17" i="107"/>
  <c r="AB17" i="107"/>
  <c r="Z17" i="107"/>
  <c r="Y17" i="107"/>
  <c r="X17" i="107"/>
  <c r="W17" i="107"/>
  <c r="V17" i="107"/>
  <c r="U17" i="107"/>
  <c r="R17" i="107"/>
  <c r="O17" i="107"/>
  <c r="N17" i="107"/>
  <c r="L17" i="107"/>
  <c r="K17" i="107"/>
  <c r="J17" i="107"/>
  <c r="H17" i="107"/>
  <c r="F17" i="107"/>
  <c r="E17" i="107"/>
  <c r="C17" i="107"/>
  <c r="AH15" i="107"/>
  <c r="T15" i="107"/>
  <c r="AI20" i="107" s="1"/>
  <c r="P15" i="107"/>
  <c r="B15" i="107"/>
  <c r="AC13" i="107"/>
  <c r="R13" i="107"/>
  <c r="O13" i="107"/>
  <c r="L13" i="107"/>
  <c r="K13" i="107"/>
  <c r="G13" i="107"/>
  <c r="F13" i="107"/>
  <c r="AJ12" i="107"/>
  <c r="Z12" i="107"/>
  <c r="Q12" i="107"/>
  <c r="P12" i="107"/>
  <c r="N12" i="107"/>
  <c r="L12" i="107"/>
  <c r="K12" i="107"/>
  <c r="G12" i="107"/>
  <c r="F12" i="107"/>
  <c r="C12" i="107"/>
  <c r="AE11" i="107"/>
  <c r="AB11" i="107"/>
  <c r="V11" i="107"/>
  <c r="Q11" i="107"/>
  <c r="O11" i="107"/>
  <c r="N11" i="107"/>
  <c r="K11" i="107"/>
  <c r="J11" i="107"/>
  <c r="G11" i="107"/>
  <c r="F11" i="107"/>
  <c r="E11" i="107"/>
  <c r="AJ10" i="107"/>
  <c r="AF10" i="107"/>
  <c r="AA10" i="107"/>
  <c r="W10" i="107"/>
  <c r="O10" i="107"/>
  <c r="N10" i="107"/>
  <c r="L10" i="107"/>
  <c r="K10" i="107"/>
  <c r="J10" i="107"/>
  <c r="F10" i="107"/>
  <c r="E10" i="107"/>
  <c r="C10" i="107"/>
  <c r="T8" i="107"/>
  <c r="AJ13" i="107" s="1"/>
  <c r="B8" i="107"/>
  <c r="I13" i="107" s="1"/>
  <c r="E124" i="81"/>
  <c r="B124" i="81"/>
  <c r="C124" i="81" s="1"/>
  <c r="G123" i="81"/>
  <c r="D123" i="81"/>
  <c r="B123" i="81"/>
  <c r="C123" i="81" s="1"/>
  <c r="B122" i="81"/>
  <c r="C122" i="81" s="1"/>
  <c r="G121" i="81"/>
  <c r="E121" i="81"/>
  <c r="D121" i="81"/>
  <c r="B121" i="81"/>
  <c r="C121" i="81" s="1"/>
  <c r="G120" i="81"/>
  <c r="D120" i="81"/>
  <c r="B120" i="81"/>
  <c r="C120" i="81" s="1"/>
  <c r="G119" i="81"/>
  <c r="B119" i="81"/>
  <c r="C119" i="81" s="1"/>
  <c r="G118" i="81"/>
  <c r="E118" i="81"/>
  <c r="H118" i="81" s="1"/>
  <c r="D118" i="81"/>
  <c r="B118" i="81"/>
  <c r="C118" i="81" s="1"/>
  <c r="G117" i="81"/>
  <c r="E117" i="81"/>
  <c r="H117" i="81" s="1"/>
  <c r="D117" i="81"/>
  <c r="B117" i="81"/>
  <c r="C117" i="81" s="1"/>
  <c r="E116" i="81"/>
  <c r="B116" i="81"/>
  <c r="C116" i="81" s="1"/>
  <c r="G115" i="81"/>
  <c r="D115" i="81"/>
  <c r="B115" i="81"/>
  <c r="C115" i="81" s="1"/>
  <c r="B114" i="81"/>
  <c r="C114" i="81" s="1"/>
  <c r="G113" i="81"/>
  <c r="E113" i="81"/>
  <c r="D113" i="81"/>
  <c r="B113" i="81"/>
  <c r="C113" i="81" s="1"/>
  <c r="G112" i="81"/>
  <c r="D112" i="81"/>
  <c r="B112" i="81"/>
  <c r="C112" i="81" s="1"/>
  <c r="G111" i="81"/>
  <c r="B111" i="81"/>
  <c r="C111" i="81" s="1"/>
  <c r="G110" i="81"/>
  <c r="E110" i="81"/>
  <c r="D110" i="81"/>
  <c r="B110" i="81"/>
  <c r="C110" i="81" s="1"/>
  <c r="G109" i="81"/>
  <c r="E109" i="81"/>
  <c r="D109" i="81"/>
  <c r="B109" i="81"/>
  <c r="C109" i="81" s="1"/>
  <c r="F109" i="81" s="1"/>
  <c r="E108" i="81"/>
  <c r="B108" i="81"/>
  <c r="C108" i="81" s="1"/>
  <c r="G107" i="81"/>
  <c r="D107" i="81"/>
  <c r="B107" i="81"/>
  <c r="C107" i="81" s="1"/>
  <c r="B106" i="81"/>
  <c r="C106" i="81" s="1"/>
  <c r="G105" i="81"/>
  <c r="H105" i="81" s="1"/>
  <c r="I105" i="81" s="1"/>
  <c r="E105" i="81"/>
  <c r="D105" i="81"/>
  <c r="B105" i="81"/>
  <c r="C105" i="81" s="1"/>
  <c r="G104" i="81"/>
  <c r="D104" i="81"/>
  <c r="B104" i="81"/>
  <c r="C104" i="81" s="1"/>
  <c r="G103" i="81"/>
  <c r="B103" i="81"/>
  <c r="C103" i="81" s="1"/>
  <c r="G102" i="81"/>
  <c r="E102" i="81"/>
  <c r="H102" i="81" s="1"/>
  <c r="D102" i="81"/>
  <c r="B102" i="81"/>
  <c r="C102" i="81" s="1"/>
  <c r="E101" i="81"/>
  <c r="D101" i="81"/>
  <c r="B101" i="81"/>
  <c r="C101" i="81" s="1"/>
  <c r="E100" i="81"/>
  <c r="B100" i="81"/>
  <c r="C100" i="81" s="1"/>
  <c r="D99" i="81"/>
  <c r="B99" i="81"/>
  <c r="C99" i="81" s="1"/>
  <c r="B98" i="81"/>
  <c r="C98" i="81" s="1"/>
  <c r="G97" i="81"/>
  <c r="E97" i="81"/>
  <c r="F97" i="81" s="1"/>
  <c r="D97" i="81"/>
  <c r="C97" i="81"/>
  <c r="B94" i="81"/>
  <c r="D94" i="81" s="1"/>
  <c r="J93" i="81"/>
  <c r="C93" i="81"/>
  <c r="B93" i="81"/>
  <c r="F93" i="81" s="1"/>
  <c r="D92" i="81"/>
  <c r="B92" i="81"/>
  <c r="F92" i="81" s="1"/>
  <c r="I91" i="81"/>
  <c r="G91" i="81"/>
  <c r="H91" i="81" s="1"/>
  <c r="F91" i="81"/>
  <c r="D91" i="81"/>
  <c r="C91" i="81"/>
  <c r="E91" i="81" s="1"/>
  <c r="B91" i="81"/>
  <c r="J91" i="81" s="1"/>
  <c r="K91" i="81" s="1"/>
  <c r="J90" i="81"/>
  <c r="I90" i="81"/>
  <c r="G90" i="81"/>
  <c r="F90" i="81"/>
  <c r="C90" i="81"/>
  <c r="B90" i="81"/>
  <c r="D90" i="81" s="1"/>
  <c r="E90" i="81" s="1"/>
  <c r="G89" i="81"/>
  <c r="H89" i="81" s="1"/>
  <c r="B89" i="81"/>
  <c r="F89" i="81" s="1"/>
  <c r="I88" i="81"/>
  <c r="G88" i="81"/>
  <c r="F88" i="81"/>
  <c r="C88" i="81"/>
  <c r="B88" i="81"/>
  <c r="J88" i="81" s="1"/>
  <c r="K88" i="81" s="1"/>
  <c r="I87" i="81"/>
  <c r="G87" i="81"/>
  <c r="F87" i="81"/>
  <c r="D87" i="81"/>
  <c r="C87" i="81"/>
  <c r="B87" i="81"/>
  <c r="J87" i="81" s="1"/>
  <c r="B86" i="81"/>
  <c r="C85" i="81"/>
  <c r="B85" i="81"/>
  <c r="F85" i="81" s="1"/>
  <c r="D84" i="81"/>
  <c r="C84" i="81"/>
  <c r="B84" i="81"/>
  <c r="F84" i="81" s="1"/>
  <c r="I83" i="81"/>
  <c r="G83" i="81"/>
  <c r="H83" i="81" s="1"/>
  <c r="F83" i="81"/>
  <c r="D83" i="81"/>
  <c r="C83" i="81"/>
  <c r="B83" i="81"/>
  <c r="J83" i="81" s="1"/>
  <c r="K83" i="81" s="1"/>
  <c r="J82" i="81"/>
  <c r="K82" i="81" s="1"/>
  <c r="I82" i="81"/>
  <c r="G82" i="81"/>
  <c r="F82" i="81"/>
  <c r="C82" i="81"/>
  <c r="B82" i="81"/>
  <c r="D82" i="81" s="1"/>
  <c r="E82" i="81" s="1"/>
  <c r="G81" i="81"/>
  <c r="B81" i="81"/>
  <c r="F81" i="81" s="1"/>
  <c r="I80" i="81"/>
  <c r="G80" i="81"/>
  <c r="F80" i="81"/>
  <c r="C80" i="81"/>
  <c r="B80" i="81"/>
  <c r="J80" i="81" s="1"/>
  <c r="I79" i="81"/>
  <c r="G79" i="81"/>
  <c r="H79" i="81" s="1"/>
  <c r="F79" i="81"/>
  <c r="D79" i="81"/>
  <c r="C79" i="81"/>
  <c r="B79" i="81"/>
  <c r="J79" i="81" s="1"/>
  <c r="J78" i="81"/>
  <c r="B78" i="81"/>
  <c r="B77" i="81"/>
  <c r="D76" i="81"/>
  <c r="C76" i="81"/>
  <c r="B76" i="81"/>
  <c r="F76" i="81" s="1"/>
  <c r="I75" i="81"/>
  <c r="G75" i="81"/>
  <c r="H75" i="81" s="1"/>
  <c r="F75" i="81"/>
  <c r="D75" i="81"/>
  <c r="E75" i="81" s="1"/>
  <c r="C75" i="81"/>
  <c r="B75" i="81"/>
  <c r="J75" i="81" s="1"/>
  <c r="J74" i="81"/>
  <c r="I74" i="81"/>
  <c r="G74" i="81"/>
  <c r="F74" i="81"/>
  <c r="C74" i="81"/>
  <c r="B74" i="81"/>
  <c r="D74" i="81" s="1"/>
  <c r="E74" i="81" s="1"/>
  <c r="G73" i="81"/>
  <c r="B73" i="81"/>
  <c r="F73" i="81" s="1"/>
  <c r="J72" i="81"/>
  <c r="I72" i="81"/>
  <c r="G72" i="81"/>
  <c r="F72" i="81"/>
  <c r="C72" i="81"/>
  <c r="B72" i="81"/>
  <c r="D72" i="81" s="1"/>
  <c r="I71" i="81"/>
  <c r="G71" i="81"/>
  <c r="F71" i="81"/>
  <c r="D71" i="81"/>
  <c r="C71" i="81"/>
  <c r="B71" i="81"/>
  <c r="J71" i="81" s="1"/>
  <c r="B70" i="81"/>
  <c r="C69" i="81"/>
  <c r="B69" i="81"/>
  <c r="B68" i="81"/>
  <c r="J67" i="81"/>
  <c r="I67" i="81"/>
  <c r="K67" i="81" s="1"/>
  <c r="G67" i="81"/>
  <c r="F67" i="81"/>
  <c r="D67" i="81"/>
  <c r="C67" i="81"/>
  <c r="E67" i="81" s="1"/>
  <c r="G64" i="81"/>
  <c r="H64" i="81" s="1"/>
  <c r="F64" i="81"/>
  <c r="B64" i="81"/>
  <c r="I64" i="81" s="1"/>
  <c r="J64" i="81" s="1"/>
  <c r="K63" i="81"/>
  <c r="B63" i="81"/>
  <c r="L62" i="81"/>
  <c r="K62" i="81"/>
  <c r="C62" i="81"/>
  <c r="B62" i="81"/>
  <c r="G61" i="81"/>
  <c r="F61" i="81"/>
  <c r="B61" i="81"/>
  <c r="I61" i="81" s="1"/>
  <c r="J61" i="81" s="1"/>
  <c r="I60" i="81"/>
  <c r="D60" i="81"/>
  <c r="B60" i="81"/>
  <c r="L60" i="81" s="1"/>
  <c r="K59" i="81"/>
  <c r="G59" i="81"/>
  <c r="D59" i="81"/>
  <c r="C59" i="81"/>
  <c r="B59" i="81"/>
  <c r="L58" i="81"/>
  <c r="I58" i="81"/>
  <c r="G58" i="81"/>
  <c r="F58" i="81"/>
  <c r="J58" i="81" s="1"/>
  <c r="D58" i="81"/>
  <c r="E58" i="81" s="1"/>
  <c r="C58" i="81"/>
  <c r="B58" i="81"/>
  <c r="K58" i="81" s="1"/>
  <c r="G57" i="81"/>
  <c r="D57" i="81"/>
  <c r="B57" i="81"/>
  <c r="I57" i="81" s="1"/>
  <c r="L56" i="81"/>
  <c r="B56" i="81"/>
  <c r="K56" i="81" s="1"/>
  <c r="L55" i="81"/>
  <c r="G55" i="81"/>
  <c r="F55" i="81"/>
  <c r="E55" i="81"/>
  <c r="D55" i="81"/>
  <c r="C55" i="81"/>
  <c r="B55" i="81"/>
  <c r="I55" i="81" s="1"/>
  <c r="J55" i="81" s="1"/>
  <c r="L54" i="81"/>
  <c r="I54" i="81"/>
  <c r="G54" i="81"/>
  <c r="F54" i="81"/>
  <c r="C54" i="81"/>
  <c r="B54" i="81"/>
  <c r="K54" i="81" s="1"/>
  <c r="L53" i="81"/>
  <c r="K53" i="81"/>
  <c r="F53" i="81"/>
  <c r="C53" i="81"/>
  <c r="B53" i="81"/>
  <c r="L52" i="81"/>
  <c r="I52" i="81"/>
  <c r="F52" i="81"/>
  <c r="D52" i="81"/>
  <c r="C52" i="81"/>
  <c r="B52" i="81"/>
  <c r="G52" i="81" s="1"/>
  <c r="L51" i="81"/>
  <c r="G51" i="81"/>
  <c r="F51" i="81"/>
  <c r="C51" i="81"/>
  <c r="B51" i="81"/>
  <c r="I51" i="81" s="1"/>
  <c r="K50" i="81"/>
  <c r="I50" i="81"/>
  <c r="B50" i="81"/>
  <c r="L49" i="81"/>
  <c r="D49" i="81"/>
  <c r="C49" i="81"/>
  <c r="B49" i="81"/>
  <c r="I49" i="81" s="1"/>
  <c r="G48" i="81"/>
  <c r="B48" i="81"/>
  <c r="B47" i="81"/>
  <c r="K47" i="81" s="1"/>
  <c r="L46" i="81"/>
  <c r="K46" i="81"/>
  <c r="D46" i="81"/>
  <c r="C46" i="81"/>
  <c r="B46" i="81"/>
  <c r="F45" i="81"/>
  <c r="B45" i="81"/>
  <c r="I44" i="81"/>
  <c r="G44" i="81"/>
  <c r="D44" i="81"/>
  <c r="B44" i="81"/>
  <c r="L44" i="81" s="1"/>
  <c r="L43" i="81"/>
  <c r="G43" i="81"/>
  <c r="B43" i="81"/>
  <c r="K43" i="81" s="1"/>
  <c r="L42" i="81"/>
  <c r="I42" i="81"/>
  <c r="G42" i="81"/>
  <c r="F42" i="81"/>
  <c r="D42" i="81"/>
  <c r="C42" i="81"/>
  <c r="B42" i="81"/>
  <c r="K42" i="81" s="1"/>
  <c r="G41" i="81"/>
  <c r="F41" i="81"/>
  <c r="D41" i="81"/>
  <c r="B41" i="81"/>
  <c r="I41" i="81" s="1"/>
  <c r="J41" i="81" s="1"/>
  <c r="K40" i="81"/>
  <c r="B40" i="81"/>
  <c r="L39" i="81"/>
  <c r="G39" i="81"/>
  <c r="F39" i="81"/>
  <c r="D39" i="81"/>
  <c r="C39" i="81"/>
  <c r="E39" i="81" s="1"/>
  <c r="B39" i="81"/>
  <c r="I39" i="81" s="1"/>
  <c r="L38" i="81"/>
  <c r="I38" i="81"/>
  <c r="G38" i="81"/>
  <c r="F38" i="81"/>
  <c r="C38" i="81"/>
  <c r="B38" i="81"/>
  <c r="K38" i="81" s="1"/>
  <c r="L37" i="81"/>
  <c r="K37" i="81"/>
  <c r="I37" i="81"/>
  <c r="G37" i="81"/>
  <c r="F37" i="81"/>
  <c r="J37" i="81" s="1"/>
  <c r="D37" i="81"/>
  <c r="C37" i="81"/>
  <c r="B34" i="81"/>
  <c r="K33" i="81"/>
  <c r="H33" i="81"/>
  <c r="G33" i="81"/>
  <c r="D33" i="81"/>
  <c r="B33" i="81"/>
  <c r="J33" i="81" s="1"/>
  <c r="K32" i="81"/>
  <c r="H32" i="81"/>
  <c r="G32" i="81"/>
  <c r="E32" i="81"/>
  <c r="C32" i="81"/>
  <c r="B32" i="81"/>
  <c r="J32" i="81" s="1"/>
  <c r="K31" i="81"/>
  <c r="D31" i="81"/>
  <c r="B31" i="81"/>
  <c r="K30" i="81"/>
  <c r="H30" i="81"/>
  <c r="G30" i="81"/>
  <c r="E30" i="81"/>
  <c r="D30" i="81"/>
  <c r="C30" i="81"/>
  <c r="B30" i="81"/>
  <c r="J30" i="81" s="1"/>
  <c r="H29" i="81"/>
  <c r="E29" i="81"/>
  <c r="B29" i="81"/>
  <c r="J29" i="81" s="1"/>
  <c r="H28" i="81"/>
  <c r="G28" i="81"/>
  <c r="E28" i="81"/>
  <c r="D28" i="81"/>
  <c r="C28" i="81"/>
  <c r="B28" i="81"/>
  <c r="G27" i="81"/>
  <c r="E27" i="81"/>
  <c r="C27" i="81"/>
  <c r="B27" i="81"/>
  <c r="K26" i="81"/>
  <c r="D26" i="81"/>
  <c r="C26" i="81"/>
  <c r="B26" i="81"/>
  <c r="K25" i="81"/>
  <c r="G25" i="81"/>
  <c r="B25" i="81"/>
  <c r="H25" i="81" s="1"/>
  <c r="K24" i="81"/>
  <c r="H24" i="81"/>
  <c r="G24" i="81"/>
  <c r="E24" i="81"/>
  <c r="C24" i="81"/>
  <c r="B24" i="81"/>
  <c r="H23" i="81"/>
  <c r="G23" i="81"/>
  <c r="D23" i="81"/>
  <c r="B23" i="81"/>
  <c r="K22" i="81"/>
  <c r="H22" i="81"/>
  <c r="G22" i="81"/>
  <c r="E22" i="81"/>
  <c r="D22" i="81"/>
  <c r="C22" i="81"/>
  <c r="B22" i="81"/>
  <c r="J22" i="81" s="1"/>
  <c r="H21" i="81"/>
  <c r="D21" i="81"/>
  <c r="C21" i="81"/>
  <c r="B21" i="81"/>
  <c r="J21" i="81" s="1"/>
  <c r="H20" i="81"/>
  <c r="E20" i="81"/>
  <c r="B20" i="81"/>
  <c r="G20" i="81" s="1"/>
  <c r="K19" i="81"/>
  <c r="G19" i="81"/>
  <c r="E19" i="81"/>
  <c r="D19" i="81"/>
  <c r="C19" i="81"/>
  <c r="B19" i="81"/>
  <c r="H18" i="81"/>
  <c r="E18" i="81"/>
  <c r="D18" i="81"/>
  <c r="C18" i="81"/>
  <c r="B18" i="81"/>
  <c r="K17" i="81"/>
  <c r="D17" i="81"/>
  <c r="C17" i="81"/>
  <c r="B17" i="81"/>
  <c r="K16" i="81"/>
  <c r="B16" i="81"/>
  <c r="G16" i="81" s="1"/>
  <c r="K15" i="81"/>
  <c r="H15" i="81"/>
  <c r="G15" i="81"/>
  <c r="E15" i="81"/>
  <c r="D15" i="81"/>
  <c r="B15" i="81"/>
  <c r="K14" i="81"/>
  <c r="H14" i="81"/>
  <c r="G14" i="81"/>
  <c r="E14" i="81"/>
  <c r="D14" i="81"/>
  <c r="C14" i="81"/>
  <c r="B14" i="81"/>
  <c r="J14" i="81" s="1"/>
  <c r="G13" i="81"/>
  <c r="E13" i="81"/>
  <c r="D13" i="81"/>
  <c r="C13" i="81"/>
  <c r="B13" i="81"/>
  <c r="J13" i="81" s="1"/>
  <c r="H12" i="81"/>
  <c r="D12" i="81"/>
  <c r="C12" i="81"/>
  <c r="B12" i="81"/>
  <c r="E11" i="81"/>
  <c r="B11" i="81"/>
  <c r="K11" i="81" s="1"/>
  <c r="K10" i="81"/>
  <c r="H10" i="81"/>
  <c r="E10" i="81"/>
  <c r="D10" i="81"/>
  <c r="C10" i="81"/>
  <c r="B10" i="81"/>
  <c r="H9" i="81"/>
  <c r="G9" i="81"/>
  <c r="D9" i="81"/>
  <c r="C9" i="81"/>
  <c r="B9" i="81"/>
  <c r="K8" i="81"/>
  <c r="E8" i="81"/>
  <c r="C8" i="81"/>
  <c r="B8" i="81"/>
  <c r="K7" i="81"/>
  <c r="J7" i="81"/>
  <c r="H7" i="81"/>
  <c r="G7" i="81"/>
  <c r="E7" i="81"/>
  <c r="D7" i="81"/>
  <c r="C7" i="81"/>
  <c r="Q104" i="105"/>
  <c r="O104" i="105"/>
  <c r="N104" i="105"/>
  <c r="M104" i="105"/>
  <c r="L104" i="105"/>
  <c r="K104" i="105"/>
  <c r="J104" i="105"/>
  <c r="F104" i="105"/>
  <c r="E104" i="105"/>
  <c r="D104" i="105"/>
  <c r="C104" i="105"/>
  <c r="R103" i="105"/>
  <c r="Q103" i="105"/>
  <c r="O103" i="105"/>
  <c r="N103" i="105"/>
  <c r="L103" i="105"/>
  <c r="K103" i="105"/>
  <c r="J103" i="105"/>
  <c r="G103" i="105"/>
  <c r="F103" i="105"/>
  <c r="E103" i="105"/>
  <c r="C103" i="105"/>
  <c r="Q102" i="105"/>
  <c r="O102" i="105"/>
  <c r="N102" i="105"/>
  <c r="M102" i="105"/>
  <c r="L102" i="105"/>
  <c r="K102" i="105"/>
  <c r="G102" i="105"/>
  <c r="F102" i="105"/>
  <c r="E102" i="105"/>
  <c r="D102" i="105"/>
  <c r="C102" i="105"/>
  <c r="R101" i="105"/>
  <c r="Q101" i="105"/>
  <c r="O101" i="105"/>
  <c r="N101" i="105"/>
  <c r="L101" i="105"/>
  <c r="K101" i="105"/>
  <c r="I101" i="105"/>
  <c r="G101" i="105"/>
  <c r="F101" i="105"/>
  <c r="E101" i="105"/>
  <c r="C101" i="105"/>
  <c r="T99" i="105"/>
  <c r="V103" i="105" s="1"/>
  <c r="B99" i="105"/>
  <c r="R97" i="105"/>
  <c r="Q97" i="105"/>
  <c r="P97" i="105"/>
  <c r="O97" i="105"/>
  <c r="N97" i="105"/>
  <c r="K97" i="105"/>
  <c r="J97" i="105"/>
  <c r="I97" i="105"/>
  <c r="H97" i="105"/>
  <c r="G97" i="105"/>
  <c r="F97" i="105"/>
  <c r="E97" i="105"/>
  <c r="R96" i="105"/>
  <c r="P96" i="105"/>
  <c r="O96" i="105"/>
  <c r="N96" i="105"/>
  <c r="M96" i="105"/>
  <c r="K96" i="105"/>
  <c r="J96" i="105"/>
  <c r="I96" i="105"/>
  <c r="G96" i="105"/>
  <c r="F96" i="105"/>
  <c r="E96" i="105"/>
  <c r="C96" i="105"/>
  <c r="AI95" i="105"/>
  <c r="Z95" i="105"/>
  <c r="R95" i="105"/>
  <c r="Q95" i="105"/>
  <c r="P95" i="105"/>
  <c r="O95" i="105"/>
  <c r="N95" i="105"/>
  <c r="K95" i="105"/>
  <c r="J95" i="105"/>
  <c r="I95" i="105"/>
  <c r="H95" i="105"/>
  <c r="G95" i="105"/>
  <c r="F95" i="105"/>
  <c r="E95" i="105"/>
  <c r="AJ94" i="105"/>
  <c r="AE94" i="105"/>
  <c r="Z94" i="105"/>
  <c r="W94" i="105"/>
  <c r="R94" i="105"/>
  <c r="P94" i="105"/>
  <c r="O94" i="105"/>
  <c r="N94" i="105"/>
  <c r="M94" i="105"/>
  <c r="K94" i="105"/>
  <c r="J94" i="105"/>
  <c r="I94" i="105"/>
  <c r="G94" i="105"/>
  <c r="F94" i="105"/>
  <c r="E94" i="105"/>
  <c r="C94" i="105"/>
  <c r="AH92" i="105"/>
  <c r="T92" i="105"/>
  <c r="Y97" i="105" s="1"/>
  <c r="P92" i="105"/>
  <c r="B92" i="105"/>
  <c r="AD90" i="105"/>
  <c r="AC90" i="105"/>
  <c r="V90" i="105"/>
  <c r="R90" i="105"/>
  <c r="N90" i="105"/>
  <c r="M90" i="105"/>
  <c r="J90" i="105"/>
  <c r="F90" i="105"/>
  <c r="D90" i="105"/>
  <c r="AG89" i="105"/>
  <c r="AE89" i="105"/>
  <c r="AB89" i="105"/>
  <c r="R89" i="105"/>
  <c r="Q89" i="105"/>
  <c r="O89" i="105"/>
  <c r="J89" i="105"/>
  <c r="G89" i="105"/>
  <c r="E89" i="105"/>
  <c r="D89" i="105"/>
  <c r="AE88" i="105"/>
  <c r="W88" i="105"/>
  <c r="V88" i="105"/>
  <c r="O88" i="105"/>
  <c r="K88" i="105"/>
  <c r="I88" i="105"/>
  <c r="F88" i="105"/>
  <c r="E88" i="105"/>
  <c r="AI87" i="105"/>
  <c r="AC87" i="105"/>
  <c r="AB87" i="105"/>
  <c r="U87" i="105"/>
  <c r="Q87" i="105"/>
  <c r="K87" i="105"/>
  <c r="J87" i="105"/>
  <c r="I87" i="105"/>
  <c r="F87" i="105"/>
  <c r="T85" i="105"/>
  <c r="AE90" i="105" s="1"/>
  <c r="B85" i="105"/>
  <c r="I90" i="105" s="1"/>
  <c r="AJ83" i="105"/>
  <c r="AI83" i="105"/>
  <c r="AH83" i="105"/>
  <c r="AB83" i="105"/>
  <c r="Z83" i="105"/>
  <c r="X83" i="105"/>
  <c r="U83" i="105"/>
  <c r="P83" i="105"/>
  <c r="O83" i="105"/>
  <c r="N83" i="105"/>
  <c r="M83" i="105"/>
  <c r="J83" i="105"/>
  <c r="I83" i="105"/>
  <c r="F83" i="105"/>
  <c r="E83" i="105"/>
  <c r="C83" i="105"/>
  <c r="AH82" i="105"/>
  <c r="AC82" i="105"/>
  <c r="Z82" i="105"/>
  <c r="Y82" i="105"/>
  <c r="X82" i="105"/>
  <c r="Q82" i="105"/>
  <c r="O82" i="105"/>
  <c r="N82" i="105"/>
  <c r="M82" i="105"/>
  <c r="K82" i="105"/>
  <c r="J82" i="105"/>
  <c r="F82" i="105"/>
  <c r="E82" i="105"/>
  <c r="C82" i="105"/>
  <c r="AI81" i="105"/>
  <c r="AH81" i="105"/>
  <c r="AC81" i="105"/>
  <c r="AB81" i="105"/>
  <c r="AA81" i="105"/>
  <c r="Y81" i="105"/>
  <c r="Q81" i="105"/>
  <c r="P81" i="105"/>
  <c r="O81" i="105"/>
  <c r="N81" i="105"/>
  <c r="M81" i="105"/>
  <c r="J81" i="105"/>
  <c r="G81" i="105"/>
  <c r="F81" i="105"/>
  <c r="E81" i="105"/>
  <c r="C81" i="105"/>
  <c r="AI80" i="105"/>
  <c r="AH80" i="105"/>
  <c r="AE80" i="105"/>
  <c r="AB80" i="105"/>
  <c r="Y80" i="105"/>
  <c r="X80" i="105"/>
  <c r="R80" i="105"/>
  <c r="Q80" i="105"/>
  <c r="O80" i="105"/>
  <c r="N80" i="105"/>
  <c r="M80" i="105"/>
  <c r="K80" i="105"/>
  <c r="H80" i="105"/>
  <c r="F80" i="105"/>
  <c r="E80" i="105"/>
  <c r="C80" i="105"/>
  <c r="AH78" i="105"/>
  <c r="T78" i="105"/>
  <c r="AA83" i="105" s="1"/>
  <c r="B78" i="105"/>
  <c r="AG76" i="105"/>
  <c r="AE76" i="105"/>
  <c r="AD76" i="105"/>
  <c r="AC76" i="105"/>
  <c r="W76" i="105"/>
  <c r="U76" i="105"/>
  <c r="AI75" i="105"/>
  <c r="AG75" i="105"/>
  <c r="AF75" i="105"/>
  <c r="AC75" i="105"/>
  <c r="X75" i="105"/>
  <c r="U75" i="105"/>
  <c r="AI74" i="105"/>
  <c r="AF74" i="105"/>
  <c r="AD74" i="105"/>
  <c r="X74" i="105"/>
  <c r="W74" i="105"/>
  <c r="V74" i="105"/>
  <c r="AJ73" i="105"/>
  <c r="AG73" i="105"/>
  <c r="AD73" i="105"/>
  <c r="AA73" i="105"/>
  <c r="Y73" i="105"/>
  <c r="W73" i="105"/>
  <c r="G73" i="105"/>
  <c r="T71" i="105"/>
  <c r="X76" i="105" s="1"/>
  <c r="B71" i="105"/>
  <c r="L76" i="105" s="1"/>
  <c r="AJ69" i="105"/>
  <c r="AI69" i="105"/>
  <c r="AF69" i="105"/>
  <c r="AC69" i="105"/>
  <c r="AB69" i="105"/>
  <c r="AA69" i="105"/>
  <c r="Z69" i="105"/>
  <c r="Y69" i="105"/>
  <c r="R69" i="105"/>
  <c r="Q69" i="105"/>
  <c r="O69" i="105"/>
  <c r="M69" i="105"/>
  <c r="H69" i="105"/>
  <c r="G69" i="105"/>
  <c r="F69" i="105"/>
  <c r="E69" i="105"/>
  <c r="AJ68" i="105"/>
  <c r="AF68" i="105"/>
  <c r="AE68" i="105"/>
  <c r="AC68" i="105"/>
  <c r="AB68" i="105"/>
  <c r="AA68" i="105"/>
  <c r="Y68" i="105"/>
  <c r="U68" i="105"/>
  <c r="R68" i="105"/>
  <c r="P68" i="105"/>
  <c r="N68" i="105"/>
  <c r="M68" i="105"/>
  <c r="I68" i="105"/>
  <c r="H68" i="105"/>
  <c r="E68" i="105"/>
  <c r="AJ67" i="105"/>
  <c r="AG67" i="105"/>
  <c r="AF67" i="105"/>
  <c r="AC67" i="105"/>
  <c r="AB67" i="105"/>
  <c r="AA67" i="105"/>
  <c r="Z67" i="105"/>
  <c r="W67" i="105"/>
  <c r="R67" i="105"/>
  <c r="Q67" i="105"/>
  <c r="P67" i="105"/>
  <c r="O67" i="105"/>
  <c r="N67" i="105"/>
  <c r="H67" i="105"/>
  <c r="F67" i="105"/>
  <c r="E67" i="105"/>
  <c r="C67" i="105"/>
  <c r="AG66" i="105"/>
  <c r="AF66" i="105"/>
  <c r="AE66" i="105"/>
  <c r="AC66" i="105"/>
  <c r="AB66" i="105"/>
  <c r="AA66" i="105"/>
  <c r="W66" i="105"/>
  <c r="U66" i="105"/>
  <c r="R66" i="105"/>
  <c r="Q66" i="105"/>
  <c r="N66" i="105"/>
  <c r="I66" i="105"/>
  <c r="H66" i="105"/>
  <c r="G66" i="105"/>
  <c r="E66" i="105"/>
  <c r="C66" i="105"/>
  <c r="T64" i="105"/>
  <c r="P64" i="105"/>
  <c r="B64" i="105"/>
  <c r="AJ62" i="105"/>
  <c r="AG62" i="105"/>
  <c r="AF62" i="105"/>
  <c r="AE62" i="105"/>
  <c r="AD62" i="105"/>
  <c r="AC62" i="105"/>
  <c r="AB62" i="105"/>
  <c r="AA62" i="105"/>
  <c r="X62" i="105"/>
  <c r="W62" i="105"/>
  <c r="V62" i="105"/>
  <c r="U62" i="105"/>
  <c r="Q62" i="105"/>
  <c r="O62" i="105"/>
  <c r="M62" i="105"/>
  <c r="L62" i="105"/>
  <c r="K62" i="105"/>
  <c r="J62" i="105"/>
  <c r="I62" i="105"/>
  <c r="F62" i="105"/>
  <c r="D62" i="105"/>
  <c r="C62" i="105"/>
  <c r="AJ61" i="105"/>
  <c r="AI61" i="105"/>
  <c r="AG61" i="105"/>
  <c r="AF61" i="105"/>
  <c r="AE61" i="105"/>
  <c r="AC61" i="105"/>
  <c r="AB61" i="105"/>
  <c r="AA61" i="105"/>
  <c r="Y61" i="105"/>
  <c r="X61" i="105"/>
  <c r="W61" i="105"/>
  <c r="V61" i="105"/>
  <c r="Q61" i="105"/>
  <c r="O61" i="105"/>
  <c r="N61" i="105"/>
  <c r="M61" i="105"/>
  <c r="L61" i="105"/>
  <c r="K61" i="105"/>
  <c r="I61" i="105"/>
  <c r="F61" i="105"/>
  <c r="E61" i="105"/>
  <c r="D61" i="105"/>
  <c r="C61" i="105"/>
  <c r="AJ60" i="105"/>
  <c r="AG60" i="105"/>
  <c r="AF60" i="105"/>
  <c r="AE60" i="105"/>
  <c r="AD60" i="105"/>
  <c r="AC60" i="105"/>
  <c r="AB60" i="105"/>
  <c r="AA60" i="105"/>
  <c r="X60" i="105"/>
  <c r="W60" i="105"/>
  <c r="V60" i="105"/>
  <c r="U60" i="105"/>
  <c r="R60" i="105"/>
  <c r="Q60" i="105"/>
  <c r="O60" i="105"/>
  <c r="M60" i="105"/>
  <c r="L60" i="105"/>
  <c r="K60" i="105"/>
  <c r="J60" i="105"/>
  <c r="G60" i="105"/>
  <c r="F60" i="105"/>
  <c r="D60" i="105"/>
  <c r="C60" i="105"/>
  <c r="AJ59" i="105"/>
  <c r="AI59" i="105"/>
  <c r="AG59" i="105"/>
  <c r="AF59" i="105"/>
  <c r="AE59" i="105"/>
  <c r="AC59" i="105"/>
  <c r="AB59" i="105"/>
  <c r="AA59" i="105"/>
  <c r="Y59" i="105"/>
  <c r="X59" i="105"/>
  <c r="W59" i="105"/>
  <c r="V59" i="105"/>
  <c r="R59" i="105"/>
  <c r="Q59" i="105"/>
  <c r="O59" i="105"/>
  <c r="N59" i="105"/>
  <c r="M59" i="105"/>
  <c r="L59" i="105"/>
  <c r="K59" i="105"/>
  <c r="G59" i="105"/>
  <c r="F59" i="105"/>
  <c r="E59" i="105"/>
  <c r="D59" i="105"/>
  <c r="C59" i="105"/>
  <c r="AH57" i="105"/>
  <c r="T57" i="105"/>
  <c r="B57" i="105"/>
  <c r="AF55" i="105"/>
  <c r="Q55" i="105"/>
  <c r="M55" i="105"/>
  <c r="J55" i="105"/>
  <c r="H55" i="105"/>
  <c r="G55" i="105"/>
  <c r="F55" i="105"/>
  <c r="C55" i="105"/>
  <c r="AE54" i="105"/>
  <c r="R54" i="105"/>
  <c r="Q54" i="105"/>
  <c r="M54" i="105"/>
  <c r="K54" i="105"/>
  <c r="I54" i="105"/>
  <c r="G54" i="105"/>
  <c r="C54" i="105"/>
  <c r="AF53" i="105"/>
  <c r="Z53" i="105"/>
  <c r="Q53" i="105"/>
  <c r="M53" i="105"/>
  <c r="K53" i="105"/>
  <c r="J53" i="105"/>
  <c r="H53" i="105"/>
  <c r="E53" i="105"/>
  <c r="AF52" i="105"/>
  <c r="AA52" i="105"/>
  <c r="R52" i="105"/>
  <c r="M52" i="105"/>
  <c r="J52" i="105"/>
  <c r="I52" i="105"/>
  <c r="H52" i="105"/>
  <c r="F52" i="105"/>
  <c r="C52" i="105"/>
  <c r="T50" i="105"/>
  <c r="B50" i="105"/>
  <c r="AJ48" i="105"/>
  <c r="R48" i="105"/>
  <c r="Q48" i="105"/>
  <c r="O48" i="105"/>
  <c r="N48" i="105"/>
  <c r="L48" i="105"/>
  <c r="K48" i="105"/>
  <c r="J48" i="105"/>
  <c r="I48" i="105"/>
  <c r="G48" i="105"/>
  <c r="F48" i="105"/>
  <c r="E48" i="105"/>
  <c r="C48" i="105"/>
  <c r="Q47" i="105"/>
  <c r="O47" i="105"/>
  <c r="N47" i="105"/>
  <c r="M47" i="105"/>
  <c r="L47" i="105"/>
  <c r="K47" i="105"/>
  <c r="J47" i="105"/>
  <c r="G47" i="105"/>
  <c r="F47" i="105"/>
  <c r="E47" i="105"/>
  <c r="D47" i="105"/>
  <c r="C47" i="105"/>
  <c r="AI46" i="105"/>
  <c r="R46" i="105"/>
  <c r="Q46" i="105"/>
  <c r="O46" i="105"/>
  <c r="N46" i="105"/>
  <c r="L46" i="105"/>
  <c r="K46" i="105"/>
  <c r="J46" i="105"/>
  <c r="I46" i="105"/>
  <c r="G46" i="105"/>
  <c r="F46" i="105"/>
  <c r="E46" i="105"/>
  <c r="C46" i="105"/>
  <c r="U45" i="105"/>
  <c r="Q45" i="105"/>
  <c r="O45" i="105"/>
  <c r="N45" i="105"/>
  <c r="M45" i="105"/>
  <c r="L45" i="105"/>
  <c r="K45" i="105"/>
  <c r="J45" i="105"/>
  <c r="G45" i="105"/>
  <c r="F45" i="105"/>
  <c r="E45" i="105"/>
  <c r="D45" i="105"/>
  <c r="C45" i="105"/>
  <c r="T43" i="105"/>
  <c r="X45" i="105" s="1"/>
  <c r="B43" i="105"/>
  <c r="AJ41" i="105"/>
  <c r="AH41" i="105"/>
  <c r="AG41" i="105"/>
  <c r="AE41" i="105"/>
  <c r="AC41" i="105"/>
  <c r="AA41" i="105"/>
  <c r="Y41" i="105"/>
  <c r="W41" i="105"/>
  <c r="R41" i="105"/>
  <c r="O41" i="105"/>
  <c r="K41" i="105"/>
  <c r="F41" i="105"/>
  <c r="E41" i="105"/>
  <c r="C41" i="105"/>
  <c r="AJ40" i="105"/>
  <c r="AH40" i="105"/>
  <c r="AC40" i="105"/>
  <c r="AB40" i="105"/>
  <c r="AA40" i="105"/>
  <c r="Z40" i="105"/>
  <c r="Y40" i="105"/>
  <c r="R40" i="105"/>
  <c r="O40" i="105"/>
  <c r="K40" i="105"/>
  <c r="G40" i="105"/>
  <c r="E40" i="105"/>
  <c r="AJ39" i="105"/>
  <c r="AI39" i="105"/>
  <c r="AH39" i="105"/>
  <c r="AF39" i="105"/>
  <c r="AC39" i="105"/>
  <c r="Z39" i="105"/>
  <c r="Y39" i="105"/>
  <c r="X39" i="105"/>
  <c r="U39" i="105"/>
  <c r="R39" i="105"/>
  <c r="O39" i="105"/>
  <c r="K39" i="105"/>
  <c r="G39" i="105"/>
  <c r="F39" i="105"/>
  <c r="C39" i="105"/>
  <c r="AI38" i="105"/>
  <c r="AF38" i="105"/>
  <c r="AE38" i="105"/>
  <c r="AC38" i="105"/>
  <c r="AB38" i="105"/>
  <c r="Z38" i="105"/>
  <c r="U38" i="105"/>
  <c r="R38" i="105"/>
  <c r="Q38" i="105"/>
  <c r="P38" i="105"/>
  <c r="K38" i="105"/>
  <c r="G38" i="105"/>
  <c r="F38" i="105"/>
  <c r="E38" i="105"/>
  <c r="AH36" i="105"/>
  <c r="T36" i="105"/>
  <c r="AI41" i="105" s="1"/>
  <c r="B36" i="105"/>
  <c r="AI34" i="105"/>
  <c r="AE34" i="105"/>
  <c r="AC34" i="105"/>
  <c r="R34" i="105"/>
  <c r="Q34" i="105"/>
  <c r="N34" i="105"/>
  <c r="M34" i="105"/>
  <c r="K34" i="105"/>
  <c r="J34" i="105"/>
  <c r="I34" i="105"/>
  <c r="G34" i="105"/>
  <c r="F34" i="105"/>
  <c r="D34" i="105"/>
  <c r="AJ33" i="105"/>
  <c r="AG33" i="105"/>
  <c r="AE33" i="105"/>
  <c r="Y33" i="105"/>
  <c r="P33" i="105"/>
  <c r="O33" i="105"/>
  <c r="N33" i="105"/>
  <c r="M33" i="105"/>
  <c r="L33" i="105"/>
  <c r="K33" i="105"/>
  <c r="I33" i="105"/>
  <c r="G33" i="105"/>
  <c r="F33" i="105"/>
  <c r="E33" i="105"/>
  <c r="D33" i="105"/>
  <c r="C33" i="105"/>
  <c r="AE32" i="105"/>
  <c r="AA32" i="105"/>
  <c r="Q32" i="105"/>
  <c r="P32" i="105"/>
  <c r="O32" i="105"/>
  <c r="N32" i="105"/>
  <c r="L32" i="105"/>
  <c r="K32" i="105"/>
  <c r="I32" i="105"/>
  <c r="H32" i="105"/>
  <c r="G32" i="105"/>
  <c r="F32" i="105"/>
  <c r="E32" i="105"/>
  <c r="C32" i="105"/>
  <c r="AF31" i="105"/>
  <c r="V31" i="105"/>
  <c r="U31" i="105"/>
  <c r="P31" i="105"/>
  <c r="O31" i="105"/>
  <c r="N31" i="105"/>
  <c r="M31" i="105"/>
  <c r="L31" i="105"/>
  <c r="K31" i="105"/>
  <c r="I31" i="105"/>
  <c r="G31" i="105"/>
  <c r="F31" i="105"/>
  <c r="E31" i="105"/>
  <c r="D31" i="105"/>
  <c r="C31" i="105"/>
  <c r="T29" i="105"/>
  <c r="U32" i="105" s="1"/>
  <c r="P29" i="105"/>
  <c r="B29" i="105"/>
  <c r="AI27" i="105"/>
  <c r="R27" i="105"/>
  <c r="O27" i="105"/>
  <c r="L27" i="105"/>
  <c r="J27" i="105"/>
  <c r="G27" i="105"/>
  <c r="D27" i="105"/>
  <c r="C27" i="105"/>
  <c r="AH26" i="105"/>
  <c r="AA26" i="105"/>
  <c r="P26" i="105"/>
  <c r="M26" i="105"/>
  <c r="K26" i="105"/>
  <c r="J26" i="105"/>
  <c r="H26" i="105"/>
  <c r="E26" i="105"/>
  <c r="W25" i="105"/>
  <c r="P25" i="105"/>
  <c r="O25" i="105"/>
  <c r="M25" i="105"/>
  <c r="L25" i="105"/>
  <c r="K25" i="105"/>
  <c r="E25" i="105"/>
  <c r="C25" i="105"/>
  <c r="AJ24" i="105"/>
  <c r="AC24" i="105"/>
  <c r="Q24" i="105"/>
  <c r="P24" i="105"/>
  <c r="O24" i="105"/>
  <c r="K24" i="105"/>
  <c r="G24" i="105"/>
  <c r="E24" i="105"/>
  <c r="D24" i="105"/>
  <c r="T22" i="105"/>
  <c r="W27" i="105" s="1"/>
  <c r="B22" i="105"/>
  <c r="AH20" i="105"/>
  <c r="AE20" i="105"/>
  <c r="AD20" i="105"/>
  <c r="AC20" i="105"/>
  <c r="Z20" i="105"/>
  <c r="X20" i="105"/>
  <c r="V20" i="105"/>
  <c r="U20" i="105"/>
  <c r="N20" i="105"/>
  <c r="H20" i="105"/>
  <c r="F20" i="105"/>
  <c r="AH19" i="105"/>
  <c r="AG19" i="105"/>
  <c r="AF19" i="105"/>
  <c r="AE19" i="105"/>
  <c r="AD19" i="105"/>
  <c r="Z19" i="105"/>
  <c r="X19" i="105"/>
  <c r="V19" i="105"/>
  <c r="U19" i="105"/>
  <c r="Q19" i="105"/>
  <c r="F19" i="105"/>
  <c r="AI18" i="105"/>
  <c r="AH18" i="105"/>
  <c r="AG18" i="105"/>
  <c r="AE18" i="105"/>
  <c r="AD18" i="105"/>
  <c r="Y18" i="105"/>
  <c r="X18" i="105"/>
  <c r="V18" i="105"/>
  <c r="U18" i="105"/>
  <c r="Q18" i="105"/>
  <c r="I18" i="105"/>
  <c r="AI17" i="105"/>
  <c r="AH17" i="105"/>
  <c r="AG17" i="105"/>
  <c r="AE17" i="105"/>
  <c r="AC17" i="105"/>
  <c r="Y17" i="105"/>
  <c r="X17" i="105"/>
  <c r="W17" i="105"/>
  <c r="V17" i="105"/>
  <c r="U17" i="105"/>
  <c r="M17" i="105"/>
  <c r="L17" i="105"/>
  <c r="H17" i="105"/>
  <c r="T15" i="105"/>
  <c r="P15" i="105"/>
  <c r="B15" i="105"/>
  <c r="AI13" i="105"/>
  <c r="AD13" i="105"/>
  <c r="AB13" i="105"/>
  <c r="Y13" i="105"/>
  <c r="V13" i="105"/>
  <c r="O13" i="105"/>
  <c r="H13" i="105"/>
  <c r="E13" i="105"/>
  <c r="AJ12" i="105"/>
  <c r="AD12" i="105"/>
  <c r="AB12" i="105"/>
  <c r="AA12" i="105"/>
  <c r="Z12" i="105"/>
  <c r="R12" i="105"/>
  <c r="P12" i="105"/>
  <c r="J12" i="105"/>
  <c r="C12" i="105"/>
  <c r="AE11" i="105"/>
  <c r="AD11" i="105"/>
  <c r="AC11" i="105"/>
  <c r="Z11" i="105"/>
  <c r="U11" i="105"/>
  <c r="M11" i="105"/>
  <c r="E11" i="105"/>
  <c r="C11" i="105"/>
  <c r="AI10" i="105"/>
  <c r="AG10" i="105"/>
  <c r="AC10" i="105"/>
  <c r="AA10" i="105"/>
  <c r="U10" i="105"/>
  <c r="Q10" i="105"/>
  <c r="O10" i="105"/>
  <c r="G10" i="105"/>
  <c r="T8" i="105"/>
  <c r="AC13" i="105" s="1"/>
  <c r="B8" i="105"/>
  <c r="AI104" i="102"/>
  <c r="AH104" i="102"/>
  <c r="AF104" i="102"/>
  <c r="AC104" i="102"/>
  <c r="Z104" i="102"/>
  <c r="Y104" i="102"/>
  <c r="X104" i="102"/>
  <c r="W104" i="102"/>
  <c r="U104" i="102"/>
  <c r="AH103" i="102"/>
  <c r="AG103" i="102"/>
  <c r="AF103" i="102"/>
  <c r="AD103" i="102"/>
  <c r="AA103" i="102"/>
  <c r="Y103" i="102"/>
  <c r="X103" i="102"/>
  <c r="V103" i="102"/>
  <c r="AI102" i="102"/>
  <c r="AH102" i="102"/>
  <c r="AG102" i="102"/>
  <c r="AD102" i="102"/>
  <c r="AA102" i="102"/>
  <c r="Y102" i="102"/>
  <c r="X102" i="102"/>
  <c r="W102" i="102"/>
  <c r="AH101" i="102"/>
  <c r="AG101" i="102"/>
  <c r="AC101" i="102"/>
  <c r="AA101" i="102"/>
  <c r="Y101" i="102"/>
  <c r="X101" i="102"/>
  <c r="W101" i="102"/>
  <c r="U101" i="102"/>
  <c r="T99" i="102"/>
  <c r="P99" i="102"/>
  <c r="B99" i="102"/>
  <c r="AJ97" i="102"/>
  <c r="Y97" i="102"/>
  <c r="U97" i="102"/>
  <c r="AJ96" i="102"/>
  <c r="AC96" i="102"/>
  <c r="AB96" i="102"/>
  <c r="V96" i="102"/>
  <c r="K96" i="102"/>
  <c r="G96" i="102"/>
  <c r="AE95" i="102"/>
  <c r="V95" i="102"/>
  <c r="Q95" i="102"/>
  <c r="AH94" i="102"/>
  <c r="AA94" i="102"/>
  <c r="W94" i="102"/>
  <c r="H94" i="102"/>
  <c r="D94" i="102"/>
  <c r="AH92" i="102"/>
  <c r="T92" i="102"/>
  <c r="B92" i="102"/>
  <c r="H97" i="102" s="1"/>
  <c r="AC90" i="102"/>
  <c r="W90" i="102"/>
  <c r="P90" i="102"/>
  <c r="N90" i="102"/>
  <c r="K90" i="102"/>
  <c r="D90" i="102"/>
  <c r="C90" i="102"/>
  <c r="AG89" i="102"/>
  <c r="AD89" i="102"/>
  <c r="W89" i="102"/>
  <c r="O89" i="102"/>
  <c r="K89" i="102"/>
  <c r="G89" i="102"/>
  <c r="F89" i="102"/>
  <c r="AH88" i="102"/>
  <c r="Z88" i="102"/>
  <c r="Q88" i="102"/>
  <c r="O88" i="102"/>
  <c r="H88" i="102"/>
  <c r="G88" i="102"/>
  <c r="AI87" i="102"/>
  <c r="AD87" i="102"/>
  <c r="AC87" i="102"/>
  <c r="U87" i="102"/>
  <c r="P87" i="102"/>
  <c r="L87" i="102"/>
  <c r="H87" i="102"/>
  <c r="F87" i="102"/>
  <c r="T85" i="102"/>
  <c r="AH85" i="102" s="1"/>
  <c r="B85" i="102"/>
  <c r="F90" i="102" s="1"/>
  <c r="AJ83" i="102"/>
  <c r="Z83" i="102"/>
  <c r="V83" i="102"/>
  <c r="Q83" i="102"/>
  <c r="O83" i="102"/>
  <c r="L83" i="102"/>
  <c r="K83" i="102"/>
  <c r="J83" i="102"/>
  <c r="I83" i="102"/>
  <c r="G83" i="102"/>
  <c r="C83" i="102"/>
  <c r="AJ82" i="102"/>
  <c r="AD82" i="102"/>
  <c r="W82" i="102"/>
  <c r="Q82" i="102"/>
  <c r="O82" i="102"/>
  <c r="M82" i="102"/>
  <c r="L82" i="102"/>
  <c r="K82" i="102"/>
  <c r="J82" i="102"/>
  <c r="G82" i="102"/>
  <c r="D82" i="102"/>
  <c r="C82" i="102"/>
  <c r="AI81" i="102"/>
  <c r="AG81" i="102"/>
  <c r="AA81" i="102"/>
  <c r="R81" i="102"/>
  <c r="P81" i="102"/>
  <c r="O81" i="102"/>
  <c r="L81" i="102"/>
  <c r="K81" i="102"/>
  <c r="J81" i="102"/>
  <c r="H81" i="102"/>
  <c r="E81" i="102"/>
  <c r="C81" i="102"/>
  <c r="AJ80" i="102"/>
  <c r="AE80" i="102"/>
  <c r="AA80" i="102"/>
  <c r="W80" i="102"/>
  <c r="P80" i="102"/>
  <c r="O80" i="102"/>
  <c r="M80" i="102"/>
  <c r="L80" i="102"/>
  <c r="K80" i="102"/>
  <c r="H80" i="102"/>
  <c r="E80" i="102"/>
  <c r="D80" i="102"/>
  <c r="C80" i="102"/>
  <c r="AH78" i="102"/>
  <c r="T78" i="102"/>
  <c r="B78" i="102"/>
  <c r="P83" i="102" s="1"/>
  <c r="U76" i="102"/>
  <c r="O76" i="102"/>
  <c r="W75" i="102"/>
  <c r="AH74" i="102"/>
  <c r="K74" i="102"/>
  <c r="AD73" i="102"/>
  <c r="V73" i="102"/>
  <c r="T71" i="102"/>
  <c r="B71" i="102"/>
  <c r="G75" i="102" s="1"/>
  <c r="AI69" i="102"/>
  <c r="AA69" i="102"/>
  <c r="R69" i="102"/>
  <c r="Q69" i="102"/>
  <c r="P69" i="102"/>
  <c r="O69" i="102"/>
  <c r="M69" i="102"/>
  <c r="K69" i="102"/>
  <c r="J69" i="102"/>
  <c r="I69" i="102"/>
  <c r="H69" i="102"/>
  <c r="G69" i="102"/>
  <c r="E69" i="102"/>
  <c r="D69" i="102"/>
  <c r="AI68" i="102"/>
  <c r="Z68" i="102"/>
  <c r="R68" i="102"/>
  <c r="P68" i="102"/>
  <c r="O68" i="102"/>
  <c r="M68" i="102"/>
  <c r="L68" i="102"/>
  <c r="K68" i="102"/>
  <c r="J68" i="102"/>
  <c r="I68" i="102"/>
  <c r="G68" i="102"/>
  <c r="E68" i="102"/>
  <c r="D68" i="102"/>
  <c r="C68" i="102"/>
  <c r="AB67" i="102"/>
  <c r="V67" i="102"/>
  <c r="R67" i="102"/>
  <c r="Q67" i="102"/>
  <c r="P67" i="102"/>
  <c r="O67" i="102"/>
  <c r="M67" i="102"/>
  <c r="K67" i="102"/>
  <c r="J67" i="102"/>
  <c r="I67" i="102"/>
  <c r="H67" i="102"/>
  <c r="G67" i="102"/>
  <c r="E67" i="102"/>
  <c r="D67" i="102"/>
  <c r="AH66" i="102"/>
  <c r="AA66" i="102"/>
  <c r="W66" i="102"/>
  <c r="R66" i="102"/>
  <c r="P66" i="102"/>
  <c r="O66" i="102"/>
  <c r="M66" i="102"/>
  <c r="L66" i="102"/>
  <c r="K66" i="102"/>
  <c r="J66" i="102"/>
  <c r="I66" i="102"/>
  <c r="G66" i="102"/>
  <c r="E66" i="102"/>
  <c r="D66" i="102"/>
  <c r="C66" i="102"/>
  <c r="T64" i="102"/>
  <c r="P64" i="102"/>
  <c r="B64" i="102"/>
  <c r="AI62" i="102"/>
  <c r="AH62" i="102"/>
  <c r="AF62" i="102"/>
  <c r="Z62" i="102"/>
  <c r="X62" i="102"/>
  <c r="W62" i="102"/>
  <c r="V62" i="102"/>
  <c r="Q62" i="102"/>
  <c r="N62" i="102"/>
  <c r="M62" i="102"/>
  <c r="L62" i="102"/>
  <c r="K62" i="102"/>
  <c r="I62" i="102"/>
  <c r="F62" i="102"/>
  <c r="D62" i="102"/>
  <c r="C62" i="102"/>
  <c r="AI61" i="102"/>
  <c r="AG61" i="102"/>
  <c r="AA61" i="102"/>
  <c r="Z61" i="102"/>
  <c r="Y61" i="102"/>
  <c r="V61" i="102"/>
  <c r="Q61" i="102"/>
  <c r="O61" i="102"/>
  <c r="N61" i="102"/>
  <c r="M61" i="102"/>
  <c r="K61" i="102"/>
  <c r="I61" i="102"/>
  <c r="G61" i="102"/>
  <c r="E61" i="102"/>
  <c r="D61" i="102"/>
  <c r="AI60" i="102"/>
  <c r="AG60" i="102"/>
  <c r="AE60" i="102"/>
  <c r="AC60" i="102"/>
  <c r="Y60" i="102"/>
  <c r="W60" i="102"/>
  <c r="O60" i="102"/>
  <c r="N60" i="102"/>
  <c r="M60" i="102"/>
  <c r="L60" i="102"/>
  <c r="K60" i="102"/>
  <c r="H60" i="102"/>
  <c r="E60" i="102"/>
  <c r="D60" i="102"/>
  <c r="C60" i="102"/>
  <c r="AI59" i="102"/>
  <c r="AH59" i="102"/>
  <c r="AC59" i="102"/>
  <c r="Z59" i="102"/>
  <c r="X59" i="102"/>
  <c r="U59" i="102"/>
  <c r="P59" i="102"/>
  <c r="O59" i="102"/>
  <c r="N59" i="102"/>
  <c r="M59" i="102"/>
  <c r="K59" i="102"/>
  <c r="H59" i="102"/>
  <c r="F59" i="102"/>
  <c r="E59" i="102"/>
  <c r="D59" i="102"/>
  <c r="T57" i="102"/>
  <c r="AD62" i="102" s="1"/>
  <c r="P57" i="102"/>
  <c r="B57" i="102"/>
  <c r="O62" i="102" s="1"/>
  <c r="Z55" i="102"/>
  <c r="Q55" i="102"/>
  <c r="P55" i="102"/>
  <c r="I55" i="102"/>
  <c r="G55" i="102"/>
  <c r="C55" i="102"/>
  <c r="AH54" i="102"/>
  <c r="Z54" i="102"/>
  <c r="R54" i="102"/>
  <c r="M54" i="102"/>
  <c r="J54" i="102"/>
  <c r="H54" i="102"/>
  <c r="E54" i="102"/>
  <c r="C54" i="102"/>
  <c r="AD53" i="102"/>
  <c r="R53" i="102"/>
  <c r="O53" i="102"/>
  <c r="J53" i="102"/>
  <c r="H53" i="102"/>
  <c r="D53" i="102"/>
  <c r="AB52" i="102"/>
  <c r="O52" i="102"/>
  <c r="L52" i="102"/>
  <c r="K52" i="102"/>
  <c r="I52" i="102"/>
  <c r="D52" i="102"/>
  <c r="T50" i="102"/>
  <c r="U54" i="102" s="1"/>
  <c r="P50" i="102"/>
  <c r="B50" i="102"/>
  <c r="AH48" i="102"/>
  <c r="AG48" i="102"/>
  <c r="AF48" i="102"/>
  <c r="AE48" i="102"/>
  <c r="AD48" i="102"/>
  <c r="AC48" i="102"/>
  <c r="AA48" i="102"/>
  <c r="Y48" i="102"/>
  <c r="X48" i="102"/>
  <c r="W48" i="102"/>
  <c r="V48" i="102"/>
  <c r="U48" i="102"/>
  <c r="P48" i="102"/>
  <c r="N48" i="102"/>
  <c r="M48" i="102"/>
  <c r="L48" i="102"/>
  <c r="I48" i="102"/>
  <c r="E48" i="102"/>
  <c r="C48" i="102"/>
  <c r="AI47" i="102"/>
  <c r="AH47" i="102"/>
  <c r="AG47" i="102"/>
  <c r="AF47" i="102"/>
  <c r="AD47" i="102"/>
  <c r="AC47" i="102"/>
  <c r="AA47" i="102"/>
  <c r="Z47" i="102"/>
  <c r="Y47" i="102"/>
  <c r="X47" i="102"/>
  <c r="W47" i="102"/>
  <c r="U47" i="102"/>
  <c r="P47" i="102"/>
  <c r="N47" i="102"/>
  <c r="M47" i="102"/>
  <c r="I47" i="102"/>
  <c r="G47" i="102"/>
  <c r="F47" i="102"/>
  <c r="D47" i="102"/>
  <c r="AH46" i="102"/>
  <c r="AG46" i="102"/>
  <c r="AF46" i="102"/>
  <c r="AE46" i="102"/>
  <c r="AD46" i="102"/>
  <c r="AC46" i="102"/>
  <c r="AA46" i="102"/>
  <c r="Y46" i="102"/>
  <c r="X46" i="102"/>
  <c r="W46" i="102"/>
  <c r="V46" i="102"/>
  <c r="U46" i="102"/>
  <c r="Q46" i="102"/>
  <c r="N46" i="102"/>
  <c r="K46" i="102"/>
  <c r="H46" i="102"/>
  <c r="G46" i="102"/>
  <c r="E46" i="102"/>
  <c r="D46" i="102"/>
  <c r="AI45" i="102"/>
  <c r="AH45" i="102"/>
  <c r="AG45" i="102"/>
  <c r="AF45" i="102"/>
  <c r="AD45" i="102"/>
  <c r="AC45" i="102"/>
  <c r="AA45" i="102"/>
  <c r="Z45" i="102"/>
  <c r="Y45" i="102"/>
  <c r="X45" i="102"/>
  <c r="W45" i="102"/>
  <c r="U45" i="102"/>
  <c r="Q45" i="102"/>
  <c r="P45" i="102"/>
  <c r="O45" i="102"/>
  <c r="L45" i="102"/>
  <c r="G45" i="102"/>
  <c r="F45" i="102"/>
  <c r="E45" i="102"/>
  <c r="D45" i="102"/>
  <c r="T43" i="102"/>
  <c r="B43" i="102"/>
  <c r="Q41" i="102"/>
  <c r="O41" i="102"/>
  <c r="K41" i="102"/>
  <c r="G41" i="102"/>
  <c r="C41" i="102"/>
  <c r="AJ40" i="102"/>
  <c r="V40" i="102"/>
  <c r="R40" i="102"/>
  <c r="M40" i="102"/>
  <c r="K40" i="102"/>
  <c r="H40" i="102"/>
  <c r="D40" i="102"/>
  <c r="C40" i="102"/>
  <c r="Y39" i="102"/>
  <c r="R39" i="102"/>
  <c r="O39" i="102"/>
  <c r="L39" i="102"/>
  <c r="H39" i="102"/>
  <c r="D39" i="102"/>
  <c r="Y38" i="102"/>
  <c r="P38" i="102"/>
  <c r="M38" i="102"/>
  <c r="L38" i="102"/>
  <c r="I38" i="102"/>
  <c r="D38" i="102"/>
  <c r="T36" i="102"/>
  <c r="B36" i="102"/>
  <c r="AF34" i="102"/>
  <c r="AD34" i="102"/>
  <c r="W34" i="102"/>
  <c r="V34" i="102"/>
  <c r="Q34" i="102"/>
  <c r="M34" i="102"/>
  <c r="I34" i="102"/>
  <c r="H34" i="102"/>
  <c r="G34" i="102"/>
  <c r="F34" i="102"/>
  <c r="C34" i="102"/>
  <c r="AG33" i="102"/>
  <c r="AE33" i="102"/>
  <c r="AC33" i="102"/>
  <c r="W33" i="102"/>
  <c r="Q33" i="102"/>
  <c r="N33" i="102"/>
  <c r="L33" i="102"/>
  <c r="K33" i="102"/>
  <c r="H33" i="102"/>
  <c r="G33" i="102"/>
  <c r="D33" i="102"/>
  <c r="AG32" i="102"/>
  <c r="AF32" i="102"/>
  <c r="AA32" i="102"/>
  <c r="W32" i="102"/>
  <c r="U32" i="102"/>
  <c r="Q32" i="102"/>
  <c r="O32" i="102"/>
  <c r="L32" i="102"/>
  <c r="K32" i="102"/>
  <c r="H32" i="102"/>
  <c r="D32" i="102"/>
  <c r="AI31" i="102"/>
  <c r="AH31" i="102"/>
  <c r="AF31" i="102"/>
  <c r="X31" i="102"/>
  <c r="W31" i="102"/>
  <c r="Q31" i="102"/>
  <c r="O31" i="102"/>
  <c r="L31" i="102"/>
  <c r="H31" i="102"/>
  <c r="G31" i="102"/>
  <c r="E31" i="102"/>
  <c r="C31" i="102"/>
  <c r="T29" i="102"/>
  <c r="B29" i="102"/>
  <c r="AJ27" i="102"/>
  <c r="AG27" i="102"/>
  <c r="AD27" i="102"/>
  <c r="Z27" i="102"/>
  <c r="V27" i="102"/>
  <c r="O27" i="102"/>
  <c r="E27" i="102"/>
  <c r="AJ26" i="102"/>
  <c r="AG26" i="102"/>
  <c r="AA26" i="102"/>
  <c r="V26" i="102"/>
  <c r="R26" i="102"/>
  <c r="Q26" i="102"/>
  <c r="C26" i="102"/>
  <c r="AH25" i="102"/>
  <c r="AD25" i="102"/>
  <c r="AA25" i="102"/>
  <c r="W25" i="102"/>
  <c r="K25" i="102"/>
  <c r="G25" i="102"/>
  <c r="AD24" i="102"/>
  <c r="AC24" i="102"/>
  <c r="W24" i="102"/>
  <c r="P24" i="102"/>
  <c r="O24" i="102"/>
  <c r="H24" i="102"/>
  <c r="T22" i="102"/>
  <c r="B22" i="102"/>
  <c r="W20" i="102"/>
  <c r="Q20" i="102"/>
  <c r="P20" i="102"/>
  <c r="O20" i="102"/>
  <c r="N20" i="102"/>
  <c r="L20" i="102"/>
  <c r="K20" i="102"/>
  <c r="I20" i="102"/>
  <c r="H20" i="102"/>
  <c r="G20" i="102"/>
  <c r="F20" i="102"/>
  <c r="E20" i="102"/>
  <c r="C20" i="102"/>
  <c r="P19" i="102"/>
  <c r="O19" i="102"/>
  <c r="N19" i="102"/>
  <c r="M19" i="102"/>
  <c r="L19" i="102"/>
  <c r="K19" i="102"/>
  <c r="I19" i="102"/>
  <c r="G19" i="102"/>
  <c r="F19" i="102"/>
  <c r="E19" i="102"/>
  <c r="D19" i="102"/>
  <c r="C19" i="102"/>
  <c r="AD18" i="102"/>
  <c r="Q18" i="102"/>
  <c r="P18" i="102"/>
  <c r="O18" i="102"/>
  <c r="N18" i="102"/>
  <c r="L18" i="102"/>
  <c r="K18" i="102"/>
  <c r="I18" i="102"/>
  <c r="H18" i="102"/>
  <c r="G18" i="102"/>
  <c r="F18" i="102"/>
  <c r="E18" i="102"/>
  <c r="C18" i="102"/>
  <c r="Z17" i="102"/>
  <c r="P17" i="102"/>
  <c r="O17" i="102"/>
  <c r="N17" i="102"/>
  <c r="M17" i="102"/>
  <c r="L17" i="102"/>
  <c r="K17" i="102"/>
  <c r="I17" i="102"/>
  <c r="G17" i="102"/>
  <c r="F17" i="102"/>
  <c r="E17" i="102"/>
  <c r="D17" i="102"/>
  <c r="C17" i="102"/>
  <c r="T15" i="102"/>
  <c r="AI19" i="102" s="1"/>
  <c r="P15" i="102"/>
  <c r="B15" i="102"/>
  <c r="V13" i="102"/>
  <c r="R13" i="102"/>
  <c r="K13" i="102"/>
  <c r="J13" i="102"/>
  <c r="G13" i="102"/>
  <c r="C13" i="102"/>
  <c r="V12" i="102"/>
  <c r="R12" i="102"/>
  <c r="Q12" i="102"/>
  <c r="O12" i="102"/>
  <c r="J12" i="102"/>
  <c r="H12" i="102"/>
  <c r="D12" i="102"/>
  <c r="W11" i="102"/>
  <c r="U11" i="102"/>
  <c r="O11" i="102"/>
  <c r="I11" i="102"/>
  <c r="G11" i="102"/>
  <c r="D11" i="102"/>
  <c r="Z10" i="102"/>
  <c r="U10" i="102"/>
  <c r="P10" i="102"/>
  <c r="K10" i="102"/>
  <c r="J10" i="102"/>
  <c r="I10" i="102"/>
  <c r="E10" i="102"/>
  <c r="T8" i="102"/>
  <c r="B8" i="102"/>
  <c r="S68" i="111"/>
  <c r="R68" i="111"/>
  <c r="Q68" i="111"/>
  <c r="P68" i="111"/>
  <c r="O68" i="111"/>
  <c r="N68" i="111"/>
  <c r="M68" i="111"/>
  <c r="L68" i="111"/>
  <c r="K68" i="111"/>
  <c r="AD68" i="111" s="1"/>
  <c r="J68" i="111"/>
  <c r="I68" i="111"/>
  <c r="H68" i="111"/>
  <c r="G68" i="111"/>
  <c r="F68" i="111"/>
  <c r="E68" i="111"/>
  <c r="D68" i="111"/>
  <c r="C68" i="111"/>
  <c r="V68" i="111" s="1"/>
  <c r="S67" i="111"/>
  <c r="R67" i="111"/>
  <c r="Q67" i="111"/>
  <c r="P67" i="111"/>
  <c r="O67" i="111"/>
  <c r="N67" i="111"/>
  <c r="M67" i="111"/>
  <c r="L67" i="111"/>
  <c r="K67" i="111"/>
  <c r="AD67" i="111" s="1"/>
  <c r="J67" i="111"/>
  <c r="I67" i="111"/>
  <c r="H67" i="111"/>
  <c r="G67" i="111"/>
  <c r="F67" i="111"/>
  <c r="E67" i="111"/>
  <c r="D67" i="111"/>
  <c r="C67" i="111"/>
  <c r="V67" i="111" s="1"/>
  <c r="S66" i="111"/>
  <c r="R66" i="111"/>
  <c r="Q66" i="111"/>
  <c r="AJ66" i="111" s="1"/>
  <c r="P66" i="111"/>
  <c r="O66" i="111"/>
  <c r="N66" i="111"/>
  <c r="AG66" i="111" s="1"/>
  <c r="M66" i="111"/>
  <c r="L66" i="111"/>
  <c r="K66" i="111"/>
  <c r="AD66" i="111" s="1"/>
  <c r="J66" i="111"/>
  <c r="I66" i="111"/>
  <c r="AB66" i="111" s="1"/>
  <c r="H66" i="111"/>
  <c r="G66" i="111"/>
  <c r="F66" i="111"/>
  <c r="Y66" i="111" s="1"/>
  <c r="E66" i="111"/>
  <c r="D66" i="111"/>
  <c r="C66" i="111"/>
  <c r="V66" i="111" s="1"/>
  <c r="S65" i="111"/>
  <c r="Y65" i="111" s="1"/>
  <c r="R65" i="111"/>
  <c r="Q65" i="111"/>
  <c r="P65" i="111"/>
  <c r="O65" i="111"/>
  <c r="N65" i="111"/>
  <c r="M65" i="111"/>
  <c r="L65" i="111"/>
  <c r="K65" i="111"/>
  <c r="AD65" i="111" s="1"/>
  <c r="J65" i="111"/>
  <c r="I65" i="111"/>
  <c r="H65" i="111"/>
  <c r="G65" i="111"/>
  <c r="F65" i="111"/>
  <c r="E65" i="111"/>
  <c r="D65" i="111"/>
  <c r="C65" i="111"/>
  <c r="V65" i="111" s="1"/>
  <c r="S64" i="111"/>
  <c r="R64" i="111"/>
  <c r="AK64" i="111" s="1"/>
  <c r="Q64" i="111"/>
  <c r="P64" i="111"/>
  <c r="O64" i="111"/>
  <c r="N64" i="111"/>
  <c r="M64" i="111"/>
  <c r="L64" i="111"/>
  <c r="AE64" i="111" s="1"/>
  <c r="K64" i="111"/>
  <c r="AD64" i="111" s="1"/>
  <c r="J64" i="111"/>
  <c r="I64" i="111"/>
  <c r="H64" i="111"/>
  <c r="G64" i="111"/>
  <c r="F64" i="111"/>
  <c r="E64" i="111"/>
  <c r="D64" i="111"/>
  <c r="C64" i="111"/>
  <c r="V64" i="111" s="1"/>
  <c r="S63" i="111"/>
  <c r="R63" i="111"/>
  <c r="Q63" i="111"/>
  <c r="P63" i="111"/>
  <c r="O63" i="111"/>
  <c r="N63" i="111"/>
  <c r="AG63" i="111" s="1"/>
  <c r="M63" i="111"/>
  <c r="L63" i="111"/>
  <c r="K63" i="111"/>
  <c r="AD63" i="111" s="1"/>
  <c r="J63" i="111"/>
  <c r="I63" i="111"/>
  <c r="H63" i="111"/>
  <c r="G63" i="111"/>
  <c r="F63" i="111"/>
  <c r="E63" i="111"/>
  <c r="D63" i="111"/>
  <c r="C63" i="111"/>
  <c r="V63" i="111" s="1"/>
  <c r="S62" i="111"/>
  <c r="R62" i="111"/>
  <c r="Q62" i="111"/>
  <c r="P62" i="111"/>
  <c r="O62" i="111"/>
  <c r="N62" i="111"/>
  <c r="M62" i="111"/>
  <c r="L62" i="111"/>
  <c r="K62" i="111"/>
  <c r="AD62" i="111" s="1"/>
  <c r="J62" i="111"/>
  <c r="I62" i="111"/>
  <c r="H62" i="111"/>
  <c r="G62" i="111"/>
  <c r="F62" i="111"/>
  <c r="E62" i="111"/>
  <c r="D62" i="111"/>
  <c r="C62" i="111"/>
  <c r="V62" i="111" s="1"/>
  <c r="S61" i="111"/>
  <c r="R61" i="111"/>
  <c r="Q61" i="111"/>
  <c r="P61" i="111"/>
  <c r="O61" i="111"/>
  <c r="N61" i="111"/>
  <c r="AG61" i="111" s="1"/>
  <c r="M61" i="111"/>
  <c r="L61" i="111"/>
  <c r="K61" i="111"/>
  <c r="AD61" i="111" s="1"/>
  <c r="J61" i="111"/>
  <c r="I61" i="111"/>
  <c r="H61" i="111"/>
  <c r="G61" i="111"/>
  <c r="F61" i="111"/>
  <c r="Y61" i="111" s="1"/>
  <c r="E61" i="111"/>
  <c r="D61" i="111"/>
  <c r="C61" i="111"/>
  <c r="V61" i="111" s="1"/>
  <c r="S60" i="111"/>
  <c r="R60" i="111"/>
  <c r="Q60" i="111"/>
  <c r="P60" i="111"/>
  <c r="O60" i="111"/>
  <c r="N60" i="111"/>
  <c r="M60" i="111"/>
  <c r="L60" i="111"/>
  <c r="K60" i="111"/>
  <c r="AD60" i="111" s="1"/>
  <c r="J60" i="111"/>
  <c r="I60" i="111"/>
  <c r="H60" i="111"/>
  <c r="G60" i="111"/>
  <c r="F60" i="111"/>
  <c r="E60" i="111"/>
  <c r="D60" i="111"/>
  <c r="C60" i="111"/>
  <c r="V60" i="111" s="1"/>
  <c r="S59" i="111"/>
  <c r="R59" i="111"/>
  <c r="Q59" i="111"/>
  <c r="P59" i="111"/>
  <c r="O59" i="111"/>
  <c r="N59" i="111"/>
  <c r="M59" i="111"/>
  <c r="L59" i="111"/>
  <c r="K59" i="111"/>
  <c r="AD59" i="111" s="1"/>
  <c r="J59" i="111"/>
  <c r="I59" i="111"/>
  <c r="H59" i="111"/>
  <c r="G59" i="111"/>
  <c r="F59" i="111"/>
  <c r="E59" i="111"/>
  <c r="D59" i="111"/>
  <c r="C59" i="111"/>
  <c r="V59" i="111" s="1"/>
  <c r="S58" i="111"/>
  <c r="R58" i="111"/>
  <c r="Q58" i="111"/>
  <c r="P58" i="111"/>
  <c r="O58" i="111"/>
  <c r="N58" i="111"/>
  <c r="M58" i="111"/>
  <c r="L58" i="111"/>
  <c r="K58" i="111"/>
  <c r="AD58" i="111" s="1"/>
  <c r="J58" i="111"/>
  <c r="I58" i="111"/>
  <c r="H58" i="111"/>
  <c r="G58" i="111"/>
  <c r="F58" i="111"/>
  <c r="E58" i="111"/>
  <c r="D58" i="111"/>
  <c r="C58" i="111"/>
  <c r="V58" i="111" s="1"/>
  <c r="S57" i="111"/>
  <c r="R57" i="111"/>
  <c r="Q57" i="111"/>
  <c r="P57" i="111"/>
  <c r="O57" i="111"/>
  <c r="N57" i="111"/>
  <c r="M57" i="111"/>
  <c r="L57" i="111"/>
  <c r="K57" i="111"/>
  <c r="AD57" i="111" s="1"/>
  <c r="J57" i="111"/>
  <c r="I57" i="111"/>
  <c r="H57" i="111"/>
  <c r="G57" i="111"/>
  <c r="F57" i="111"/>
  <c r="E57" i="111"/>
  <c r="D57" i="111"/>
  <c r="C57" i="111"/>
  <c r="V57" i="111" s="1"/>
  <c r="S56" i="111"/>
  <c r="R56" i="111"/>
  <c r="AK56" i="111" s="1"/>
  <c r="Q56" i="111"/>
  <c r="P56" i="111"/>
  <c r="O56" i="111"/>
  <c r="N56" i="111"/>
  <c r="M56" i="111"/>
  <c r="L56" i="111"/>
  <c r="K56" i="111"/>
  <c r="AD56" i="111" s="1"/>
  <c r="J56" i="111"/>
  <c r="I56" i="111"/>
  <c r="H56" i="111"/>
  <c r="G56" i="111"/>
  <c r="Z56" i="111" s="1"/>
  <c r="F56" i="111"/>
  <c r="E56" i="111"/>
  <c r="D56" i="111"/>
  <c r="C56" i="111"/>
  <c r="V56" i="111" s="1"/>
  <c r="V52" i="111"/>
  <c r="S52" i="111"/>
  <c r="R52" i="111"/>
  <c r="Q52" i="111"/>
  <c r="P52" i="111"/>
  <c r="O52" i="111"/>
  <c r="N52" i="111"/>
  <c r="M52" i="111"/>
  <c r="L52" i="111"/>
  <c r="AE52" i="111" s="1"/>
  <c r="K52" i="111"/>
  <c r="AD52" i="111" s="1"/>
  <c r="J52" i="111"/>
  <c r="I52" i="111"/>
  <c r="H52" i="111"/>
  <c r="G52" i="111"/>
  <c r="F52" i="111"/>
  <c r="E52" i="111"/>
  <c r="D52" i="111"/>
  <c r="W52" i="111" s="1"/>
  <c r="C52" i="111"/>
  <c r="S51" i="111"/>
  <c r="R51" i="111"/>
  <c r="Q51" i="111"/>
  <c r="P51" i="111"/>
  <c r="O51" i="111"/>
  <c r="N51" i="111"/>
  <c r="M51" i="111"/>
  <c r="L51" i="111"/>
  <c r="K51" i="111"/>
  <c r="AD51" i="111" s="1"/>
  <c r="J51" i="111"/>
  <c r="I51" i="111"/>
  <c r="H51" i="111"/>
  <c r="G51" i="111"/>
  <c r="F51" i="111"/>
  <c r="E51" i="111"/>
  <c r="D51" i="111"/>
  <c r="C51" i="111"/>
  <c r="V51" i="111" s="1"/>
  <c r="S50" i="111"/>
  <c r="AA50" i="111" s="1"/>
  <c r="R50" i="111"/>
  <c r="Q50" i="111"/>
  <c r="P50" i="111"/>
  <c r="O50" i="111"/>
  <c r="N50" i="111"/>
  <c r="M50" i="111"/>
  <c r="L50" i="111"/>
  <c r="K50" i="111"/>
  <c r="AD50" i="111" s="1"/>
  <c r="J50" i="111"/>
  <c r="I50" i="111"/>
  <c r="H50" i="111"/>
  <c r="G50" i="111"/>
  <c r="F50" i="111"/>
  <c r="E50" i="111"/>
  <c r="D50" i="111"/>
  <c r="C50" i="111"/>
  <c r="V50" i="111" s="1"/>
  <c r="S49" i="111"/>
  <c r="W49" i="111" s="1"/>
  <c r="R49" i="111"/>
  <c r="Q49" i="111"/>
  <c r="P49" i="111"/>
  <c r="O49" i="111"/>
  <c r="N49" i="111"/>
  <c r="M49" i="111"/>
  <c r="L49" i="111"/>
  <c r="K49" i="111"/>
  <c r="AD49" i="111" s="1"/>
  <c r="J49" i="111"/>
  <c r="I49" i="111"/>
  <c r="H49" i="111"/>
  <c r="G49" i="111"/>
  <c r="F49" i="111"/>
  <c r="E49" i="111"/>
  <c r="D49" i="111"/>
  <c r="C49" i="111"/>
  <c r="V49" i="111" s="1"/>
  <c r="S48" i="111"/>
  <c r="R48" i="111"/>
  <c r="Q48" i="111"/>
  <c r="P48" i="111"/>
  <c r="O48" i="111"/>
  <c r="N48" i="111"/>
  <c r="M48" i="111"/>
  <c r="L48" i="111"/>
  <c r="K48" i="111"/>
  <c r="AD48" i="111" s="1"/>
  <c r="J48" i="111"/>
  <c r="I48" i="111"/>
  <c r="H48" i="111"/>
  <c r="G48" i="111"/>
  <c r="F48" i="111"/>
  <c r="E48" i="111"/>
  <c r="D48" i="111"/>
  <c r="C48" i="111"/>
  <c r="V48" i="111" s="1"/>
  <c r="S47" i="111"/>
  <c r="R47" i="111"/>
  <c r="AK47" i="111" s="1"/>
  <c r="Q47" i="111"/>
  <c r="P47" i="111"/>
  <c r="O47" i="111"/>
  <c r="N47" i="111"/>
  <c r="M47" i="111"/>
  <c r="L47" i="111"/>
  <c r="K47" i="111"/>
  <c r="AD47" i="111" s="1"/>
  <c r="J47" i="111"/>
  <c r="I47" i="111"/>
  <c r="AB47" i="111" s="1"/>
  <c r="H47" i="111"/>
  <c r="G47" i="111"/>
  <c r="Z47" i="111" s="1"/>
  <c r="F47" i="111"/>
  <c r="Y47" i="111" s="1"/>
  <c r="E47" i="111"/>
  <c r="D47" i="111"/>
  <c r="C47" i="111"/>
  <c r="V47" i="111" s="1"/>
  <c r="S46" i="111"/>
  <c r="R46" i="111"/>
  <c r="Q46" i="111"/>
  <c r="P46" i="111"/>
  <c r="O46" i="111"/>
  <c r="N46" i="111"/>
  <c r="M46" i="111"/>
  <c r="L46" i="111"/>
  <c r="K46" i="111"/>
  <c r="AD46" i="111" s="1"/>
  <c r="J46" i="111"/>
  <c r="I46" i="111"/>
  <c r="H46" i="111"/>
  <c r="G46" i="111"/>
  <c r="F46" i="111"/>
  <c r="E46" i="111"/>
  <c r="D46" i="111"/>
  <c r="C46" i="111"/>
  <c r="V46" i="111" s="1"/>
  <c r="S45" i="111"/>
  <c r="R45" i="111"/>
  <c r="Q45" i="111"/>
  <c r="P45" i="111"/>
  <c r="O45" i="111"/>
  <c r="N45" i="111"/>
  <c r="M45" i="111"/>
  <c r="L45" i="111"/>
  <c r="K45" i="111"/>
  <c r="AD45" i="111" s="1"/>
  <c r="J45" i="111"/>
  <c r="I45" i="111"/>
  <c r="H45" i="111"/>
  <c r="G45" i="111"/>
  <c r="F45" i="111"/>
  <c r="E45" i="111"/>
  <c r="D45" i="111"/>
  <c r="C45" i="111"/>
  <c r="V45" i="111" s="1"/>
  <c r="S44" i="111"/>
  <c r="AA44" i="111" s="1"/>
  <c r="R44" i="111"/>
  <c r="Q44" i="111"/>
  <c r="P44" i="111"/>
  <c r="O44" i="111"/>
  <c r="N44" i="111"/>
  <c r="M44" i="111"/>
  <c r="L44" i="111"/>
  <c r="K44" i="111"/>
  <c r="AD44" i="111" s="1"/>
  <c r="J44" i="111"/>
  <c r="I44" i="111"/>
  <c r="H44" i="111"/>
  <c r="G44" i="111"/>
  <c r="F44" i="111"/>
  <c r="E44" i="111"/>
  <c r="D44" i="111"/>
  <c r="C44" i="111"/>
  <c r="V44" i="111" s="1"/>
  <c r="S43" i="111"/>
  <c r="R43" i="111"/>
  <c r="Q43" i="111"/>
  <c r="P43" i="111"/>
  <c r="O43" i="111"/>
  <c r="AH43" i="111" s="1"/>
  <c r="N43" i="111"/>
  <c r="AG43" i="111" s="1"/>
  <c r="M43" i="111"/>
  <c r="L43" i="111"/>
  <c r="K43" i="111"/>
  <c r="AD43" i="111" s="1"/>
  <c r="J43" i="111"/>
  <c r="AC43" i="111" s="1"/>
  <c r="I43" i="111"/>
  <c r="H43" i="111"/>
  <c r="G43" i="111"/>
  <c r="F43" i="111"/>
  <c r="Y43" i="111" s="1"/>
  <c r="E43" i="111"/>
  <c r="D43" i="111"/>
  <c r="C43" i="111"/>
  <c r="V43" i="111" s="1"/>
  <c r="S42" i="111"/>
  <c r="R42" i="111"/>
  <c r="Q42" i="111"/>
  <c r="P42" i="111"/>
  <c r="O42" i="111"/>
  <c r="N42" i="111"/>
  <c r="M42" i="111"/>
  <c r="L42" i="111"/>
  <c r="K42" i="111"/>
  <c r="AD42" i="111" s="1"/>
  <c r="J42" i="111"/>
  <c r="I42" i="111"/>
  <c r="H42" i="111"/>
  <c r="G42" i="111"/>
  <c r="F42" i="111"/>
  <c r="E42" i="111"/>
  <c r="D42" i="111"/>
  <c r="C42" i="111"/>
  <c r="V42" i="111" s="1"/>
  <c r="S41" i="111"/>
  <c r="AI41" i="111" s="1"/>
  <c r="R41" i="111"/>
  <c r="Q41" i="111"/>
  <c r="P41" i="111"/>
  <c r="O41" i="111"/>
  <c r="N41" i="111"/>
  <c r="M41" i="111"/>
  <c r="L41" i="111"/>
  <c r="K41" i="111"/>
  <c r="AD41" i="111" s="1"/>
  <c r="J41" i="111"/>
  <c r="I41" i="111"/>
  <c r="H41" i="111"/>
  <c r="G41" i="111"/>
  <c r="F41" i="111"/>
  <c r="E41" i="111"/>
  <c r="D41" i="111"/>
  <c r="C41" i="111"/>
  <c r="V41" i="111" s="1"/>
  <c r="S40" i="111"/>
  <c r="R40" i="111"/>
  <c r="Q40" i="111"/>
  <c r="P40" i="111"/>
  <c r="O40" i="111"/>
  <c r="N40" i="111"/>
  <c r="M40" i="111"/>
  <c r="L40" i="111"/>
  <c r="K40" i="111"/>
  <c r="AD40" i="111" s="1"/>
  <c r="J40" i="111"/>
  <c r="I40" i="111"/>
  <c r="H40" i="111"/>
  <c r="G40" i="111"/>
  <c r="F40" i="111"/>
  <c r="E40" i="111"/>
  <c r="D40" i="111"/>
  <c r="C40" i="111"/>
  <c r="V40" i="111" s="1"/>
  <c r="S35" i="111"/>
  <c r="R35" i="111"/>
  <c r="Q35" i="111"/>
  <c r="P35" i="111"/>
  <c r="O35" i="111"/>
  <c r="N35" i="111"/>
  <c r="M35" i="111"/>
  <c r="L35" i="111"/>
  <c r="K35" i="111"/>
  <c r="AD35" i="111" s="1"/>
  <c r="J35" i="111"/>
  <c r="I35" i="111"/>
  <c r="H35" i="111"/>
  <c r="G35" i="111"/>
  <c r="F35" i="111"/>
  <c r="E35" i="111"/>
  <c r="D35" i="111"/>
  <c r="C35" i="111"/>
  <c r="V35" i="111" s="1"/>
  <c r="S34" i="111"/>
  <c r="R34" i="111"/>
  <c r="AK34" i="111" s="1"/>
  <c r="Q34" i="111"/>
  <c r="AJ34" i="111" s="1"/>
  <c r="P34" i="111"/>
  <c r="O34" i="111"/>
  <c r="N34" i="111"/>
  <c r="M34" i="111"/>
  <c r="L34" i="111"/>
  <c r="K34" i="111"/>
  <c r="AD34" i="111" s="1"/>
  <c r="J34" i="111"/>
  <c r="AC34" i="111" s="1"/>
  <c r="I34" i="111"/>
  <c r="H34" i="111"/>
  <c r="G34" i="111"/>
  <c r="F34" i="111"/>
  <c r="E34" i="111"/>
  <c r="D34" i="111"/>
  <c r="C34" i="111"/>
  <c r="V34" i="111" s="1"/>
  <c r="S33" i="111"/>
  <c r="R33" i="111"/>
  <c r="Q33" i="111"/>
  <c r="P33" i="111"/>
  <c r="O33" i="111"/>
  <c r="N33" i="111"/>
  <c r="M33" i="111"/>
  <c r="L33" i="111"/>
  <c r="K33" i="111"/>
  <c r="AD33" i="111" s="1"/>
  <c r="J33" i="111"/>
  <c r="I33" i="111"/>
  <c r="H33" i="111"/>
  <c r="G33" i="111"/>
  <c r="F33" i="111"/>
  <c r="E33" i="111"/>
  <c r="D33" i="111"/>
  <c r="C33" i="111"/>
  <c r="V33" i="111" s="1"/>
  <c r="S32" i="111"/>
  <c r="R32" i="111"/>
  <c r="Q32" i="111"/>
  <c r="P32" i="111"/>
  <c r="O32" i="111"/>
  <c r="N32" i="111"/>
  <c r="M32" i="111"/>
  <c r="L32" i="111"/>
  <c r="K32" i="111"/>
  <c r="AD32" i="111" s="1"/>
  <c r="J32" i="111"/>
  <c r="I32" i="111"/>
  <c r="H32" i="111"/>
  <c r="G32" i="111"/>
  <c r="F32" i="111"/>
  <c r="E32" i="111"/>
  <c r="D32" i="111"/>
  <c r="C32" i="111"/>
  <c r="V32" i="111" s="1"/>
  <c r="S31" i="111"/>
  <c r="R31" i="111"/>
  <c r="Q31" i="111"/>
  <c r="P31" i="111"/>
  <c r="O31" i="111"/>
  <c r="AH31" i="111" s="1"/>
  <c r="N31" i="111"/>
  <c r="M31" i="111"/>
  <c r="L31" i="111"/>
  <c r="K31" i="111"/>
  <c r="AD31" i="111" s="1"/>
  <c r="J31" i="111"/>
  <c r="I31" i="111"/>
  <c r="H31" i="111"/>
  <c r="G31" i="111"/>
  <c r="F31" i="111"/>
  <c r="E31" i="111"/>
  <c r="D31" i="111"/>
  <c r="C31" i="111"/>
  <c r="V31" i="111" s="1"/>
  <c r="X30" i="111"/>
  <c r="S30" i="111"/>
  <c r="R30" i="111"/>
  <c r="Q30" i="111"/>
  <c r="P30" i="111"/>
  <c r="O30" i="111"/>
  <c r="N30" i="111"/>
  <c r="M30" i="111"/>
  <c r="L30" i="111"/>
  <c r="AE30" i="111" s="1"/>
  <c r="K30" i="111"/>
  <c r="AD30" i="111" s="1"/>
  <c r="J30" i="111"/>
  <c r="I30" i="111"/>
  <c r="H30" i="111"/>
  <c r="G30" i="111"/>
  <c r="F30" i="111"/>
  <c r="E30" i="111"/>
  <c r="D30" i="111"/>
  <c r="C30" i="111"/>
  <c r="V30" i="111" s="1"/>
  <c r="S29" i="111"/>
  <c r="R29" i="111"/>
  <c r="Q29" i="111"/>
  <c r="AJ29" i="111" s="1"/>
  <c r="P29" i="111"/>
  <c r="O29" i="111"/>
  <c r="N29" i="111"/>
  <c r="M29" i="111"/>
  <c r="L29" i="111"/>
  <c r="K29" i="111"/>
  <c r="AD29" i="111" s="1"/>
  <c r="J29" i="111"/>
  <c r="I29" i="111"/>
  <c r="H29" i="111"/>
  <c r="G29" i="111"/>
  <c r="F29" i="111"/>
  <c r="E29" i="111"/>
  <c r="D29" i="111"/>
  <c r="C29" i="111"/>
  <c r="V29" i="111" s="1"/>
  <c r="S28" i="111"/>
  <c r="R28" i="111"/>
  <c r="Q28" i="111"/>
  <c r="P28" i="111"/>
  <c r="O28" i="111"/>
  <c r="N28" i="111"/>
  <c r="M28" i="111"/>
  <c r="L28" i="111"/>
  <c r="K28" i="111"/>
  <c r="AD28" i="111" s="1"/>
  <c r="J28" i="111"/>
  <c r="I28" i="111"/>
  <c r="H28" i="111"/>
  <c r="G28" i="111"/>
  <c r="F28" i="111"/>
  <c r="E28" i="111"/>
  <c r="D28" i="111"/>
  <c r="C28" i="111"/>
  <c r="V28" i="111" s="1"/>
  <c r="S27" i="111"/>
  <c r="R27" i="111"/>
  <c r="Q27" i="111"/>
  <c r="P27" i="111"/>
  <c r="O27" i="111"/>
  <c r="N27" i="111"/>
  <c r="M27" i="111"/>
  <c r="L27" i="111"/>
  <c r="K27" i="111"/>
  <c r="AD27" i="111" s="1"/>
  <c r="J27" i="111"/>
  <c r="I27" i="111"/>
  <c r="H27" i="111"/>
  <c r="G27" i="111"/>
  <c r="F27" i="111"/>
  <c r="E27" i="111"/>
  <c r="D27" i="111"/>
  <c r="C27" i="111"/>
  <c r="V27" i="111" s="1"/>
  <c r="S26" i="111"/>
  <c r="R26" i="111"/>
  <c r="Q26" i="111"/>
  <c r="P26" i="111"/>
  <c r="O26" i="111"/>
  <c r="N26" i="111"/>
  <c r="M26" i="111"/>
  <c r="L26" i="111"/>
  <c r="K26" i="111"/>
  <c r="AD26" i="111" s="1"/>
  <c r="J26" i="111"/>
  <c r="I26" i="111"/>
  <c r="H26" i="111"/>
  <c r="G26" i="111"/>
  <c r="F26" i="111"/>
  <c r="E26" i="111"/>
  <c r="D26" i="111"/>
  <c r="C26" i="111"/>
  <c r="V26" i="111" s="1"/>
  <c r="S25" i="111"/>
  <c r="R25" i="111"/>
  <c r="Q25" i="111"/>
  <c r="P25" i="111"/>
  <c r="O25" i="111"/>
  <c r="N25" i="111"/>
  <c r="M25" i="111"/>
  <c r="L25" i="111"/>
  <c r="K25" i="111"/>
  <c r="AD25" i="111" s="1"/>
  <c r="J25" i="111"/>
  <c r="I25" i="111"/>
  <c r="H25" i="111"/>
  <c r="G25" i="111"/>
  <c r="F25" i="111"/>
  <c r="E25" i="111"/>
  <c r="D25" i="111"/>
  <c r="C25" i="111"/>
  <c r="V25" i="111" s="1"/>
  <c r="S24" i="111"/>
  <c r="R24" i="111"/>
  <c r="Q24" i="111"/>
  <c r="P24" i="111"/>
  <c r="O24" i="111"/>
  <c r="N24" i="111"/>
  <c r="M24" i="111"/>
  <c r="L24" i="111"/>
  <c r="K24" i="111"/>
  <c r="AD24" i="111" s="1"/>
  <c r="J24" i="111"/>
  <c r="I24" i="111"/>
  <c r="H24" i="111"/>
  <c r="G24" i="111"/>
  <c r="F24" i="111"/>
  <c r="E24" i="111"/>
  <c r="D24" i="111"/>
  <c r="C24" i="111"/>
  <c r="V24" i="111" s="1"/>
  <c r="S23" i="111"/>
  <c r="R23" i="111"/>
  <c r="Q23" i="111"/>
  <c r="P23" i="111"/>
  <c r="O23" i="111"/>
  <c r="N23" i="111"/>
  <c r="M23" i="111"/>
  <c r="L23" i="111"/>
  <c r="AE23" i="111" s="1"/>
  <c r="K23" i="111"/>
  <c r="AD23" i="111" s="1"/>
  <c r="J23" i="111"/>
  <c r="I23" i="111"/>
  <c r="H23" i="111"/>
  <c r="G23" i="111"/>
  <c r="F23" i="111"/>
  <c r="E23" i="111"/>
  <c r="D23" i="111"/>
  <c r="C23" i="111"/>
  <c r="V23" i="111" s="1"/>
  <c r="S18" i="111"/>
  <c r="R18" i="111"/>
  <c r="Q18" i="111"/>
  <c r="P18" i="111"/>
  <c r="O18" i="111"/>
  <c r="N18" i="111"/>
  <c r="M18" i="111"/>
  <c r="L18" i="111"/>
  <c r="K18" i="111"/>
  <c r="AD18" i="111" s="1"/>
  <c r="J18" i="111"/>
  <c r="I18" i="111"/>
  <c r="H18" i="111"/>
  <c r="G18" i="111"/>
  <c r="F18" i="111"/>
  <c r="E18" i="111"/>
  <c r="D18" i="111"/>
  <c r="C18" i="111"/>
  <c r="V18" i="111" s="1"/>
  <c r="S17" i="111"/>
  <c r="R17" i="111"/>
  <c r="Q17" i="111"/>
  <c r="P17" i="111"/>
  <c r="O17" i="111"/>
  <c r="N17" i="111"/>
  <c r="M17" i="111"/>
  <c r="L17" i="111"/>
  <c r="K17" i="111"/>
  <c r="AD17" i="111" s="1"/>
  <c r="J17" i="111"/>
  <c r="I17" i="111"/>
  <c r="H17" i="111"/>
  <c r="G17" i="111"/>
  <c r="F17" i="111"/>
  <c r="E17" i="111"/>
  <c r="D17" i="111"/>
  <c r="C17" i="111"/>
  <c r="V17" i="111" s="1"/>
  <c r="S16" i="111"/>
  <c r="R16" i="111"/>
  <c r="Q16" i="111"/>
  <c r="P16" i="111"/>
  <c r="O16" i="111"/>
  <c r="AH16" i="111" s="1"/>
  <c r="N16" i="111"/>
  <c r="M16" i="111"/>
  <c r="L16" i="111"/>
  <c r="K16" i="111"/>
  <c r="AD16" i="111" s="1"/>
  <c r="J16" i="111"/>
  <c r="I16" i="111"/>
  <c r="H16" i="111"/>
  <c r="G16" i="111"/>
  <c r="Z16" i="111" s="1"/>
  <c r="F16" i="111"/>
  <c r="E16" i="111"/>
  <c r="D16" i="111"/>
  <c r="C16" i="111"/>
  <c r="V16" i="111" s="1"/>
  <c r="AC15" i="111"/>
  <c r="S15" i="111"/>
  <c r="R15" i="111"/>
  <c r="AK15" i="111" s="1"/>
  <c r="Q15" i="111"/>
  <c r="AJ15" i="111" s="1"/>
  <c r="P15" i="111"/>
  <c r="O15" i="111"/>
  <c r="AH15" i="111" s="1"/>
  <c r="N15" i="111"/>
  <c r="M15" i="111"/>
  <c r="L15" i="111"/>
  <c r="K15" i="111"/>
  <c r="AD15" i="111" s="1"/>
  <c r="J15" i="111"/>
  <c r="I15" i="111"/>
  <c r="H15" i="111"/>
  <c r="G15" i="111"/>
  <c r="Z15" i="111" s="1"/>
  <c r="F15" i="111"/>
  <c r="E15" i="111"/>
  <c r="X15" i="111" s="1"/>
  <c r="D15" i="111"/>
  <c r="C15" i="111"/>
  <c r="V15" i="111" s="1"/>
  <c r="S14" i="111"/>
  <c r="R14" i="111"/>
  <c r="Q14" i="111"/>
  <c r="P14" i="111"/>
  <c r="O14" i="111"/>
  <c r="N14" i="111"/>
  <c r="M14" i="111"/>
  <c r="L14" i="111"/>
  <c r="K14" i="111"/>
  <c r="AD14" i="111" s="1"/>
  <c r="J14" i="111"/>
  <c r="I14" i="111"/>
  <c r="H14" i="111"/>
  <c r="G14" i="111"/>
  <c r="F14" i="111"/>
  <c r="Y14" i="111" s="1"/>
  <c r="E14" i="111"/>
  <c r="D14" i="111"/>
  <c r="C14" i="111"/>
  <c r="V14" i="111" s="1"/>
  <c r="S13" i="111"/>
  <c r="R13" i="111"/>
  <c r="Q13" i="111"/>
  <c r="P13" i="111"/>
  <c r="O13" i="111"/>
  <c r="N13" i="111"/>
  <c r="M13" i="111"/>
  <c r="L13" i="111"/>
  <c r="K13" i="111"/>
  <c r="AD13" i="111" s="1"/>
  <c r="J13" i="111"/>
  <c r="I13" i="111"/>
  <c r="H13" i="111"/>
  <c r="G13" i="111"/>
  <c r="F13" i="111"/>
  <c r="E13" i="111"/>
  <c r="D13" i="111"/>
  <c r="C13" i="111"/>
  <c r="V13" i="111" s="1"/>
  <c r="S12" i="111"/>
  <c r="R12" i="111"/>
  <c r="Q12" i="111"/>
  <c r="P12" i="111"/>
  <c r="O12" i="111"/>
  <c r="N12" i="111"/>
  <c r="M12" i="111"/>
  <c r="L12" i="111"/>
  <c r="K12" i="111"/>
  <c r="AD12" i="111" s="1"/>
  <c r="J12" i="111"/>
  <c r="I12" i="111"/>
  <c r="H12" i="111"/>
  <c r="G12" i="111"/>
  <c r="F12" i="111"/>
  <c r="E12" i="111"/>
  <c r="D12" i="111"/>
  <c r="C12" i="111"/>
  <c r="V12" i="111" s="1"/>
  <c r="S11" i="111"/>
  <c r="R11" i="111"/>
  <c r="AK11" i="111" s="1"/>
  <c r="Q11" i="111"/>
  <c r="P11" i="111"/>
  <c r="O11" i="111"/>
  <c r="AH11" i="111" s="1"/>
  <c r="N11" i="111"/>
  <c r="M11" i="111"/>
  <c r="L11" i="111"/>
  <c r="K11" i="111"/>
  <c r="AD11" i="111" s="1"/>
  <c r="J11" i="111"/>
  <c r="AC11" i="111" s="1"/>
  <c r="I11" i="111"/>
  <c r="H11" i="111"/>
  <c r="G11" i="111"/>
  <c r="Z11" i="111" s="1"/>
  <c r="F11" i="111"/>
  <c r="E11" i="111"/>
  <c r="D11" i="111"/>
  <c r="C11" i="111"/>
  <c r="V11" i="111" s="1"/>
  <c r="S10" i="111"/>
  <c r="R10" i="111"/>
  <c r="AK10" i="111" s="1"/>
  <c r="Q10" i="111"/>
  <c r="P10" i="111"/>
  <c r="O10" i="111"/>
  <c r="AH10" i="111" s="1"/>
  <c r="N10" i="111"/>
  <c r="AG10" i="111" s="1"/>
  <c r="M10" i="111"/>
  <c r="L10" i="111"/>
  <c r="K10" i="111"/>
  <c r="AD10" i="111" s="1"/>
  <c r="J10" i="111"/>
  <c r="AC10" i="111" s="1"/>
  <c r="I10" i="111"/>
  <c r="H10" i="111"/>
  <c r="G10" i="111"/>
  <c r="Z10" i="111" s="1"/>
  <c r="F10" i="111"/>
  <c r="Y10" i="111" s="1"/>
  <c r="E10" i="111"/>
  <c r="D10" i="111"/>
  <c r="C10" i="111"/>
  <c r="V10" i="111" s="1"/>
  <c r="S9" i="111"/>
  <c r="R9" i="111"/>
  <c r="Q9" i="111"/>
  <c r="P9" i="111"/>
  <c r="O9" i="111"/>
  <c r="N9" i="111"/>
  <c r="M9" i="111"/>
  <c r="L9" i="111"/>
  <c r="K9" i="111"/>
  <c r="AD9" i="111" s="1"/>
  <c r="J9" i="111"/>
  <c r="I9" i="111"/>
  <c r="H9" i="111"/>
  <c r="G9" i="111"/>
  <c r="F9" i="111"/>
  <c r="E9" i="111"/>
  <c r="D9" i="111"/>
  <c r="C9" i="111"/>
  <c r="V9" i="111" s="1"/>
  <c r="S8" i="111"/>
  <c r="R8" i="111"/>
  <c r="Q8" i="111"/>
  <c r="P8" i="111"/>
  <c r="O8" i="111"/>
  <c r="AH8" i="111" s="1"/>
  <c r="N8" i="111"/>
  <c r="M8" i="111"/>
  <c r="L8" i="111"/>
  <c r="K8" i="111"/>
  <c r="AD8" i="111" s="1"/>
  <c r="J8" i="111"/>
  <c r="I8" i="111"/>
  <c r="H8" i="111"/>
  <c r="G8" i="111"/>
  <c r="F8" i="111"/>
  <c r="E8" i="111"/>
  <c r="D8" i="111"/>
  <c r="C8" i="111"/>
  <c r="V8" i="111" s="1"/>
  <c r="AA7" i="111"/>
  <c r="S7" i="111"/>
  <c r="R7" i="111"/>
  <c r="Q7" i="111"/>
  <c r="P7" i="111"/>
  <c r="O7" i="111"/>
  <c r="N7" i="111"/>
  <c r="M7" i="111"/>
  <c r="L7" i="111"/>
  <c r="K7" i="111"/>
  <c r="AD7" i="111" s="1"/>
  <c r="J7" i="111"/>
  <c r="I7" i="111"/>
  <c r="H7" i="111"/>
  <c r="G7" i="111"/>
  <c r="F7" i="111"/>
  <c r="E7" i="111"/>
  <c r="D7" i="111"/>
  <c r="C7" i="111"/>
  <c r="V7" i="111" s="1"/>
  <c r="S6" i="111"/>
  <c r="R6" i="111"/>
  <c r="AK6" i="111" s="1"/>
  <c r="Q6" i="111"/>
  <c r="P6" i="111"/>
  <c r="O6" i="111"/>
  <c r="N6" i="111"/>
  <c r="M6" i="111"/>
  <c r="AF6" i="111" s="1"/>
  <c r="L6" i="111"/>
  <c r="K6" i="111"/>
  <c r="AD6" i="111" s="1"/>
  <c r="J6" i="111"/>
  <c r="AC6" i="111" s="1"/>
  <c r="I6" i="111"/>
  <c r="H6" i="111"/>
  <c r="G6" i="111"/>
  <c r="F6" i="111"/>
  <c r="E6" i="111"/>
  <c r="X6" i="111" s="1"/>
  <c r="D6" i="111"/>
  <c r="C6" i="111"/>
  <c r="V6" i="111" s="1"/>
  <c r="T212" i="100"/>
  <c r="S212" i="100"/>
  <c r="R212" i="100"/>
  <c r="Q212" i="100"/>
  <c r="P212" i="100"/>
  <c r="O212" i="100"/>
  <c r="N212" i="100"/>
  <c r="M212" i="100"/>
  <c r="L212" i="100"/>
  <c r="K212" i="100"/>
  <c r="J212" i="100"/>
  <c r="I212" i="100"/>
  <c r="H212" i="100"/>
  <c r="G212" i="100"/>
  <c r="F212" i="100"/>
  <c r="E212" i="100"/>
  <c r="D212" i="100"/>
  <c r="T211" i="100"/>
  <c r="S211" i="100"/>
  <c r="R211" i="100"/>
  <c r="Q211" i="100"/>
  <c r="P211" i="100"/>
  <c r="O211" i="100"/>
  <c r="N211" i="100"/>
  <c r="M211" i="100"/>
  <c r="L211" i="100"/>
  <c r="K211" i="100"/>
  <c r="J211" i="100"/>
  <c r="I211" i="100"/>
  <c r="H211" i="100"/>
  <c r="G211" i="100"/>
  <c r="F211" i="100"/>
  <c r="E211" i="100"/>
  <c r="D211" i="100"/>
  <c r="T210" i="100"/>
  <c r="S210" i="100"/>
  <c r="R210" i="100"/>
  <c r="Q210" i="100"/>
  <c r="P210" i="100"/>
  <c r="O210" i="100"/>
  <c r="N210" i="100"/>
  <c r="M210" i="100"/>
  <c r="L210" i="100"/>
  <c r="K210" i="100"/>
  <c r="J210" i="100"/>
  <c r="I210" i="100"/>
  <c r="H210" i="100"/>
  <c r="G210" i="100"/>
  <c r="F210" i="100"/>
  <c r="E210" i="100"/>
  <c r="D210" i="100"/>
  <c r="T209" i="100"/>
  <c r="S209" i="100"/>
  <c r="R209" i="100"/>
  <c r="Q209" i="100"/>
  <c r="P209" i="100"/>
  <c r="O209" i="100"/>
  <c r="N209" i="100"/>
  <c r="M209" i="100"/>
  <c r="L209" i="100"/>
  <c r="K209" i="100"/>
  <c r="J209" i="100"/>
  <c r="I209" i="100"/>
  <c r="H209" i="100"/>
  <c r="G209" i="100"/>
  <c r="F209" i="100"/>
  <c r="E209" i="100"/>
  <c r="D209" i="100"/>
  <c r="T208" i="100"/>
  <c r="S208" i="100"/>
  <c r="R208" i="100"/>
  <c r="Q208" i="100"/>
  <c r="P208" i="100"/>
  <c r="O208" i="100"/>
  <c r="N208" i="100"/>
  <c r="M208" i="100"/>
  <c r="L208" i="100"/>
  <c r="K208" i="100"/>
  <c r="J208" i="100"/>
  <c r="I208" i="100"/>
  <c r="H208" i="100"/>
  <c r="G208" i="100"/>
  <c r="F208" i="100"/>
  <c r="E208" i="100"/>
  <c r="D208" i="100"/>
  <c r="T207" i="100"/>
  <c r="S207" i="100"/>
  <c r="R207" i="100"/>
  <c r="Q207" i="100"/>
  <c r="P207" i="100"/>
  <c r="O207" i="100"/>
  <c r="N207" i="100"/>
  <c r="M207" i="100"/>
  <c r="L207" i="100"/>
  <c r="K207" i="100"/>
  <c r="J207" i="100"/>
  <c r="I207" i="100"/>
  <c r="H207" i="100"/>
  <c r="G207" i="100"/>
  <c r="F207" i="100"/>
  <c r="E207" i="100"/>
  <c r="D207" i="100"/>
  <c r="T206" i="100"/>
  <c r="S206" i="100"/>
  <c r="R206" i="100"/>
  <c r="Q206" i="100"/>
  <c r="P206" i="100"/>
  <c r="O206" i="100"/>
  <c r="N206" i="100"/>
  <c r="M206" i="100"/>
  <c r="L206" i="100"/>
  <c r="K206" i="100"/>
  <c r="J206" i="100"/>
  <c r="I206" i="100"/>
  <c r="H206" i="100"/>
  <c r="G206" i="100"/>
  <c r="F206" i="100"/>
  <c r="E206" i="100"/>
  <c r="D206" i="100"/>
  <c r="T205" i="100"/>
  <c r="S205" i="100"/>
  <c r="R205" i="100"/>
  <c r="Q205" i="100"/>
  <c r="P205" i="100"/>
  <c r="O205" i="100"/>
  <c r="N205" i="100"/>
  <c r="M205" i="100"/>
  <c r="L205" i="100"/>
  <c r="K205" i="100"/>
  <c r="J205" i="100"/>
  <c r="I205" i="100"/>
  <c r="H205" i="100"/>
  <c r="G205" i="100"/>
  <c r="F205" i="100"/>
  <c r="E205" i="100"/>
  <c r="D205" i="100"/>
  <c r="T204" i="100"/>
  <c r="E204" i="100"/>
  <c r="D204" i="100"/>
  <c r="T203" i="100"/>
  <c r="E203" i="100"/>
  <c r="D203" i="100"/>
  <c r="T202" i="100"/>
  <c r="S202" i="100"/>
  <c r="R202" i="100"/>
  <c r="Q202" i="100"/>
  <c r="P202" i="100"/>
  <c r="O202" i="100"/>
  <c r="Q204" i="100" s="1"/>
  <c r="N202" i="100"/>
  <c r="P203" i="100" s="1"/>
  <c r="M202" i="100"/>
  <c r="L202" i="100"/>
  <c r="N203" i="100" s="1"/>
  <c r="K202" i="100"/>
  <c r="J202" i="100"/>
  <c r="I202" i="100"/>
  <c r="H202" i="100"/>
  <c r="J203" i="100" s="1"/>
  <c r="G202" i="100"/>
  <c r="I203" i="100" s="1"/>
  <c r="F202" i="100"/>
  <c r="E202" i="100"/>
  <c r="D202" i="100"/>
  <c r="T201" i="100"/>
  <c r="S201" i="100"/>
  <c r="R201" i="100"/>
  <c r="Q201" i="100"/>
  <c r="P201" i="100"/>
  <c r="O201" i="100"/>
  <c r="N201" i="100"/>
  <c r="M201" i="100"/>
  <c r="L201" i="100"/>
  <c r="K201" i="100"/>
  <c r="J201" i="100"/>
  <c r="I201" i="100"/>
  <c r="H201" i="100"/>
  <c r="G201" i="100"/>
  <c r="F201" i="100"/>
  <c r="E201" i="100"/>
  <c r="D201" i="100"/>
  <c r="T200" i="100"/>
  <c r="S200" i="100"/>
  <c r="R200" i="100"/>
  <c r="Q200" i="100"/>
  <c r="P200" i="100"/>
  <c r="O200" i="100"/>
  <c r="N200" i="100"/>
  <c r="M200" i="100"/>
  <c r="L200" i="100"/>
  <c r="K200" i="100"/>
  <c r="J200" i="100"/>
  <c r="I200" i="100"/>
  <c r="H200" i="100"/>
  <c r="G200" i="100"/>
  <c r="F200" i="100"/>
  <c r="E200" i="100"/>
  <c r="D200" i="100"/>
  <c r="T199" i="100"/>
  <c r="G199" i="100"/>
  <c r="E199" i="100"/>
  <c r="D199" i="100"/>
  <c r="T198" i="100"/>
  <c r="E198" i="100"/>
  <c r="D198" i="100"/>
  <c r="T197" i="100"/>
  <c r="S197" i="100"/>
  <c r="R197" i="100"/>
  <c r="Q197" i="100"/>
  <c r="S199" i="100" s="1"/>
  <c r="P197" i="100"/>
  <c r="R199" i="100" s="1"/>
  <c r="O197" i="100"/>
  <c r="Q198" i="100" s="1"/>
  <c r="N197" i="100"/>
  <c r="P198" i="100" s="1"/>
  <c r="M197" i="100"/>
  <c r="L197" i="100"/>
  <c r="N199" i="100" s="1"/>
  <c r="K197" i="100"/>
  <c r="J197" i="100"/>
  <c r="L198" i="100" s="1"/>
  <c r="I197" i="100"/>
  <c r="K199" i="100" s="1"/>
  <c r="H197" i="100"/>
  <c r="J198" i="100" s="1"/>
  <c r="G197" i="100"/>
  <c r="F197" i="100"/>
  <c r="H199" i="100" s="1"/>
  <c r="E197" i="100"/>
  <c r="D197" i="100"/>
  <c r="F199" i="100" s="1"/>
  <c r="T196" i="100"/>
  <c r="S196" i="100"/>
  <c r="R196" i="100"/>
  <c r="Q196" i="100"/>
  <c r="P196" i="100"/>
  <c r="O196" i="100"/>
  <c r="N196" i="100"/>
  <c r="M196" i="100"/>
  <c r="L196" i="100"/>
  <c r="K196" i="100"/>
  <c r="J196" i="100"/>
  <c r="I196" i="100"/>
  <c r="H196" i="100"/>
  <c r="G196" i="100"/>
  <c r="F196" i="100"/>
  <c r="E196" i="100"/>
  <c r="D196" i="100"/>
  <c r="T195" i="100"/>
  <c r="S195" i="100"/>
  <c r="R195" i="100"/>
  <c r="Q195" i="100"/>
  <c r="P195" i="100"/>
  <c r="O195" i="100"/>
  <c r="N195" i="100"/>
  <c r="M195" i="100"/>
  <c r="L195" i="100"/>
  <c r="K195" i="100"/>
  <c r="J195" i="100"/>
  <c r="I195" i="100"/>
  <c r="H195" i="100"/>
  <c r="G195" i="100"/>
  <c r="F195" i="100"/>
  <c r="E195" i="100"/>
  <c r="D195" i="100"/>
  <c r="T194" i="100"/>
  <c r="S194" i="100"/>
  <c r="R194" i="100"/>
  <c r="Q194" i="100"/>
  <c r="P194" i="100"/>
  <c r="O194" i="100"/>
  <c r="N194" i="100"/>
  <c r="M194" i="100"/>
  <c r="L194" i="100"/>
  <c r="K194" i="100"/>
  <c r="J194" i="100"/>
  <c r="I194" i="100"/>
  <c r="H194" i="100"/>
  <c r="G194" i="100"/>
  <c r="F194" i="100"/>
  <c r="E194" i="100"/>
  <c r="D194" i="100"/>
  <c r="T193" i="100"/>
  <c r="S193" i="100"/>
  <c r="R193" i="100"/>
  <c r="Q193" i="100"/>
  <c r="P193" i="100"/>
  <c r="O193" i="100"/>
  <c r="N193" i="100"/>
  <c r="M193" i="100"/>
  <c r="L193" i="100"/>
  <c r="K193" i="100"/>
  <c r="J193" i="100"/>
  <c r="I193" i="100"/>
  <c r="H193" i="100"/>
  <c r="G193" i="100"/>
  <c r="F193" i="100"/>
  <c r="E193" i="100"/>
  <c r="D193" i="100"/>
  <c r="T192" i="100"/>
  <c r="S192" i="100"/>
  <c r="R192" i="100"/>
  <c r="Q192" i="100"/>
  <c r="P192" i="100"/>
  <c r="O192" i="100"/>
  <c r="N192" i="100"/>
  <c r="M192" i="100"/>
  <c r="L192" i="100"/>
  <c r="K192" i="100"/>
  <c r="J192" i="100"/>
  <c r="I192" i="100"/>
  <c r="H192" i="100"/>
  <c r="G192" i="100"/>
  <c r="F192" i="100"/>
  <c r="E192" i="100"/>
  <c r="D192" i="100"/>
  <c r="T191" i="100"/>
  <c r="S191" i="100"/>
  <c r="R191" i="100"/>
  <c r="Q191" i="100"/>
  <c r="P191" i="100"/>
  <c r="O191" i="100"/>
  <c r="N191" i="100"/>
  <c r="M191" i="100"/>
  <c r="L191" i="100"/>
  <c r="K191" i="100"/>
  <c r="J191" i="100"/>
  <c r="I191" i="100"/>
  <c r="H191" i="100"/>
  <c r="G191" i="100"/>
  <c r="F191" i="100"/>
  <c r="E191" i="100"/>
  <c r="D191" i="100"/>
  <c r="T190" i="100"/>
  <c r="S190" i="100"/>
  <c r="R190" i="100"/>
  <c r="Q190" i="100"/>
  <c r="P190" i="100"/>
  <c r="O190" i="100"/>
  <c r="N190" i="100"/>
  <c r="M190" i="100"/>
  <c r="L190" i="100"/>
  <c r="K190" i="100"/>
  <c r="J190" i="100"/>
  <c r="I190" i="100"/>
  <c r="H190" i="100"/>
  <c r="G190" i="100"/>
  <c r="F190" i="100"/>
  <c r="E190" i="100"/>
  <c r="D190" i="100"/>
  <c r="T189" i="100"/>
  <c r="S189" i="100"/>
  <c r="R189" i="100"/>
  <c r="Q189" i="100"/>
  <c r="P189" i="100"/>
  <c r="O189" i="100"/>
  <c r="N189" i="100"/>
  <c r="M189" i="100"/>
  <c r="L189" i="100"/>
  <c r="K189" i="100"/>
  <c r="J189" i="100"/>
  <c r="I189" i="100"/>
  <c r="H189" i="100"/>
  <c r="G189" i="100"/>
  <c r="F189" i="100"/>
  <c r="E189" i="100"/>
  <c r="D189" i="100"/>
  <c r="T188" i="100"/>
  <c r="S188" i="100"/>
  <c r="R188" i="100"/>
  <c r="Q188" i="100"/>
  <c r="P188" i="100"/>
  <c r="O188" i="100"/>
  <c r="N188" i="100"/>
  <c r="M188" i="100"/>
  <c r="L188" i="100"/>
  <c r="K188" i="100"/>
  <c r="J188" i="100"/>
  <c r="I188" i="100"/>
  <c r="H188" i="100"/>
  <c r="G188" i="100"/>
  <c r="F188" i="100"/>
  <c r="E188" i="100"/>
  <c r="D188" i="100"/>
  <c r="T187" i="100"/>
  <c r="S187" i="100"/>
  <c r="R187" i="100"/>
  <c r="Q187" i="100"/>
  <c r="P187" i="100"/>
  <c r="O187" i="100"/>
  <c r="N187" i="100"/>
  <c r="M187" i="100"/>
  <c r="L187" i="100"/>
  <c r="K187" i="100"/>
  <c r="J187" i="100"/>
  <c r="I187" i="100"/>
  <c r="H187" i="100"/>
  <c r="G187" i="100"/>
  <c r="F187" i="100"/>
  <c r="E187" i="100"/>
  <c r="D187" i="100"/>
  <c r="T186" i="100"/>
  <c r="S186" i="100"/>
  <c r="R186" i="100"/>
  <c r="Q186" i="100"/>
  <c r="P186" i="100"/>
  <c r="O186" i="100"/>
  <c r="N186" i="100"/>
  <c r="M186" i="100"/>
  <c r="L186" i="100"/>
  <c r="K186" i="100"/>
  <c r="J186" i="100"/>
  <c r="I186" i="100"/>
  <c r="H186" i="100"/>
  <c r="G186" i="100"/>
  <c r="F186" i="100"/>
  <c r="E186" i="100"/>
  <c r="D186" i="100"/>
  <c r="T185" i="100"/>
  <c r="S185" i="100"/>
  <c r="R185" i="100"/>
  <c r="Q185" i="100"/>
  <c r="P185" i="100"/>
  <c r="O185" i="100"/>
  <c r="N185" i="100"/>
  <c r="M185" i="100"/>
  <c r="L185" i="100"/>
  <c r="K185" i="100"/>
  <c r="J185" i="100"/>
  <c r="I185" i="100"/>
  <c r="H185" i="100"/>
  <c r="G185" i="100"/>
  <c r="F185" i="100"/>
  <c r="E185" i="100"/>
  <c r="D185" i="100"/>
  <c r="T184" i="100"/>
  <c r="S184" i="100"/>
  <c r="R184" i="100"/>
  <c r="Q184" i="100"/>
  <c r="P184" i="100"/>
  <c r="O184" i="100"/>
  <c r="N184" i="100"/>
  <c r="M184" i="100"/>
  <c r="L184" i="100"/>
  <c r="K184" i="100"/>
  <c r="J184" i="100"/>
  <c r="I184" i="100"/>
  <c r="H184" i="100"/>
  <c r="G184" i="100"/>
  <c r="F184" i="100"/>
  <c r="E184" i="100"/>
  <c r="D184" i="100"/>
  <c r="T183" i="100"/>
  <c r="S183" i="100"/>
  <c r="R183" i="100"/>
  <c r="Q183" i="100"/>
  <c r="P183" i="100"/>
  <c r="O183" i="100"/>
  <c r="N183" i="100"/>
  <c r="M183" i="100"/>
  <c r="L183" i="100"/>
  <c r="K183" i="100"/>
  <c r="J183" i="100"/>
  <c r="I183" i="100"/>
  <c r="H183" i="100"/>
  <c r="G183" i="100"/>
  <c r="F183" i="100"/>
  <c r="E183" i="100"/>
  <c r="D183" i="100"/>
  <c r="T182" i="100"/>
  <c r="S182" i="100"/>
  <c r="R182" i="100"/>
  <c r="Q182" i="100"/>
  <c r="P182" i="100"/>
  <c r="O182" i="100"/>
  <c r="N182" i="100"/>
  <c r="M182" i="100"/>
  <c r="L182" i="100"/>
  <c r="K182" i="100"/>
  <c r="J182" i="100"/>
  <c r="I182" i="100"/>
  <c r="H182" i="100"/>
  <c r="G182" i="100"/>
  <c r="F182" i="100"/>
  <c r="E182" i="100"/>
  <c r="D182" i="100"/>
  <c r="T181" i="100"/>
  <c r="S181" i="100"/>
  <c r="R181" i="100"/>
  <c r="Q181" i="100"/>
  <c r="P181" i="100"/>
  <c r="O181" i="100"/>
  <c r="N181" i="100"/>
  <c r="M181" i="100"/>
  <c r="L181" i="100"/>
  <c r="K181" i="100"/>
  <c r="J181" i="100"/>
  <c r="I181" i="100"/>
  <c r="H181" i="100"/>
  <c r="G181" i="100"/>
  <c r="F181" i="100"/>
  <c r="E181" i="100"/>
  <c r="D181" i="100"/>
  <c r="T180" i="100"/>
  <c r="S180" i="100"/>
  <c r="R180" i="100"/>
  <c r="Q180" i="100"/>
  <c r="P180" i="100"/>
  <c r="O180" i="100"/>
  <c r="N180" i="100"/>
  <c r="M180" i="100"/>
  <c r="L180" i="100"/>
  <c r="K180" i="100"/>
  <c r="J180" i="100"/>
  <c r="I180" i="100"/>
  <c r="H180" i="100"/>
  <c r="G180" i="100"/>
  <c r="F180" i="100"/>
  <c r="E180" i="100"/>
  <c r="D180" i="100"/>
  <c r="T179" i="100"/>
  <c r="S179" i="100"/>
  <c r="R179" i="100"/>
  <c r="Q179" i="100"/>
  <c r="P179" i="100"/>
  <c r="O179" i="100"/>
  <c r="N179" i="100"/>
  <c r="M179" i="100"/>
  <c r="L179" i="100"/>
  <c r="K179" i="100"/>
  <c r="J179" i="100"/>
  <c r="I179" i="100"/>
  <c r="H179" i="100"/>
  <c r="G179" i="100"/>
  <c r="F179" i="100"/>
  <c r="E179" i="100"/>
  <c r="D179" i="100"/>
  <c r="T178" i="100"/>
  <c r="S178" i="100"/>
  <c r="R178" i="100"/>
  <c r="Q178" i="100"/>
  <c r="P178" i="100"/>
  <c r="O178" i="100"/>
  <c r="N178" i="100"/>
  <c r="M178" i="100"/>
  <c r="L178" i="100"/>
  <c r="K178" i="100"/>
  <c r="J178" i="100"/>
  <c r="I178" i="100"/>
  <c r="H178" i="100"/>
  <c r="G178" i="100"/>
  <c r="F178" i="100"/>
  <c r="E178" i="100"/>
  <c r="D178" i="100"/>
  <c r="T177" i="100"/>
  <c r="S177" i="100"/>
  <c r="R177" i="100"/>
  <c r="Q177" i="100"/>
  <c r="P177" i="100"/>
  <c r="O177" i="100"/>
  <c r="N177" i="100"/>
  <c r="M177" i="100"/>
  <c r="L177" i="100"/>
  <c r="K177" i="100"/>
  <c r="J177" i="100"/>
  <c r="I177" i="100"/>
  <c r="H177" i="100"/>
  <c r="G177" i="100"/>
  <c r="F177" i="100"/>
  <c r="E177" i="100"/>
  <c r="D177" i="100"/>
  <c r="T176" i="100"/>
  <c r="S176" i="100"/>
  <c r="R176" i="100"/>
  <c r="Q176" i="100"/>
  <c r="P176" i="100"/>
  <c r="O176" i="100"/>
  <c r="N176" i="100"/>
  <c r="M176" i="100"/>
  <c r="L176" i="100"/>
  <c r="K176" i="100"/>
  <c r="J176" i="100"/>
  <c r="I176" i="100"/>
  <c r="H176" i="100"/>
  <c r="G176" i="100"/>
  <c r="F176" i="100"/>
  <c r="E176" i="100"/>
  <c r="D176" i="100"/>
  <c r="T175" i="100"/>
  <c r="S175" i="100"/>
  <c r="R175" i="100"/>
  <c r="Q175" i="100"/>
  <c r="P175" i="100"/>
  <c r="O175" i="100"/>
  <c r="N175" i="100"/>
  <c r="M175" i="100"/>
  <c r="L175" i="100"/>
  <c r="K175" i="100"/>
  <c r="J175" i="100"/>
  <c r="I175" i="100"/>
  <c r="H175" i="100"/>
  <c r="G175" i="100"/>
  <c r="F175" i="100"/>
  <c r="E175" i="100"/>
  <c r="D175" i="100"/>
  <c r="T174" i="100"/>
  <c r="S174" i="100"/>
  <c r="R174" i="100"/>
  <c r="Q174" i="100"/>
  <c r="P174" i="100"/>
  <c r="O174" i="100"/>
  <c r="N174" i="100"/>
  <c r="M174" i="100"/>
  <c r="L174" i="100"/>
  <c r="K174" i="100"/>
  <c r="J174" i="100"/>
  <c r="I174" i="100"/>
  <c r="H174" i="100"/>
  <c r="G174" i="100"/>
  <c r="F174" i="100"/>
  <c r="E174" i="100"/>
  <c r="D174" i="100"/>
  <c r="T173" i="100"/>
  <c r="S173" i="100"/>
  <c r="R173" i="100"/>
  <c r="Q173" i="100"/>
  <c r="P173" i="100"/>
  <c r="O173" i="100"/>
  <c r="N173" i="100"/>
  <c r="M173" i="100"/>
  <c r="L173" i="100"/>
  <c r="K173" i="100"/>
  <c r="J173" i="100"/>
  <c r="I173" i="100"/>
  <c r="H173" i="100"/>
  <c r="G173" i="100"/>
  <c r="F173" i="100"/>
  <c r="E173" i="100"/>
  <c r="D173" i="100"/>
  <c r="T172" i="100"/>
  <c r="S172" i="100"/>
  <c r="R172" i="100"/>
  <c r="Q172" i="100"/>
  <c r="P172" i="100"/>
  <c r="O172" i="100"/>
  <c r="N172" i="100"/>
  <c r="M172" i="100"/>
  <c r="L172" i="100"/>
  <c r="K172" i="100"/>
  <c r="J172" i="100"/>
  <c r="I172" i="100"/>
  <c r="H172" i="100"/>
  <c r="G172" i="100"/>
  <c r="F172" i="100"/>
  <c r="E172" i="100"/>
  <c r="D172" i="100"/>
  <c r="T171" i="100"/>
  <c r="S171" i="100"/>
  <c r="R171" i="100"/>
  <c r="Q171" i="100"/>
  <c r="P171" i="100"/>
  <c r="O171" i="100"/>
  <c r="N171" i="100"/>
  <c r="M171" i="100"/>
  <c r="L171" i="100"/>
  <c r="K171" i="100"/>
  <c r="J171" i="100"/>
  <c r="I171" i="100"/>
  <c r="H171" i="100"/>
  <c r="G171" i="100"/>
  <c r="F171" i="100"/>
  <c r="E171" i="100"/>
  <c r="D171" i="100"/>
  <c r="T170" i="100"/>
  <c r="S170" i="100"/>
  <c r="R170" i="100"/>
  <c r="Q170" i="100"/>
  <c r="P170" i="100"/>
  <c r="O170" i="100"/>
  <c r="N170" i="100"/>
  <c r="M170" i="100"/>
  <c r="L170" i="100"/>
  <c r="K170" i="100"/>
  <c r="J170" i="100"/>
  <c r="I170" i="100"/>
  <c r="H170" i="100"/>
  <c r="G170" i="100"/>
  <c r="F170" i="100"/>
  <c r="E170" i="100"/>
  <c r="D170" i="100"/>
  <c r="T169" i="100"/>
  <c r="S169" i="100"/>
  <c r="R169" i="100"/>
  <c r="Q169" i="100"/>
  <c r="P169" i="100"/>
  <c r="O169" i="100"/>
  <c r="N169" i="100"/>
  <c r="M169" i="100"/>
  <c r="L169" i="100"/>
  <c r="K169" i="100"/>
  <c r="J169" i="100"/>
  <c r="I169" i="100"/>
  <c r="H169" i="100"/>
  <c r="G169" i="100"/>
  <c r="F169" i="100"/>
  <c r="E169" i="100"/>
  <c r="D169" i="100"/>
  <c r="T168" i="100"/>
  <c r="S168" i="100"/>
  <c r="R168" i="100"/>
  <c r="Q168" i="100"/>
  <c r="P168" i="100"/>
  <c r="O168" i="100"/>
  <c r="N168" i="100"/>
  <c r="M168" i="100"/>
  <c r="L168" i="100"/>
  <c r="K168" i="100"/>
  <c r="J168" i="100"/>
  <c r="I168" i="100"/>
  <c r="H168" i="100"/>
  <c r="G168" i="100"/>
  <c r="F168" i="100"/>
  <c r="E168" i="100"/>
  <c r="D168" i="100"/>
  <c r="T167" i="100"/>
  <c r="S167" i="100"/>
  <c r="R167" i="100"/>
  <c r="Q167" i="100"/>
  <c r="P167" i="100"/>
  <c r="O167" i="100"/>
  <c r="N167" i="100"/>
  <c r="M167" i="100"/>
  <c r="L167" i="100"/>
  <c r="K167" i="100"/>
  <c r="J167" i="100"/>
  <c r="I167" i="100"/>
  <c r="H167" i="100"/>
  <c r="G167" i="100"/>
  <c r="F167" i="100"/>
  <c r="E167" i="100"/>
  <c r="D167" i="100"/>
  <c r="T166" i="100"/>
  <c r="S166" i="100"/>
  <c r="R166" i="100"/>
  <c r="Q166" i="100"/>
  <c r="P166" i="100"/>
  <c r="O166" i="100"/>
  <c r="N166" i="100"/>
  <c r="M166" i="100"/>
  <c r="L166" i="100"/>
  <c r="K166" i="100"/>
  <c r="J166" i="100"/>
  <c r="I166" i="100"/>
  <c r="H166" i="100"/>
  <c r="G166" i="100"/>
  <c r="F166" i="100"/>
  <c r="E166" i="100"/>
  <c r="D166" i="100"/>
  <c r="T165" i="100"/>
  <c r="S165" i="100"/>
  <c r="R165" i="100"/>
  <c r="Q165" i="100"/>
  <c r="P165" i="100"/>
  <c r="O165" i="100"/>
  <c r="N165" i="100"/>
  <c r="M165" i="100"/>
  <c r="L165" i="100"/>
  <c r="K165" i="100"/>
  <c r="J165" i="100"/>
  <c r="I165" i="100"/>
  <c r="H165" i="100"/>
  <c r="G165" i="100"/>
  <c r="F165" i="100"/>
  <c r="E165" i="100"/>
  <c r="D165" i="100"/>
  <c r="T164" i="100"/>
  <c r="S164" i="100"/>
  <c r="R164" i="100"/>
  <c r="Q164" i="100"/>
  <c r="P164" i="100"/>
  <c r="O164" i="100"/>
  <c r="N164" i="100"/>
  <c r="M164" i="100"/>
  <c r="L164" i="100"/>
  <c r="K164" i="100"/>
  <c r="J164" i="100"/>
  <c r="I164" i="100"/>
  <c r="H164" i="100"/>
  <c r="G164" i="100"/>
  <c r="F164" i="100"/>
  <c r="E164" i="100"/>
  <c r="D164" i="100"/>
  <c r="T163" i="100"/>
  <c r="S163" i="100"/>
  <c r="R163" i="100"/>
  <c r="Q163" i="100"/>
  <c r="P163" i="100"/>
  <c r="O163" i="100"/>
  <c r="N163" i="100"/>
  <c r="M163" i="100"/>
  <c r="L163" i="100"/>
  <c r="K163" i="100"/>
  <c r="J163" i="100"/>
  <c r="I163" i="100"/>
  <c r="H163" i="100"/>
  <c r="G163" i="100"/>
  <c r="F163" i="100"/>
  <c r="E163" i="100"/>
  <c r="D163" i="100"/>
  <c r="T162" i="100"/>
  <c r="S162" i="100"/>
  <c r="R162" i="100"/>
  <c r="Q162" i="100"/>
  <c r="P162" i="100"/>
  <c r="O162" i="100"/>
  <c r="N162" i="100"/>
  <c r="M162" i="100"/>
  <c r="L162" i="100"/>
  <c r="K162" i="100"/>
  <c r="J162" i="100"/>
  <c r="I162" i="100"/>
  <c r="H162" i="100"/>
  <c r="G162" i="100"/>
  <c r="F162" i="100"/>
  <c r="E162" i="100"/>
  <c r="D162" i="100"/>
  <c r="T161" i="100"/>
  <c r="S161" i="100"/>
  <c r="R161" i="100"/>
  <c r="Q161" i="100"/>
  <c r="P161" i="100"/>
  <c r="O161" i="100"/>
  <c r="N161" i="100"/>
  <c r="M161" i="100"/>
  <c r="L161" i="100"/>
  <c r="K161" i="100"/>
  <c r="J161" i="100"/>
  <c r="I161" i="100"/>
  <c r="H161" i="100"/>
  <c r="G161" i="100"/>
  <c r="F161" i="100"/>
  <c r="E161" i="100"/>
  <c r="D161" i="100"/>
  <c r="T160" i="100"/>
  <c r="S160" i="100"/>
  <c r="R160" i="100"/>
  <c r="Q160" i="100"/>
  <c r="P160" i="100"/>
  <c r="O160" i="100"/>
  <c r="N160" i="100"/>
  <c r="M160" i="100"/>
  <c r="L160" i="100"/>
  <c r="K160" i="100"/>
  <c r="J160" i="100"/>
  <c r="I160" i="100"/>
  <c r="H160" i="100"/>
  <c r="G160" i="100"/>
  <c r="F160" i="100"/>
  <c r="E160" i="100"/>
  <c r="D160" i="100"/>
  <c r="T159" i="100"/>
  <c r="S159" i="100"/>
  <c r="R159" i="100"/>
  <c r="Q159" i="100"/>
  <c r="P159" i="100"/>
  <c r="O159" i="100"/>
  <c r="N159" i="100"/>
  <c r="M159" i="100"/>
  <c r="L159" i="100"/>
  <c r="K159" i="100"/>
  <c r="J159" i="100"/>
  <c r="I159" i="100"/>
  <c r="H159" i="100"/>
  <c r="G159" i="100"/>
  <c r="F159" i="100"/>
  <c r="E159" i="100"/>
  <c r="D159" i="100"/>
  <c r="T158" i="100"/>
  <c r="S158" i="100"/>
  <c r="R158" i="100"/>
  <c r="Q158" i="100"/>
  <c r="P158" i="100"/>
  <c r="O158" i="100"/>
  <c r="N158" i="100"/>
  <c r="M158" i="100"/>
  <c r="L158" i="100"/>
  <c r="K158" i="100"/>
  <c r="J158" i="100"/>
  <c r="I158" i="100"/>
  <c r="H158" i="100"/>
  <c r="G158" i="100"/>
  <c r="AB158" i="100" s="1"/>
  <c r="F158" i="100"/>
  <c r="E158" i="100"/>
  <c r="D158" i="100"/>
  <c r="T157" i="100"/>
  <c r="S157" i="100"/>
  <c r="R157" i="100"/>
  <c r="Q157" i="100"/>
  <c r="P157" i="100"/>
  <c r="O157" i="100"/>
  <c r="N157" i="100"/>
  <c r="M157" i="100"/>
  <c r="L157" i="100"/>
  <c r="K157" i="100"/>
  <c r="J157" i="100"/>
  <c r="I157" i="100"/>
  <c r="H157" i="100"/>
  <c r="G157" i="100"/>
  <c r="F157" i="100"/>
  <c r="E157" i="100"/>
  <c r="D157" i="100"/>
  <c r="T156" i="100"/>
  <c r="S156" i="100"/>
  <c r="R156" i="100"/>
  <c r="Q156" i="100"/>
  <c r="P156" i="100"/>
  <c r="O156" i="100"/>
  <c r="N156" i="100"/>
  <c r="M156" i="100"/>
  <c r="L156" i="100"/>
  <c r="K156" i="100"/>
  <c r="J156" i="100"/>
  <c r="I156" i="100"/>
  <c r="H156" i="100"/>
  <c r="G156" i="100"/>
  <c r="F156" i="100"/>
  <c r="E156" i="100"/>
  <c r="D156" i="100"/>
  <c r="T155" i="100"/>
  <c r="S155" i="100"/>
  <c r="R155" i="100"/>
  <c r="Q155" i="100"/>
  <c r="P155" i="100"/>
  <c r="O155" i="100"/>
  <c r="N155" i="100"/>
  <c r="M155" i="100"/>
  <c r="L155" i="100"/>
  <c r="K155" i="100"/>
  <c r="J155" i="100"/>
  <c r="I155" i="100"/>
  <c r="H155" i="100"/>
  <c r="G155" i="100"/>
  <c r="F155" i="100"/>
  <c r="E155" i="100"/>
  <c r="D155" i="100"/>
  <c r="T154" i="100"/>
  <c r="S154" i="100"/>
  <c r="R154" i="100"/>
  <c r="Q154" i="100"/>
  <c r="P154" i="100"/>
  <c r="O154" i="100"/>
  <c r="N154" i="100"/>
  <c r="M154" i="100"/>
  <c r="L154" i="100"/>
  <c r="K154" i="100"/>
  <c r="J154" i="100"/>
  <c r="I154" i="100"/>
  <c r="H154" i="100"/>
  <c r="G154" i="100"/>
  <c r="F154" i="100"/>
  <c r="E154" i="100"/>
  <c r="D154" i="100"/>
  <c r="T153" i="100"/>
  <c r="S153" i="100"/>
  <c r="R153" i="100"/>
  <c r="Q153" i="100"/>
  <c r="P153" i="100"/>
  <c r="O153" i="100"/>
  <c r="N153" i="100"/>
  <c r="M153" i="100"/>
  <c r="L153" i="100"/>
  <c r="K153" i="100"/>
  <c r="J153" i="100"/>
  <c r="I153" i="100"/>
  <c r="H153" i="100"/>
  <c r="G153" i="100"/>
  <c r="F153" i="100"/>
  <c r="E153" i="100"/>
  <c r="D153" i="100"/>
  <c r="T152" i="100"/>
  <c r="S152" i="100"/>
  <c r="R152" i="100"/>
  <c r="Q152" i="100"/>
  <c r="P152" i="100"/>
  <c r="O152" i="100"/>
  <c r="N152" i="100"/>
  <c r="M152" i="100"/>
  <c r="L152" i="100"/>
  <c r="K152" i="100"/>
  <c r="J152" i="100"/>
  <c r="I152" i="100"/>
  <c r="H152" i="100"/>
  <c r="G152" i="100"/>
  <c r="F152" i="100"/>
  <c r="E152" i="100"/>
  <c r="D152" i="100"/>
  <c r="T151" i="100"/>
  <c r="S151" i="100"/>
  <c r="R151" i="100"/>
  <c r="Q151" i="100"/>
  <c r="P151" i="100"/>
  <c r="O151" i="100"/>
  <c r="N151" i="100"/>
  <c r="M151" i="100"/>
  <c r="L151" i="100"/>
  <c r="K151" i="100"/>
  <c r="J151" i="100"/>
  <c r="I151" i="100"/>
  <c r="H151" i="100"/>
  <c r="G151" i="100"/>
  <c r="F151" i="100"/>
  <c r="E151" i="100"/>
  <c r="D151" i="100"/>
  <c r="T150" i="100"/>
  <c r="S150" i="100"/>
  <c r="R150" i="100"/>
  <c r="Q150" i="100"/>
  <c r="P150" i="100"/>
  <c r="O150" i="100"/>
  <c r="N150" i="100"/>
  <c r="M150" i="100"/>
  <c r="L150" i="100"/>
  <c r="K150" i="100"/>
  <c r="J150" i="100"/>
  <c r="I150" i="100"/>
  <c r="H150" i="100"/>
  <c r="G150" i="100"/>
  <c r="F150" i="100"/>
  <c r="E150" i="100"/>
  <c r="D150" i="100"/>
  <c r="T149" i="100"/>
  <c r="S149" i="100"/>
  <c r="R149" i="100"/>
  <c r="Q149" i="100"/>
  <c r="P149" i="100"/>
  <c r="O149" i="100"/>
  <c r="N149" i="100"/>
  <c r="M149" i="100"/>
  <c r="L149" i="100"/>
  <c r="K149" i="100"/>
  <c r="J149" i="100"/>
  <c r="I149" i="100"/>
  <c r="H149" i="100"/>
  <c r="G149" i="100"/>
  <c r="F149" i="100"/>
  <c r="E149" i="100"/>
  <c r="D149" i="100"/>
  <c r="T148" i="100"/>
  <c r="S148" i="100"/>
  <c r="R148" i="100"/>
  <c r="Q148" i="100"/>
  <c r="P148" i="100"/>
  <c r="O148" i="100"/>
  <c r="N148" i="100"/>
  <c r="M148" i="100"/>
  <c r="L148" i="100"/>
  <c r="K148" i="100"/>
  <c r="J148" i="100"/>
  <c r="I148" i="100"/>
  <c r="H148" i="100"/>
  <c r="G148" i="100"/>
  <c r="F148" i="100"/>
  <c r="E148" i="100"/>
  <c r="D148" i="100"/>
  <c r="T147" i="100"/>
  <c r="S147" i="100"/>
  <c r="R147" i="100"/>
  <c r="Q147" i="100"/>
  <c r="P147" i="100"/>
  <c r="O147" i="100"/>
  <c r="N147" i="100"/>
  <c r="M147" i="100"/>
  <c r="L147" i="100"/>
  <c r="K147" i="100"/>
  <c r="J147" i="100"/>
  <c r="I147" i="100"/>
  <c r="H147" i="100"/>
  <c r="G147" i="100"/>
  <c r="F147" i="100"/>
  <c r="E147" i="100"/>
  <c r="D147" i="100"/>
  <c r="T142" i="100"/>
  <c r="S142" i="100" a="1"/>
  <c r="S142" i="100" s="1"/>
  <c r="R142" i="100" a="1"/>
  <c r="R142" i="100"/>
  <c r="Q142" i="100" a="1"/>
  <c r="Q142" i="100" s="1"/>
  <c r="P142" i="100" a="1"/>
  <c r="P142" i="100" s="1"/>
  <c r="O142" i="100" a="1"/>
  <c r="O142" i="100" s="1"/>
  <c r="N142" i="100" a="1"/>
  <c r="N142" i="100" s="1"/>
  <c r="M142" i="100" a="1"/>
  <c r="M142" i="100" s="1"/>
  <c r="L142" i="100" a="1"/>
  <c r="L142" i="100" s="1"/>
  <c r="K142" i="100" a="1"/>
  <c r="K142" i="100" s="1"/>
  <c r="J142" i="100" a="1"/>
  <c r="J142" i="100"/>
  <c r="I142" i="100" a="1"/>
  <c r="I142" i="100" s="1"/>
  <c r="H142" i="100" a="1"/>
  <c r="H142" i="100" s="1"/>
  <c r="G142" i="100" a="1"/>
  <c r="G142" i="100" s="1"/>
  <c r="F142" i="100" a="1"/>
  <c r="F142" i="100" s="1"/>
  <c r="E142" i="100" a="1"/>
  <c r="E142" i="100" s="1"/>
  <c r="D142" i="100" a="1"/>
  <c r="D142" i="100" s="1"/>
  <c r="T141" i="100" a="1"/>
  <c r="T141" i="100" s="1"/>
  <c r="S141" i="100" a="1"/>
  <c r="S141" i="100" s="1"/>
  <c r="R141" i="100" a="1"/>
  <c r="R141" i="100" s="1"/>
  <c r="Q141" i="100" a="1"/>
  <c r="Q141" i="100" s="1"/>
  <c r="P141" i="100" a="1"/>
  <c r="P141" i="100" s="1"/>
  <c r="O141" i="100" a="1"/>
  <c r="O141" i="100" s="1"/>
  <c r="N141" i="100" a="1"/>
  <c r="N141" i="100" s="1"/>
  <c r="M141" i="100" a="1"/>
  <c r="M141" i="100" s="1"/>
  <c r="L141" i="100" a="1"/>
  <c r="L141" i="100" s="1"/>
  <c r="K141" i="100" a="1"/>
  <c r="K141" i="100" s="1"/>
  <c r="J141" i="100" a="1"/>
  <c r="J141" i="100" s="1"/>
  <c r="I141" i="100" a="1"/>
  <c r="I141" i="100" s="1"/>
  <c r="H141" i="100" a="1"/>
  <c r="H141" i="100" s="1"/>
  <c r="G141" i="100" a="1"/>
  <c r="G141" i="100" s="1"/>
  <c r="F141" i="100" a="1"/>
  <c r="F141" i="100" s="1"/>
  <c r="E141" i="100" a="1"/>
  <c r="E141" i="100" s="1"/>
  <c r="D141" i="100" a="1"/>
  <c r="D141" i="100" s="1"/>
  <c r="T140" i="100"/>
  <c r="S140" i="100"/>
  <c r="R140" i="100"/>
  <c r="Q140" i="100"/>
  <c r="P140" i="100"/>
  <c r="O140" i="100"/>
  <c r="N140" i="100"/>
  <c r="M140" i="100"/>
  <c r="L140" i="100"/>
  <c r="K140" i="100"/>
  <c r="J140" i="100"/>
  <c r="I140" i="100"/>
  <c r="H140" i="100"/>
  <c r="G140" i="100"/>
  <c r="F140" i="100"/>
  <c r="E140" i="100"/>
  <c r="D140" i="100"/>
  <c r="T139" i="100"/>
  <c r="S139" i="100" a="1"/>
  <c r="S139" i="100" s="1"/>
  <c r="R139" i="100" a="1"/>
  <c r="R139" i="100" s="1"/>
  <c r="Q139" i="100" a="1"/>
  <c r="Q139" i="100" s="1"/>
  <c r="P139" i="100" a="1"/>
  <c r="P139" i="100" s="1"/>
  <c r="O139" i="100" a="1"/>
  <c r="O139" i="100" s="1"/>
  <c r="N139" i="100" a="1"/>
  <c r="N139" i="100" s="1"/>
  <c r="M139" i="100" a="1"/>
  <c r="M139" i="100" s="1"/>
  <c r="L139" i="100" a="1"/>
  <c r="L139" i="100" s="1"/>
  <c r="K139" i="100" a="1"/>
  <c r="K139" i="100" s="1"/>
  <c r="J139" i="100" a="1"/>
  <c r="J139" i="100" s="1"/>
  <c r="I139" i="100" a="1"/>
  <c r="I139" i="100" s="1"/>
  <c r="H139" i="100" a="1"/>
  <c r="H139" i="100" s="1"/>
  <c r="G139" i="100" a="1"/>
  <c r="G139" i="100" s="1"/>
  <c r="F139" i="100" a="1"/>
  <c r="F139" i="100" s="1"/>
  <c r="E139" i="100" a="1"/>
  <c r="E139" i="100" s="1"/>
  <c r="D139" i="100" a="1"/>
  <c r="D139" i="100"/>
  <c r="T138" i="100"/>
  <c r="S138" i="100" a="1"/>
  <c r="S138" i="100"/>
  <c r="R138" i="100" a="1"/>
  <c r="R138" i="100" s="1"/>
  <c r="Q138" i="100" a="1"/>
  <c r="Q138" i="100" s="1"/>
  <c r="P138" i="100" a="1"/>
  <c r="P138" i="100" s="1"/>
  <c r="O138" i="100" a="1"/>
  <c r="O138" i="100" s="1"/>
  <c r="N138" i="100" a="1"/>
  <c r="N138" i="100" s="1"/>
  <c r="M138" i="100" a="1"/>
  <c r="M138" i="100" s="1"/>
  <c r="L138" i="100" a="1"/>
  <c r="L138" i="100" s="1"/>
  <c r="K138" i="100" a="1"/>
  <c r="K138" i="100" s="1"/>
  <c r="J138" i="100" a="1"/>
  <c r="J138" i="100" s="1"/>
  <c r="I138" i="100" a="1"/>
  <c r="I138" i="100" s="1"/>
  <c r="H138" i="100" a="1"/>
  <c r="H138" i="100" s="1"/>
  <c r="G138" i="100" a="1"/>
  <c r="G138" i="100" s="1"/>
  <c r="F138" i="100" a="1"/>
  <c r="F138" i="100" s="1"/>
  <c r="E138" i="100" a="1"/>
  <c r="E138" i="100" s="1"/>
  <c r="D138" i="100" a="1"/>
  <c r="D138" i="100" s="1"/>
  <c r="T137" i="100"/>
  <c r="S137" i="100" a="1"/>
  <c r="S137" i="100" s="1"/>
  <c r="R137" i="100" a="1"/>
  <c r="R137" i="100" s="1"/>
  <c r="Q137" i="100" a="1"/>
  <c r="Q137" i="100" s="1"/>
  <c r="P137" i="100" a="1"/>
  <c r="P137" i="100" s="1"/>
  <c r="O137" i="100" a="1"/>
  <c r="O137" i="100"/>
  <c r="N137" i="100" a="1"/>
  <c r="N137" i="100" s="1"/>
  <c r="M137" i="100" a="1"/>
  <c r="M137" i="100" s="1"/>
  <c r="L137" i="100" a="1"/>
  <c r="L137" i="100" s="1"/>
  <c r="K137" i="100" a="1"/>
  <c r="K137" i="100"/>
  <c r="J137" i="100" a="1"/>
  <c r="J137" i="100" s="1"/>
  <c r="I137" i="100" a="1"/>
  <c r="I137" i="100" s="1"/>
  <c r="H137" i="100" a="1"/>
  <c r="H137" i="100" s="1"/>
  <c r="G137" i="100" a="1"/>
  <c r="G137" i="100" s="1"/>
  <c r="F137" i="100" a="1"/>
  <c r="F137" i="100" s="1"/>
  <c r="E137" i="100" a="1"/>
  <c r="E137" i="100" s="1"/>
  <c r="D137" i="100" a="1"/>
  <c r="D137" i="100" s="1"/>
  <c r="T136" i="100" a="1"/>
  <c r="T136" i="100" s="1"/>
  <c r="S136" i="100" a="1"/>
  <c r="S136" i="100" s="1"/>
  <c r="R136" i="100" a="1"/>
  <c r="R136" i="100" s="1"/>
  <c r="Q136" i="100" a="1"/>
  <c r="Q136" i="100" s="1"/>
  <c r="P136" i="100" a="1"/>
  <c r="P136" i="100" s="1"/>
  <c r="O136" i="100" a="1"/>
  <c r="O136" i="100" s="1"/>
  <c r="N136" i="100" a="1"/>
  <c r="N136" i="100"/>
  <c r="M136" i="100" a="1"/>
  <c r="M136" i="100" s="1"/>
  <c r="L136" i="100" a="1"/>
  <c r="L136" i="100" s="1"/>
  <c r="K136" i="100" a="1"/>
  <c r="K136" i="100" s="1"/>
  <c r="J136" i="100" a="1"/>
  <c r="J136" i="100" s="1"/>
  <c r="I136" i="100" a="1"/>
  <c r="I136" i="100"/>
  <c r="H136" i="100" a="1"/>
  <c r="H136" i="100" s="1"/>
  <c r="G136" i="100" a="1"/>
  <c r="G136" i="100" s="1"/>
  <c r="F136" i="100" a="1"/>
  <c r="F136" i="100" s="1"/>
  <c r="E136" i="100" a="1"/>
  <c r="E136" i="100" s="1"/>
  <c r="D136" i="100" a="1"/>
  <c r="D136" i="100" s="1"/>
  <c r="T135" i="100" a="1"/>
  <c r="T135" i="100"/>
  <c r="S135" i="100" a="1"/>
  <c r="S135" i="100" s="1"/>
  <c r="R135" i="100" a="1"/>
  <c r="R135" i="100" s="1"/>
  <c r="Q135" i="100" a="1"/>
  <c r="Q135" i="100" s="1"/>
  <c r="P135" i="100" a="1"/>
  <c r="P135" i="100" s="1"/>
  <c r="O135" i="100" a="1"/>
  <c r="O135" i="100" s="1"/>
  <c r="N135" i="100" a="1"/>
  <c r="N135" i="100" s="1"/>
  <c r="M135" i="100" a="1"/>
  <c r="M135" i="100" s="1"/>
  <c r="L135" i="100" a="1"/>
  <c r="L135" i="100" s="1"/>
  <c r="K135" i="100" a="1"/>
  <c r="K135" i="100" s="1"/>
  <c r="J135" i="100" a="1"/>
  <c r="J135" i="100" s="1"/>
  <c r="I135" i="100" a="1"/>
  <c r="I135" i="100" s="1"/>
  <c r="H135" i="100" a="1"/>
  <c r="H135" i="100" s="1"/>
  <c r="G135" i="100" a="1"/>
  <c r="G135" i="100" s="1"/>
  <c r="F135" i="100" a="1"/>
  <c r="F135" i="100"/>
  <c r="E135" i="100" a="1"/>
  <c r="E135" i="100" s="1"/>
  <c r="D135" i="100" a="1"/>
  <c r="D135" i="100" s="1"/>
  <c r="T134" i="100" a="1"/>
  <c r="T134" i="100" s="1"/>
  <c r="S134" i="100" a="1"/>
  <c r="S134" i="100" s="1"/>
  <c r="R134" i="100" a="1"/>
  <c r="R134" i="100" s="1"/>
  <c r="Q134" i="100" a="1"/>
  <c r="Q134" i="100" s="1"/>
  <c r="P134" i="100" a="1"/>
  <c r="P134" i="100" s="1"/>
  <c r="O134" i="100" a="1"/>
  <c r="O134" i="100" s="1"/>
  <c r="N134" i="100" a="1"/>
  <c r="N134" i="100" s="1"/>
  <c r="M134" i="100" a="1"/>
  <c r="M134" i="100" s="1"/>
  <c r="L134" i="100" a="1"/>
  <c r="L134" i="100" s="1"/>
  <c r="K134" i="100" a="1"/>
  <c r="K134" i="100" s="1"/>
  <c r="J134" i="100" a="1"/>
  <c r="J134" i="100" s="1"/>
  <c r="I134" i="100" a="1"/>
  <c r="I134" i="100" s="1"/>
  <c r="H134" i="100" a="1"/>
  <c r="H134" i="100"/>
  <c r="G134" i="100" a="1"/>
  <c r="G134" i="100" s="1"/>
  <c r="F134" i="100" a="1"/>
  <c r="F134" i="100" s="1"/>
  <c r="E134" i="100" a="1"/>
  <c r="E134" i="100" s="1"/>
  <c r="D134" i="100" a="1"/>
  <c r="D134" i="100" s="1"/>
  <c r="T133" i="100" a="1"/>
  <c r="T133" i="100" s="1"/>
  <c r="S133" i="100" a="1"/>
  <c r="S133" i="100" s="1"/>
  <c r="R133" i="100" a="1"/>
  <c r="R133" i="100" s="1"/>
  <c r="Q133" i="100" a="1"/>
  <c r="Q133" i="100" s="1"/>
  <c r="P133" i="100" a="1"/>
  <c r="P133" i="100" s="1"/>
  <c r="O133" i="100" a="1"/>
  <c r="O133" i="100" s="1"/>
  <c r="N133" i="100" a="1"/>
  <c r="N133" i="100" s="1"/>
  <c r="M133" i="100" a="1"/>
  <c r="M133" i="100" s="1"/>
  <c r="L133" i="100" a="1"/>
  <c r="L133" i="100"/>
  <c r="K133" i="100" a="1"/>
  <c r="K133" i="100" s="1"/>
  <c r="J133" i="100" a="1"/>
  <c r="J133" i="100" s="1"/>
  <c r="I133" i="100" a="1"/>
  <c r="I133" i="100" s="1"/>
  <c r="H133" i="100" a="1"/>
  <c r="H133" i="100" s="1"/>
  <c r="G133" i="100" a="1"/>
  <c r="G133" i="100" s="1"/>
  <c r="F133" i="100" a="1"/>
  <c r="F133" i="100" s="1"/>
  <c r="E133" i="100" a="1"/>
  <c r="E133" i="100" s="1"/>
  <c r="D133" i="100" a="1"/>
  <c r="D133" i="100" s="1"/>
  <c r="T132" i="100"/>
  <c r="S132" i="100" a="1"/>
  <c r="S132" i="100" s="1"/>
  <c r="R132" i="100" a="1"/>
  <c r="R132" i="100" s="1"/>
  <c r="Q132" i="100" a="1"/>
  <c r="Q132" i="100" s="1"/>
  <c r="P132" i="100" a="1"/>
  <c r="P132" i="100" s="1"/>
  <c r="O132" i="100" a="1"/>
  <c r="O132" i="100" s="1"/>
  <c r="N132" i="100" a="1"/>
  <c r="N132" i="100" s="1"/>
  <c r="M132" i="100" a="1"/>
  <c r="M132" i="100" s="1"/>
  <c r="L132" i="100" a="1"/>
  <c r="L132" i="100" s="1"/>
  <c r="K132" i="100" a="1"/>
  <c r="K132" i="100" s="1"/>
  <c r="J132" i="100" a="1"/>
  <c r="J132" i="100" s="1"/>
  <c r="I132" i="100" a="1"/>
  <c r="I132" i="100" s="1"/>
  <c r="H132" i="100" a="1"/>
  <c r="H132" i="100" s="1"/>
  <c r="G132" i="100" a="1"/>
  <c r="G132" i="100" s="1"/>
  <c r="F132" i="100" a="1"/>
  <c r="F132" i="100" s="1"/>
  <c r="E132" i="100" a="1"/>
  <c r="E132" i="100" s="1"/>
  <c r="D132" i="100" a="1"/>
  <c r="D132" i="100" s="1"/>
  <c r="T131" i="100" a="1"/>
  <c r="T131" i="100" s="1"/>
  <c r="S131" i="100" a="1"/>
  <c r="S131" i="100" s="1"/>
  <c r="R131" i="100" a="1"/>
  <c r="R131" i="100" s="1"/>
  <c r="Q131" i="100" a="1"/>
  <c r="Q131" i="100" s="1"/>
  <c r="P131" i="100" a="1"/>
  <c r="P131" i="100" s="1"/>
  <c r="O131" i="100" a="1"/>
  <c r="O131" i="100" s="1"/>
  <c r="N131" i="100" a="1"/>
  <c r="N131" i="100" s="1"/>
  <c r="M131" i="100" a="1"/>
  <c r="M131" i="100" s="1"/>
  <c r="L131" i="100" a="1"/>
  <c r="L131" i="100" s="1"/>
  <c r="K131" i="100" a="1"/>
  <c r="K131" i="100" s="1"/>
  <c r="J131" i="100" a="1"/>
  <c r="J131" i="100" s="1"/>
  <c r="I131" i="100" a="1"/>
  <c r="I131" i="100" s="1"/>
  <c r="H131" i="100" a="1"/>
  <c r="H131" i="100" s="1"/>
  <c r="G131" i="100" a="1"/>
  <c r="G131" i="100" s="1"/>
  <c r="F131" i="100" a="1"/>
  <c r="F131" i="100" s="1"/>
  <c r="E131" i="100" a="1"/>
  <c r="E131" i="100" s="1"/>
  <c r="D131" i="100" a="1"/>
  <c r="D131" i="100" s="1"/>
  <c r="T130" i="100" a="1"/>
  <c r="T130" i="100" s="1"/>
  <c r="S130" i="100" a="1"/>
  <c r="S130" i="100" s="1"/>
  <c r="R130" i="100" a="1"/>
  <c r="R130" i="100" s="1"/>
  <c r="Q130" i="100" a="1"/>
  <c r="Q130" i="100" s="1"/>
  <c r="P130" i="100" a="1"/>
  <c r="P130" i="100" s="1"/>
  <c r="O130" i="100" a="1"/>
  <c r="O130" i="100" s="1"/>
  <c r="N130" i="100" a="1"/>
  <c r="N130" i="100" s="1"/>
  <c r="M130" i="100" a="1"/>
  <c r="M130" i="100" s="1"/>
  <c r="L130" i="100" a="1"/>
  <c r="L130" i="100" s="1"/>
  <c r="K130" i="100" a="1"/>
  <c r="K130" i="100" s="1"/>
  <c r="J130" i="100" a="1"/>
  <c r="J130" i="100" s="1"/>
  <c r="I130" i="100" a="1"/>
  <c r="I130" i="100" s="1"/>
  <c r="H130" i="100" a="1"/>
  <c r="H130" i="100" s="1"/>
  <c r="G130" i="100" a="1"/>
  <c r="G130" i="100" s="1"/>
  <c r="F130" i="100" a="1"/>
  <c r="F130" i="100" s="1"/>
  <c r="E130" i="100" a="1"/>
  <c r="E130" i="100" s="1"/>
  <c r="D130" i="100" a="1"/>
  <c r="D130" i="100" s="1"/>
  <c r="T129" i="100" a="1"/>
  <c r="T129" i="100" s="1"/>
  <c r="S129" i="100" a="1"/>
  <c r="S129" i="100" s="1"/>
  <c r="R129" i="100" a="1"/>
  <c r="R129" i="100" s="1"/>
  <c r="Q129" i="100" a="1"/>
  <c r="Q129" i="100" s="1"/>
  <c r="P129" i="100" a="1"/>
  <c r="P129" i="100" s="1"/>
  <c r="O129" i="100" a="1"/>
  <c r="O129" i="100" s="1"/>
  <c r="N129" i="100" a="1"/>
  <c r="N129" i="100" s="1"/>
  <c r="M129" i="100" a="1"/>
  <c r="M129" i="100"/>
  <c r="L129" i="100" a="1"/>
  <c r="L129" i="100" s="1"/>
  <c r="K129" i="100" a="1"/>
  <c r="K129" i="100" s="1"/>
  <c r="J129" i="100" a="1"/>
  <c r="J129" i="100" s="1"/>
  <c r="I129" i="100" a="1"/>
  <c r="I129" i="100" s="1"/>
  <c r="H129" i="100" a="1"/>
  <c r="H129" i="100" s="1"/>
  <c r="G129" i="100" a="1"/>
  <c r="G129" i="100" s="1"/>
  <c r="F129" i="100" a="1"/>
  <c r="F129" i="100" s="1"/>
  <c r="E129" i="100" a="1"/>
  <c r="E129" i="100" s="1"/>
  <c r="D129" i="100" a="1"/>
  <c r="D129" i="100" s="1"/>
  <c r="T128" i="100" a="1"/>
  <c r="T128" i="100" s="1"/>
  <c r="S128" i="100" a="1"/>
  <c r="S128" i="100" s="1"/>
  <c r="R128" i="100" a="1"/>
  <c r="R128" i="100" s="1"/>
  <c r="Q128" i="100" a="1"/>
  <c r="Q128" i="100" s="1"/>
  <c r="P128" i="100" a="1"/>
  <c r="P128" i="100" s="1"/>
  <c r="O128" i="100" a="1"/>
  <c r="O128" i="100" s="1"/>
  <c r="N128" i="100" a="1"/>
  <c r="N128" i="100" s="1"/>
  <c r="M128" i="100" a="1"/>
  <c r="M128" i="100" s="1"/>
  <c r="L128" i="100" a="1"/>
  <c r="L128" i="100" s="1"/>
  <c r="K128" i="100" a="1"/>
  <c r="K128" i="100" s="1"/>
  <c r="J128" i="100" a="1"/>
  <c r="J128" i="100" s="1"/>
  <c r="I128" i="100" a="1"/>
  <c r="I128" i="100" s="1"/>
  <c r="H128" i="100" a="1"/>
  <c r="H128" i="100" s="1"/>
  <c r="G128" i="100" a="1"/>
  <c r="G128" i="100" s="1"/>
  <c r="F128" i="100" a="1"/>
  <c r="F128" i="100" s="1"/>
  <c r="E128" i="100" a="1"/>
  <c r="E128" i="100" s="1"/>
  <c r="D128" i="100" a="1"/>
  <c r="D128" i="100" s="1"/>
  <c r="T127" i="100"/>
  <c r="S127" i="100" a="1"/>
  <c r="S127" i="100" s="1"/>
  <c r="R127" i="100" a="1"/>
  <c r="R127" i="100" s="1"/>
  <c r="Q127" i="100" a="1"/>
  <c r="Q127" i="100" s="1"/>
  <c r="P127" i="100" a="1"/>
  <c r="P127" i="100" s="1"/>
  <c r="O127" i="100" a="1"/>
  <c r="O127" i="100" s="1"/>
  <c r="N127" i="100" a="1"/>
  <c r="N127" i="100" s="1"/>
  <c r="M127" i="100" a="1"/>
  <c r="M127" i="100" s="1"/>
  <c r="L127" i="100" a="1"/>
  <c r="L127" i="100"/>
  <c r="K127" i="100" a="1"/>
  <c r="K127" i="100" s="1"/>
  <c r="J127" i="100" a="1"/>
  <c r="J127" i="100" s="1"/>
  <c r="I127" i="100" a="1"/>
  <c r="I127" i="100" s="1"/>
  <c r="H127" i="100" a="1"/>
  <c r="H127" i="100" s="1"/>
  <c r="G127" i="100" a="1"/>
  <c r="G127" i="100" s="1"/>
  <c r="F127" i="100" a="1"/>
  <c r="F127" i="100" s="1"/>
  <c r="E127" i="100" a="1"/>
  <c r="E127" i="100" s="1"/>
  <c r="D127" i="100" a="1"/>
  <c r="D127" i="100" s="1"/>
  <c r="T126" i="100" a="1"/>
  <c r="T126" i="100" s="1"/>
  <c r="S126" i="100" a="1"/>
  <c r="S126" i="100" s="1"/>
  <c r="R126" i="100" a="1"/>
  <c r="R126" i="100" s="1"/>
  <c r="Q126" i="100" a="1"/>
  <c r="Q126" i="100" s="1"/>
  <c r="P126" i="100" a="1"/>
  <c r="P126" i="100" s="1"/>
  <c r="O126" i="100" a="1"/>
  <c r="O126" i="100" s="1"/>
  <c r="N126" i="100" a="1"/>
  <c r="N126" i="100" s="1"/>
  <c r="M126" i="100" a="1"/>
  <c r="M126" i="100" s="1"/>
  <c r="L126" i="100" a="1"/>
  <c r="L126" i="100" s="1"/>
  <c r="K126" i="100" a="1"/>
  <c r="K126" i="100" s="1"/>
  <c r="J126" i="100" a="1"/>
  <c r="J126" i="100" s="1"/>
  <c r="I126" i="100" a="1"/>
  <c r="I126" i="100" s="1"/>
  <c r="H126" i="100" a="1"/>
  <c r="H126" i="100" s="1"/>
  <c r="G126" i="100" a="1"/>
  <c r="G126" i="100" s="1"/>
  <c r="F126" i="100" a="1"/>
  <c r="F126" i="100" s="1"/>
  <c r="E126" i="100" a="1"/>
  <c r="E126" i="100" s="1"/>
  <c r="D126" i="100" a="1"/>
  <c r="D126" i="100" s="1"/>
  <c r="T125" i="100" a="1"/>
  <c r="T125" i="100" s="1"/>
  <c r="S125" i="100" a="1"/>
  <c r="S125" i="100" s="1"/>
  <c r="R125" i="100" a="1"/>
  <c r="R125" i="100" s="1"/>
  <c r="Q125" i="100" a="1"/>
  <c r="Q125" i="100"/>
  <c r="P125" i="100" a="1"/>
  <c r="P125" i="100" s="1"/>
  <c r="O125" i="100" a="1"/>
  <c r="O125" i="100" s="1"/>
  <c r="N125" i="100" a="1"/>
  <c r="N125" i="100" s="1"/>
  <c r="M125" i="100" a="1"/>
  <c r="M125" i="100" s="1"/>
  <c r="L125" i="100" a="1"/>
  <c r="L125" i="100" s="1"/>
  <c r="K125" i="100" a="1"/>
  <c r="K125" i="100" s="1"/>
  <c r="J125" i="100" a="1"/>
  <c r="J125" i="100" s="1"/>
  <c r="I125" i="100" a="1"/>
  <c r="I125" i="100" s="1"/>
  <c r="H125" i="100" a="1"/>
  <c r="H125" i="100" s="1"/>
  <c r="G125" i="100" a="1"/>
  <c r="G125" i="100" s="1"/>
  <c r="F125" i="100" a="1"/>
  <c r="F125" i="100" s="1"/>
  <c r="E125" i="100" a="1"/>
  <c r="E125" i="100" s="1"/>
  <c r="D125" i="100" a="1"/>
  <c r="D125" i="100" s="1"/>
  <c r="T124" i="100" a="1"/>
  <c r="T124" i="100" s="1"/>
  <c r="S124" i="100" a="1"/>
  <c r="S124" i="100" s="1"/>
  <c r="R124" i="100" a="1"/>
  <c r="R124" i="100" s="1"/>
  <c r="Q124" i="100" a="1"/>
  <c r="Q124" i="100" s="1"/>
  <c r="P124" i="100" a="1"/>
  <c r="P124" i="100" s="1"/>
  <c r="O124" i="100" a="1"/>
  <c r="O124" i="100" s="1"/>
  <c r="N124" i="100" a="1"/>
  <c r="N124" i="100" s="1"/>
  <c r="M124" i="100" a="1"/>
  <c r="M124" i="100" s="1"/>
  <c r="L124" i="100" a="1"/>
  <c r="L124" i="100" s="1"/>
  <c r="K124" i="100" a="1"/>
  <c r="K124" i="100" s="1"/>
  <c r="J124" i="100" a="1"/>
  <c r="J124" i="100" s="1"/>
  <c r="I124" i="100" a="1"/>
  <c r="I124" i="100" s="1"/>
  <c r="H124" i="100" a="1"/>
  <c r="H124" i="100" s="1"/>
  <c r="G124" i="100" a="1"/>
  <c r="G124" i="100" s="1"/>
  <c r="F124" i="100" a="1"/>
  <c r="F124" i="100" s="1"/>
  <c r="E124" i="100" a="1"/>
  <c r="E124" i="100" s="1"/>
  <c r="D124" i="100" a="1"/>
  <c r="D124" i="100" s="1"/>
  <c r="T123" i="100" a="1"/>
  <c r="T123" i="100" s="1"/>
  <c r="S123" i="100" a="1"/>
  <c r="S123" i="100" s="1"/>
  <c r="R123" i="100" a="1"/>
  <c r="R123" i="100" s="1"/>
  <c r="Q123" i="100" a="1"/>
  <c r="Q123" i="100" s="1"/>
  <c r="P123" i="100" a="1"/>
  <c r="P123" i="100" s="1"/>
  <c r="O123" i="100" a="1"/>
  <c r="O123" i="100" s="1"/>
  <c r="N123" i="100" a="1"/>
  <c r="N123" i="100" s="1"/>
  <c r="M123" i="100" a="1"/>
  <c r="M123" i="100" s="1"/>
  <c r="L123" i="100" a="1"/>
  <c r="L123" i="100" s="1"/>
  <c r="K123" i="100" a="1"/>
  <c r="K123" i="100" s="1"/>
  <c r="J123" i="100" a="1"/>
  <c r="J123" i="100" s="1"/>
  <c r="I123" i="100" a="1"/>
  <c r="I123" i="100" s="1"/>
  <c r="H123" i="100" a="1"/>
  <c r="H123" i="100" s="1"/>
  <c r="G123" i="100" a="1"/>
  <c r="G123" i="100" s="1"/>
  <c r="F123" i="100" a="1"/>
  <c r="F123" i="100" s="1"/>
  <c r="E123" i="100" a="1"/>
  <c r="E123" i="100" s="1"/>
  <c r="D123" i="100" a="1"/>
  <c r="D123" i="100" s="1"/>
  <c r="T122" i="100" a="1"/>
  <c r="T122" i="100" s="1"/>
  <c r="S122" i="100" a="1"/>
  <c r="S122" i="100" s="1"/>
  <c r="R122" i="100" a="1"/>
  <c r="R122" i="100" s="1"/>
  <c r="Q122" i="100" a="1"/>
  <c r="Q122" i="100" s="1"/>
  <c r="P122" i="100" a="1"/>
  <c r="P122" i="100" s="1"/>
  <c r="O122" i="100" a="1"/>
  <c r="O122" i="100" s="1"/>
  <c r="N122" i="100" a="1"/>
  <c r="N122" i="100" s="1"/>
  <c r="M122" i="100" a="1"/>
  <c r="M122" i="100" s="1"/>
  <c r="L122" i="100" a="1"/>
  <c r="L122" i="100" s="1"/>
  <c r="K122" i="100" a="1"/>
  <c r="K122" i="100" s="1"/>
  <c r="J122" i="100" a="1"/>
  <c r="J122" i="100"/>
  <c r="I122" i="100" a="1"/>
  <c r="I122" i="100" s="1"/>
  <c r="H122" i="100" a="1"/>
  <c r="H122" i="100" s="1"/>
  <c r="G122" i="100" a="1"/>
  <c r="G122" i="100" s="1"/>
  <c r="F122" i="100" a="1"/>
  <c r="F122" i="100" s="1"/>
  <c r="E122" i="100" a="1"/>
  <c r="E122" i="100" s="1"/>
  <c r="D122" i="100" a="1"/>
  <c r="D122" i="100" s="1"/>
  <c r="T121" i="100" a="1"/>
  <c r="T121" i="100" s="1"/>
  <c r="S121" i="100" a="1"/>
  <c r="S121" i="100" s="1"/>
  <c r="R121" i="100" a="1"/>
  <c r="R121" i="100" s="1"/>
  <c r="Q121" i="100" a="1"/>
  <c r="Q121" i="100" s="1"/>
  <c r="P121" i="100" a="1"/>
  <c r="P121" i="100" s="1"/>
  <c r="O121" i="100" a="1"/>
  <c r="O121" i="100" s="1"/>
  <c r="N121" i="100" a="1"/>
  <c r="N121" i="100" s="1"/>
  <c r="M121" i="100" a="1"/>
  <c r="M121" i="100" s="1"/>
  <c r="L121" i="100" a="1"/>
  <c r="L121" i="100" s="1"/>
  <c r="K121" i="100" a="1"/>
  <c r="K121" i="100" s="1"/>
  <c r="J121" i="100" a="1"/>
  <c r="J121" i="100" s="1"/>
  <c r="I121" i="100" a="1"/>
  <c r="I121" i="100" s="1"/>
  <c r="H121" i="100" a="1"/>
  <c r="H121" i="100" s="1"/>
  <c r="G121" i="100" a="1"/>
  <c r="G121" i="100" s="1"/>
  <c r="F121" i="100" a="1"/>
  <c r="F121" i="100" s="1"/>
  <c r="E121" i="100" a="1"/>
  <c r="E121" i="100" s="1"/>
  <c r="D121" i="100" a="1"/>
  <c r="D121" i="100" s="1"/>
  <c r="T120" i="100" a="1"/>
  <c r="T120" i="100"/>
  <c r="S120" i="100" a="1"/>
  <c r="S120" i="100"/>
  <c r="R120" i="100" a="1"/>
  <c r="R120" i="100" s="1"/>
  <c r="Q120" i="100" a="1"/>
  <c r="Q120" i="100" s="1"/>
  <c r="P120" i="100" a="1"/>
  <c r="P120" i="100" s="1"/>
  <c r="O120" i="100" a="1"/>
  <c r="O120" i="100" s="1"/>
  <c r="N120" i="100" a="1"/>
  <c r="N120" i="100" s="1"/>
  <c r="M120" i="100" a="1"/>
  <c r="M120" i="100" s="1"/>
  <c r="L120" i="100" a="1"/>
  <c r="L120" i="100" s="1"/>
  <c r="K120" i="100" a="1"/>
  <c r="K120" i="100" s="1"/>
  <c r="J120" i="100" a="1"/>
  <c r="J120" i="100" s="1"/>
  <c r="I120" i="100" a="1"/>
  <c r="I120" i="100"/>
  <c r="H120" i="100" a="1"/>
  <c r="H120" i="100" s="1"/>
  <c r="G120" i="100" a="1"/>
  <c r="G120" i="100" s="1"/>
  <c r="F120" i="100" a="1"/>
  <c r="F120" i="100" s="1"/>
  <c r="E120" i="100" a="1"/>
  <c r="E120" i="100" s="1"/>
  <c r="D120" i="100" a="1"/>
  <c r="D120" i="100" s="1"/>
  <c r="T119" i="100" a="1"/>
  <c r="T119" i="100" s="1"/>
  <c r="S119" i="100" a="1"/>
  <c r="S119" i="100" s="1"/>
  <c r="R119" i="100" a="1"/>
  <c r="R119" i="100" s="1"/>
  <c r="Q119" i="100" a="1"/>
  <c r="Q119" i="100" s="1"/>
  <c r="P119" i="100" a="1"/>
  <c r="P119" i="100" s="1"/>
  <c r="O119" i="100" a="1"/>
  <c r="O119" i="100" s="1"/>
  <c r="N119" i="100" a="1"/>
  <c r="N119" i="100" s="1"/>
  <c r="M119" i="100" a="1"/>
  <c r="M119" i="100" s="1"/>
  <c r="L119" i="100" a="1"/>
  <c r="L119" i="100" s="1"/>
  <c r="K119" i="100" a="1"/>
  <c r="K119" i="100" s="1"/>
  <c r="J119" i="100" a="1"/>
  <c r="J119" i="100" s="1"/>
  <c r="I119" i="100" a="1"/>
  <c r="I119" i="100" s="1"/>
  <c r="H119" i="100" a="1"/>
  <c r="H119" i="100" s="1"/>
  <c r="G119" i="100" a="1"/>
  <c r="G119" i="100" s="1"/>
  <c r="F119" i="100" a="1"/>
  <c r="F119" i="100" s="1"/>
  <c r="E119" i="100" a="1"/>
  <c r="E119" i="100" s="1"/>
  <c r="D119" i="100" a="1"/>
  <c r="D119" i="100" s="1"/>
  <c r="T118" i="100" a="1"/>
  <c r="T118" i="100" s="1"/>
  <c r="S118" i="100" a="1"/>
  <c r="S118" i="100" s="1"/>
  <c r="R118" i="100" a="1"/>
  <c r="R118" i="100" s="1"/>
  <c r="Q118" i="100" a="1"/>
  <c r="Q118" i="100" s="1"/>
  <c r="P118" i="100" a="1"/>
  <c r="P118" i="100" s="1"/>
  <c r="O118" i="100" a="1"/>
  <c r="O118" i="100" s="1"/>
  <c r="N118" i="100" a="1"/>
  <c r="N118" i="100"/>
  <c r="M118" i="100" a="1"/>
  <c r="M118" i="100" s="1"/>
  <c r="L118" i="100" a="1"/>
  <c r="L118" i="100" s="1"/>
  <c r="K118" i="100" a="1"/>
  <c r="K118" i="100" s="1"/>
  <c r="J118" i="100" a="1"/>
  <c r="J118" i="100" s="1"/>
  <c r="I118" i="100" a="1"/>
  <c r="I118" i="100"/>
  <c r="H118" i="100" a="1"/>
  <c r="H118" i="100" s="1"/>
  <c r="G118" i="100" a="1"/>
  <c r="G118" i="100" s="1"/>
  <c r="F118" i="100" a="1"/>
  <c r="F118" i="100" s="1"/>
  <c r="E118" i="100" a="1"/>
  <c r="E118" i="100" s="1"/>
  <c r="D118" i="100" a="1"/>
  <c r="D118" i="100" s="1"/>
  <c r="T117" i="100"/>
  <c r="S117" i="100" a="1"/>
  <c r="S117" i="100" s="1"/>
  <c r="R117" i="100" a="1"/>
  <c r="R117" i="100" s="1"/>
  <c r="Q117" i="100" a="1"/>
  <c r="Q117" i="100" s="1"/>
  <c r="P117" i="100" a="1"/>
  <c r="P117" i="100" s="1"/>
  <c r="O117" i="100" a="1"/>
  <c r="O117" i="100" s="1"/>
  <c r="N117" i="100" a="1"/>
  <c r="N117" i="100" s="1"/>
  <c r="M117" i="100" a="1"/>
  <c r="M117" i="100" s="1"/>
  <c r="L117" i="100" a="1"/>
  <c r="L117" i="100" s="1"/>
  <c r="K117" i="100" a="1"/>
  <c r="K117" i="100" s="1"/>
  <c r="J117" i="100" a="1"/>
  <c r="J117" i="100" s="1"/>
  <c r="I117" i="100" a="1"/>
  <c r="I117" i="100" s="1"/>
  <c r="H117" i="100" a="1"/>
  <c r="H117" i="100" s="1"/>
  <c r="G117" i="100" a="1"/>
  <c r="G117" i="100" s="1"/>
  <c r="F117" i="100" a="1"/>
  <c r="F117" i="100" s="1"/>
  <c r="E117" i="100" a="1"/>
  <c r="E117" i="100" s="1"/>
  <c r="D117" i="100" a="1"/>
  <c r="D117" i="100" s="1"/>
  <c r="T116" i="100" a="1"/>
  <c r="T116" i="100" s="1"/>
  <c r="S116" i="100" a="1"/>
  <c r="S116" i="100" s="1"/>
  <c r="R116" i="100" a="1"/>
  <c r="R116" i="100" s="1"/>
  <c r="Q116" i="100" a="1"/>
  <c r="Q116" i="100" s="1"/>
  <c r="P116" i="100" a="1"/>
  <c r="P116" i="100" s="1"/>
  <c r="O116" i="100" a="1"/>
  <c r="O116" i="100" s="1"/>
  <c r="N116" i="100" a="1"/>
  <c r="N116" i="100" s="1"/>
  <c r="M116" i="100" a="1"/>
  <c r="M116" i="100" s="1"/>
  <c r="L116" i="100" a="1"/>
  <c r="L116" i="100" s="1"/>
  <c r="K116" i="100" a="1"/>
  <c r="K116" i="100" s="1"/>
  <c r="J116" i="100" a="1"/>
  <c r="J116" i="100" s="1"/>
  <c r="I116" i="100" a="1"/>
  <c r="I116" i="100" s="1"/>
  <c r="H116" i="100" a="1"/>
  <c r="H116" i="100" s="1"/>
  <c r="G116" i="100" a="1"/>
  <c r="G116" i="100" s="1"/>
  <c r="F116" i="100" a="1"/>
  <c r="F116" i="100" s="1"/>
  <c r="E116" i="100" a="1"/>
  <c r="E116" i="100" s="1"/>
  <c r="D116" i="100" a="1"/>
  <c r="D116" i="100" s="1"/>
  <c r="T115" i="100" a="1"/>
  <c r="T115" i="100" s="1"/>
  <c r="S115" i="100" a="1"/>
  <c r="S115" i="100" s="1"/>
  <c r="R115" i="100" a="1"/>
  <c r="R115" i="100" s="1"/>
  <c r="Q115" i="100" a="1"/>
  <c r="Q115" i="100" s="1"/>
  <c r="P115" i="100" a="1"/>
  <c r="P115" i="100" s="1"/>
  <c r="O115" i="100" a="1"/>
  <c r="O115" i="100" s="1"/>
  <c r="N115" i="100" a="1"/>
  <c r="N115" i="100" s="1"/>
  <c r="M115" i="100" a="1"/>
  <c r="M115" i="100" s="1"/>
  <c r="L115" i="100" a="1"/>
  <c r="L115" i="100" s="1"/>
  <c r="K115" i="100" a="1"/>
  <c r="K115" i="100" s="1"/>
  <c r="J115" i="100" a="1"/>
  <c r="J115" i="100" s="1"/>
  <c r="I115" i="100" a="1"/>
  <c r="I115" i="100" s="1"/>
  <c r="H115" i="100" a="1"/>
  <c r="H115" i="100" s="1"/>
  <c r="G115" i="100" a="1"/>
  <c r="G115" i="100" s="1"/>
  <c r="F115" i="100" a="1"/>
  <c r="F115" i="100" s="1"/>
  <c r="E115" i="100" a="1"/>
  <c r="E115" i="100" s="1"/>
  <c r="D115" i="100" a="1"/>
  <c r="D115" i="100"/>
  <c r="T114" i="100" a="1"/>
  <c r="T114" i="100" s="1"/>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S113" i="100" a="1"/>
  <c r="S113" i="100" s="1"/>
  <c r="R113" i="100" a="1"/>
  <c r="R113" i="100" s="1"/>
  <c r="Q113" i="100" a="1"/>
  <c r="Q113" i="100" s="1"/>
  <c r="P113" i="100" a="1"/>
  <c r="P113" i="100" s="1"/>
  <c r="O113" i="100" a="1"/>
  <c r="O113" i="100" s="1"/>
  <c r="N113" i="100" a="1"/>
  <c r="N113" i="100" s="1"/>
  <c r="M113" i="100" a="1"/>
  <c r="M113" i="100" s="1"/>
  <c r="L113" i="100" a="1"/>
  <c r="L113" i="100" s="1"/>
  <c r="K113" i="100" a="1"/>
  <c r="K113" i="100" s="1"/>
  <c r="J113" i="100" a="1"/>
  <c r="J113" i="100" s="1"/>
  <c r="I113" i="100" a="1"/>
  <c r="I113" i="100" s="1"/>
  <c r="H113" i="100" a="1"/>
  <c r="H113" i="100"/>
  <c r="G113" i="100" a="1"/>
  <c r="G113" i="100" s="1"/>
  <c r="F113" i="100" a="1"/>
  <c r="F113" i="100" s="1"/>
  <c r="E113" i="100" a="1"/>
  <c r="E113" i="100" s="1"/>
  <c r="D113" i="100" a="1"/>
  <c r="D113" i="100" s="1"/>
  <c r="T112" i="100"/>
  <c r="S112" i="100" a="1"/>
  <c r="S112" i="100" s="1"/>
  <c r="R112" i="100" a="1"/>
  <c r="R112" i="100" s="1"/>
  <c r="Q112" i="100" a="1"/>
  <c r="Q112" i="100" s="1"/>
  <c r="AL116" i="100" s="1"/>
  <c r="P112" i="100" a="1"/>
  <c r="P112" i="100" s="1"/>
  <c r="O112" i="100" a="1"/>
  <c r="O112" i="100" s="1"/>
  <c r="N112" i="100" a="1"/>
  <c r="N112" i="100" s="1"/>
  <c r="M112" i="100" a="1"/>
  <c r="M112" i="100" s="1"/>
  <c r="L112" i="100" a="1"/>
  <c r="L112" i="100" s="1"/>
  <c r="K112" i="100" a="1"/>
  <c r="K112" i="100" s="1"/>
  <c r="J112" i="100" a="1"/>
  <c r="J112" i="100" s="1"/>
  <c r="I112" i="100" a="1"/>
  <c r="I112" i="100" s="1"/>
  <c r="H112" i="100" a="1"/>
  <c r="H112" i="100" s="1"/>
  <c r="G112" i="100" a="1"/>
  <c r="G112" i="100" s="1"/>
  <c r="F112" i="100" a="1"/>
  <c r="F112" i="100" s="1"/>
  <c r="E112" i="100" a="1"/>
  <c r="E112" i="100" s="1"/>
  <c r="D112" i="100" a="1"/>
  <c r="D112" i="100" s="1"/>
  <c r="T111" i="100" a="1"/>
  <c r="T111" i="100" s="1"/>
  <c r="S111" i="100" a="1"/>
  <c r="S111" i="100" s="1"/>
  <c r="R111" i="100" a="1"/>
  <c r="R111" i="100" s="1"/>
  <c r="Q111" i="100" a="1"/>
  <c r="Q111" i="100" s="1"/>
  <c r="P111" i="100" a="1"/>
  <c r="P111" i="100" s="1"/>
  <c r="O111" i="100" a="1"/>
  <c r="O111" i="100" s="1"/>
  <c r="N111" i="100" a="1"/>
  <c r="N111" i="100" s="1"/>
  <c r="M111" i="100" a="1"/>
  <c r="M111" i="100" s="1"/>
  <c r="L111" i="100" a="1"/>
  <c r="L111" i="100" s="1"/>
  <c r="K111" i="100" a="1"/>
  <c r="K111" i="100" s="1"/>
  <c r="J111" i="100" a="1"/>
  <c r="J111" i="100" s="1"/>
  <c r="I111" i="100" a="1"/>
  <c r="I111" i="100" s="1"/>
  <c r="H111" i="100" a="1"/>
  <c r="H111" i="100" s="1"/>
  <c r="G111" i="100" a="1"/>
  <c r="G111" i="100" s="1"/>
  <c r="F111" i="100" a="1"/>
  <c r="F111" i="100" s="1"/>
  <c r="E111" i="100" a="1"/>
  <c r="E111" i="100" s="1"/>
  <c r="D111" i="100" a="1"/>
  <c r="D111" i="100" s="1"/>
  <c r="T110" i="100" a="1"/>
  <c r="T110" i="100" s="1"/>
  <c r="S110" i="100"/>
  <c r="R110" i="100"/>
  <c r="Q110" i="100"/>
  <c r="P110" i="100"/>
  <c r="O110" i="100"/>
  <c r="N110" i="100"/>
  <c r="M110" i="100"/>
  <c r="L110" i="100"/>
  <c r="K110" i="100"/>
  <c r="J110" i="100"/>
  <c r="I110" i="100"/>
  <c r="H110" i="100" a="1"/>
  <c r="H110" i="100" s="1"/>
  <c r="G110" i="100"/>
  <c r="F110" i="100"/>
  <c r="E110" i="100"/>
  <c r="D110" i="100"/>
  <c r="T109" i="100" a="1"/>
  <c r="T109" i="100" s="1"/>
  <c r="S109" i="100" a="1"/>
  <c r="S109" i="100" s="1"/>
  <c r="R109" i="100" a="1"/>
  <c r="R109" i="100" s="1"/>
  <c r="Q109" i="100" a="1"/>
  <c r="Q109" i="100" s="1"/>
  <c r="P109" i="100" a="1"/>
  <c r="P109" i="100" s="1"/>
  <c r="O109" i="100" a="1"/>
  <c r="O109" i="100" s="1"/>
  <c r="N109" i="100" a="1"/>
  <c r="N109" i="100" s="1"/>
  <c r="M109" i="100" a="1"/>
  <c r="M109" i="100" s="1"/>
  <c r="L109" i="100" a="1"/>
  <c r="L109" i="100"/>
  <c r="K109" i="100" a="1"/>
  <c r="K109" i="100" s="1"/>
  <c r="J109" i="100" a="1"/>
  <c r="J109" i="100" s="1"/>
  <c r="I109" i="100" a="1"/>
  <c r="I109" i="100" s="1"/>
  <c r="H109" i="100" a="1"/>
  <c r="H109" i="100" s="1"/>
  <c r="G109" i="100" a="1"/>
  <c r="G109" i="100" s="1"/>
  <c r="F109" i="100" a="1"/>
  <c r="F109" i="100" s="1"/>
  <c r="E109" i="100" a="1"/>
  <c r="E109" i="100" s="1"/>
  <c r="D109" i="100" a="1"/>
  <c r="D109" i="100" s="1"/>
  <c r="T108" i="100" a="1"/>
  <c r="T108" i="100"/>
  <c r="S108" i="100" a="1"/>
  <c r="S108" i="100"/>
  <c r="R108" i="100" a="1"/>
  <c r="R108" i="100" s="1"/>
  <c r="Q108" i="100" a="1"/>
  <c r="Q108" i="100" s="1"/>
  <c r="P108" i="100" a="1"/>
  <c r="P108" i="100" s="1"/>
  <c r="O108" i="100" a="1"/>
  <c r="O108" i="100" s="1"/>
  <c r="N108" i="100" a="1"/>
  <c r="N108" i="100" s="1"/>
  <c r="M108" i="100" a="1"/>
  <c r="M108" i="100" s="1"/>
  <c r="L108" i="100" a="1"/>
  <c r="L108" i="100" s="1"/>
  <c r="K108" i="100" a="1"/>
  <c r="K108" i="100" s="1"/>
  <c r="J108" i="100" a="1"/>
  <c r="J108" i="100" s="1"/>
  <c r="I108" i="100" a="1"/>
  <c r="I108" i="100" s="1"/>
  <c r="H108" i="100" a="1"/>
  <c r="H108" i="100" s="1"/>
  <c r="G108" i="100" a="1"/>
  <c r="G108" i="100" s="1"/>
  <c r="F108" i="100" a="1"/>
  <c r="F108" i="100" s="1"/>
  <c r="E108" i="100" a="1"/>
  <c r="E108" i="100" s="1"/>
  <c r="D108" i="100" a="1"/>
  <c r="D108" i="100"/>
  <c r="T107" i="100"/>
  <c r="S107" i="100" a="1"/>
  <c r="S107" i="100" s="1"/>
  <c r="R107" i="100" a="1"/>
  <c r="R107" i="100" s="1"/>
  <c r="Q107" i="100" a="1"/>
  <c r="Q107" i="100" s="1"/>
  <c r="P107" i="100" a="1"/>
  <c r="P107" i="100" s="1"/>
  <c r="O107" i="100" a="1"/>
  <c r="O107" i="100" s="1"/>
  <c r="N107" i="100" a="1"/>
  <c r="N107" i="100" s="1"/>
  <c r="M107" i="100" a="1"/>
  <c r="M107" i="100" s="1"/>
  <c r="L107" i="100" a="1"/>
  <c r="L107" i="100" s="1"/>
  <c r="K107" i="100" a="1"/>
  <c r="K107" i="100" s="1"/>
  <c r="J107" i="100" a="1"/>
  <c r="J107" i="100" s="1"/>
  <c r="I107" i="100" a="1"/>
  <c r="I107" i="100"/>
  <c r="H107" i="100" a="1"/>
  <c r="H107" i="100" s="1"/>
  <c r="G107" i="100" a="1"/>
  <c r="G107" i="100" s="1"/>
  <c r="F107" i="100" a="1"/>
  <c r="F107" i="100"/>
  <c r="E107" i="100" a="1"/>
  <c r="E107" i="100" s="1"/>
  <c r="D107" i="100" a="1"/>
  <c r="D107" i="100" s="1"/>
  <c r="T106" i="100" a="1"/>
  <c r="T106" i="100" s="1"/>
  <c r="S106" i="100" a="1"/>
  <c r="S106" i="100" s="1"/>
  <c r="R106" i="100" a="1"/>
  <c r="R106" i="100" s="1"/>
  <c r="Q106" i="100" a="1"/>
  <c r="Q106" i="100" s="1"/>
  <c r="P106" i="100" a="1"/>
  <c r="P106" i="100" s="1"/>
  <c r="O106" i="100" a="1"/>
  <c r="O106" i="100" s="1"/>
  <c r="N106" i="100" a="1"/>
  <c r="N106" i="100" s="1"/>
  <c r="M106" i="100" a="1"/>
  <c r="M106" i="100" s="1"/>
  <c r="L106" i="100" a="1"/>
  <c r="L106" i="100"/>
  <c r="K106" i="100" a="1"/>
  <c r="K106" i="100"/>
  <c r="J106" i="100" a="1"/>
  <c r="J106" i="100" s="1"/>
  <c r="I106" i="100" a="1"/>
  <c r="I106" i="100" s="1"/>
  <c r="H106" i="100" a="1"/>
  <c r="H106" i="100" s="1"/>
  <c r="G106" i="100" a="1"/>
  <c r="G106" i="100" s="1"/>
  <c r="F106" i="100" a="1"/>
  <c r="F106" i="100" s="1"/>
  <c r="E106" i="100" a="1"/>
  <c r="E106" i="100" s="1"/>
  <c r="D106" i="100" a="1"/>
  <c r="D106" i="100"/>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c r="F105" i="100" a="1"/>
  <c r="F105" i="100" s="1"/>
  <c r="E105" i="100" a="1"/>
  <c r="E105" i="100" s="1"/>
  <c r="D105" i="100" a="1"/>
  <c r="D105" i="100" s="1"/>
  <c r="T104" i="100" a="1"/>
  <c r="T104" i="100" s="1"/>
  <c r="S104" i="100" a="1"/>
  <c r="S104" i="100" s="1"/>
  <c r="R104" i="100" a="1"/>
  <c r="R104" i="100" s="1"/>
  <c r="Q104" i="100" a="1"/>
  <c r="Q104" i="100"/>
  <c r="P104" i="100" a="1"/>
  <c r="P104" i="100" s="1"/>
  <c r="O104" i="100" a="1"/>
  <c r="O104" i="100" s="1"/>
  <c r="N104" i="100" a="1"/>
  <c r="N104" i="100" s="1"/>
  <c r="M104" i="100" a="1"/>
  <c r="M104" i="100" s="1"/>
  <c r="L104" i="100" a="1"/>
  <c r="L104" i="100" s="1"/>
  <c r="K104" i="100" a="1"/>
  <c r="K104" i="100" s="1"/>
  <c r="J104" i="100" a="1"/>
  <c r="J104" i="100" s="1"/>
  <c r="I104" i="100" a="1"/>
  <c r="I104" i="100" s="1"/>
  <c r="H104" i="100" a="1"/>
  <c r="H104" i="100" s="1"/>
  <c r="G104" i="100" a="1"/>
  <c r="G104" i="100" s="1"/>
  <c r="F104" i="100" a="1"/>
  <c r="F104" i="100" s="1"/>
  <c r="E104" i="100" a="1"/>
  <c r="E104" i="100" s="1"/>
  <c r="D104" i="100" a="1"/>
  <c r="D104" i="100" s="1"/>
  <c r="T103" i="100" a="1"/>
  <c r="T103" i="100"/>
  <c r="S103" i="100" a="1"/>
  <c r="S103" i="100" s="1"/>
  <c r="R103" i="100" a="1"/>
  <c r="R103" i="100" s="1"/>
  <c r="Q103" i="100" a="1"/>
  <c r="Q103" i="100" s="1"/>
  <c r="P103" i="100" a="1"/>
  <c r="P103" i="100" s="1"/>
  <c r="O103" i="100" a="1"/>
  <c r="O103" i="100" s="1"/>
  <c r="N103" i="100" a="1"/>
  <c r="N103" i="100" s="1"/>
  <c r="M103" i="100" a="1"/>
  <c r="M103" i="100"/>
  <c r="L103" i="100" a="1"/>
  <c r="L103" i="100"/>
  <c r="K103" i="100" a="1"/>
  <c r="K103" i="100" s="1"/>
  <c r="J103" i="100" a="1"/>
  <c r="J103" i="100" s="1"/>
  <c r="I103" i="100" a="1"/>
  <c r="I103" i="100" s="1"/>
  <c r="H103" i="100" a="1"/>
  <c r="H103" i="100" s="1"/>
  <c r="G103" i="100" a="1"/>
  <c r="G103" i="100" s="1"/>
  <c r="F103" i="100" a="1"/>
  <c r="F103" i="100" s="1"/>
  <c r="E103" i="100" a="1"/>
  <c r="E103" i="100" s="1"/>
  <c r="D103" i="100" a="1"/>
  <c r="D103" i="100" s="1"/>
  <c r="T102" i="100"/>
  <c r="S102" i="100" a="1"/>
  <c r="S102" i="100" s="1"/>
  <c r="R102" i="100" a="1"/>
  <c r="R102" i="100" s="1"/>
  <c r="Q102" i="100" a="1"/>
  <c r="Q102" i="100" s="1"/>
  <c r="P102" i="100" a="1"/>
  <c r="P102" i="100" s="1"/>
  <c r="O102" i="100" a="1"/>
  <c r="O102" i="100" s="1"/>
  <c r="N102" i="100" a="1"/>
  <c r="N102" i="100" s="1"/>
  <c r="M102" i="100" a="1"/>
  <c r="M102" i="100" s="1"/>
  <c r="L102" i="100" a="1"/>
  <c r="L102" i="100" s="1"/>
  <c r="K102" i="100" a="1"/>
  <c r="K102" i="100" s="1"/>
  <c r="J102" i="100" a="1"/>
  <c r="J102" i="100" s="1"/>
  <c r="I102" i="100" a="1"/>
  <c r="I102" i="100" s="1"/>
  <c r="H102" i="100" a="1"/>
  <c r="H102" i="100"/>
  <c r="G102" i="100" a="1"/>
  <c r="G102" i="100" s="1"/>
  <c r="F102" i="100" a="1"/>
  <c r="F102" i="100" s="1"/>
  <c r="E102" i="100" a="1"/>
  <c r="E102" i="100" s="1"/>
  <c r="D102" i="100" a="1"/>
  <c r="D102" i="100" s="1"/>
  <c r="T101" i="100" a="1"/>
  <c r="T101" i="100" s="1"/>
  <c r="S101" i="100" a="1"/>
  <c r="S101" i="100" s="1"/>
  <c r="R101" i="100" a="1"/>
  <c r="R101" i="100" s="1"/>
  <c r="Q101" i="100" a="1"/>
  <c r="Q101" i="100" s="1"/>
  <c r="P101" i="100" a="1"/>
  <c r="P101" i="100" s="1"/>
  <c r="O101" i="100" a="1"/>
  <c r="O101" i="100" s="1"/>
  <c r="N101" i="100" a="1"/>
  <c r="N101" i="100" s="1"/>
  <c r="M101" i="100" a="1"/>
  <c r="M101" i="100" s="1"/>
  <c r="L101" i="100" a="1"/>
  <c r="L101" i="100" s="1"/>
  <c r="K101" i="100" a="1"/>
  <c r="K101" i="100" s="1"/>
  <c r="J101" i="100" a="1"/>
  <c r="J101" i="100" s="1"/>
  <c r="I101" i="100" a="1"/>
  <c r="I101" i="100" s="1"/>
  <c r="H101" i="100" a="1"/>
  <c r="H101" i="100"/>
  <c r="G101" i="100" a="1"/>
  <c r="G101" i="100" s="1"/>
  <c r="F101" i="100" a="1"/>
  <c r="F101" i="100" s="1"/>
  <c r="E101" i="100" a="1"/>
  <c r="E101" i="100" s="1"/>
  <c r="D101" i="100" a="1"/>
  <c r="D101"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c r="J100" i="100" a="1"/>
  <c r="J100" i="100" s="1"/>
  <c r="I100" i="100" a="1"/>
  <c r="I100" i="100" s="1"/>
  <c r="H100" i="100" a="1"/>
  <c r="H100" i="100" s="1"/>
  <c r="G100" i="100" a="1"/>
  <c r="G100" i="100" s="1"/>
  <c r="F100" i="100" a="1"/>
  <c r="F100" i="100" s="1"/>
  <c r="E100" i="100" a="1"/>
  <c r="E100" i="100" s="1"/>
  <c r="D100" i="100" a="1"/>
  <c r="D100" i="100" s="1"/>
  <c r="T99" i="100" a="1"/>
  <c r="T99" i="100" s="1"/>
  <c r="S99" i="100" a="1"/>
  <c r="S99" i="100" s="1"/>
  <c r="R99" i="100" a="1"/>
  <c r="R99" i="100" s="1"/>
  <c r="Q99" i="100" a="1"/>
  <c r="Q99" i="100" s="1"/>
  <c r="P99" i="100" a="1"/>
  <c r="P99" i="100" s="1"/>
  <c r="O99" i="100" a="1"/>
  <c r="O99" i="100" s="1"/>
  <c r="N99" i="100" a="1"/>
  <c r="N99" i="100"/>
  <c r="M99" i="100" a="1"/>
  <c r="M99" i="100" s="1"/>
  <c r="L99" i="100" a="1"/>
  <c r="L99" i="100" s="1"/>
  <c r="K99" i="100" a="1"/>
  <c r="K99" i="100" s="1"/>
  <c r="J99" i="100" a="1"/>
  <c r="J99" i="100" s="1"/>
  <c r="I99" i="100" a="1"/>
  <c r="I99" i="100" s="1"/>
  <c r="H99" i="100" a="1"/>
  <c r="H99" i="100" s="1"/>
  <c r="G99" i="100" a="1"/>
  <c r="G99" i="100"/>
  <c r="F99" i="100" a="1"/>
  <c r="F99" i="100"/>
  <c r="E99" i="100" a="1"/>
  <c r="E99" i="100"/>
  <c r="D99" i="100" a="1"/>
  <c r="D99" i="100" s="1"/>
  <c r="T98" i="100" a="1"/>
  <c r="T98" i="100" s="1"/>
  <c r="S98" i="100" a="1"/>
  <c r="S98" i="100" s="1"/>
  <c r="R98" i="100" a="1"/>
  <c r="R98" i="100" s="1"/>
  <c r="Q98" i="100" a="1"/>
  <c r="Q98" i="100" s="1"/>
  <c r="P98" i="100" a="1"/>
  <c r="P98" i="100" s="1"/>
  <c r="O98" i="100" a="1"/>
  <c r="O98" i="100" s="1"/>
  <c r="N98" i="100" a="1"/>
  <c r="N98" i="100" s="1"/>
  <c r="M98" i="100" a="1"/>
  <c r="M98" i="100" s="1"/>
  <c r="L98" i="100" a="1"/>
  <c r="L98" i="100" s="1"/>
  <c r="K98" i="100" a="1"/>
  <c r="K98" i="100" s="1"/>
  <c r="J98" i="100" a="1"/>
  <c r="J98" i="100" s="1"/>
  <c r="I98" i="100" a="1"/>
  <c r="I98" i="100" s="1"/>
  <c r="H98" i="100" a="1"/>
  <c r="H98" i="100" s="1"/>
  <c r="G98" i="100" a="1"/>
  <c r="G98" i="100" s="1"/>
  <c r="F98" i="100" a="1"/>
  <c r="F98" i="100"/>
  <c r="E98" i="100" a="1"/>
  <c r="E98" i="100" s="1"/>
  <c r="D98" i="100" a="1"/>
  <c r="D98" i="100" s="1"/>
  <c r="T97" i="100"/>
  <c r="S97" i="100" a="1"/>
  <c r="S97" i="100" s="1"/>
  <c r="R97" i="100" a="1"/>
  <c r="R97" i="100" s="1"/>
  <c r="Q97" i="100" a="1"/>
  <c r="Q97" i="100" s="1"/>
  <c r="P97" i="100" a="1"/>
  <c r="P97" i="100" s="1"/>
  <c r="O97" i="100" a="1"/>
  <c r="O97" i="100" s="1"/>
  <c r="N97" i="100" a="1"/>
  <c r="N97" i="100" s="1"/>
  <c r="M97" i="100" a="1"/>
  <c r="M97" i="100" s="1"/>
  <c r="L97" i="100" a="1"/>
  <c r="L97" i="100" s="1"/>
  <c r="K97" i="100" a="1"/>
  <c r="K97" i="100"/>
  <c r="J97" i="100" a="1"/>
  <c r="J97" i="100" s="1"/>
  <c r="I97" i="100" a="1"/>
  <c r="I97" i="100" s="1"/>
  <c r="H97" i="100" a="1"/>
  <c r="H97" i="100" s="1"/>
  <c r="G97" i="100" a="1"/>
  <c r="G97" i="100" s="1"/>
  <c r="F97" i="100" a="1"/>
  <c r="F97" i="100" s="1"/>
  <c r="E97" i="100" a="1"/>
  <c r="E97" i="100" s="1"/>
  <c r="D97" i="100" a="1"/>
  <c r="D97" i="100" s="1"/>
  <c r="T96" i="100" a="1"/>
  <c r="T96" i="100" s="1"/>
  <c r="S96" i="100" a="1"/>
  <c r="S96" i="100" s="1"/>
  <c r="R96" i="100" a="1"/>
  <c r="R96" i="100" s="1"/>
  <c r="Q96" i="100" a="1"/>
  <c r="Q96" i="100" s="1"/>
  <c r="P96" i="100" a="1"/>
  <c r="P96" i="100" s="1"/>
  <c r="O96" i="100" a="1"/>
  <c r="O96" i="100"/>
  <c r="N96" i="100" a="1"/>
  <c r="N96" i="100"/>
  <c r="M96" i="100" a="1"/>
  <c r="M96" i="100" s="1"/>
  <c r="L96" i="100" a="1"/>
  <c r="L96" i="100" s="1"/>
  <c r="K96" i="100" a="1"/>
  <c r="K96" i="100" s="1"/>
  <c r="J96" i="100" a="1"/>
  <c r="J96" i="100" s="1"/>
  <c r="I96" i="100" a="1"/>
  <c r="I96" i="100" s="1"/>
  <c r="H96" i="100" a="1"/>
  <c r="H96" i="100" s="1"/>
  <c r="G96" i="100" a="1"/>
  <c r="G96" i="100"/>
  <c r="F96" i="100" a="1"/>
  <c r="F96" i="100"/>
  <c r="E96" i="100" a="1"/>
  <c r="E96" i="100" s="1"/>
  <c r="D96" i="100" a="1"/>
  <c r="D96" i="100" s="1"/>
  <c r="T95" i="100" a="1"/>
  <c r="T95" i="100" s="1"/>
  <c r="S95" i="100" a="1"/>
  <c r="S95" i="100" s="1"/>
  <c r="R95" i="100" a="1"/>
  <c r="R95" i="100" s="1"/>
  <c r="Q95" i="100" a="1"/>
  <c r="Q95" i="100" s="1"/>
  <c r="P95" i="100" a="1"/>
  <c r="P95" i="100" s="1"/>
  <c r="O95" i="100" a="1"/>
  <c r="O95" i="100" s="1"/>
  <c r="N95" i="100" a="1"/>
  <c r="N95" i="100" s="1"/>
  <c r="M95" i="100" a="1"/>
  <c r="M95" i="100" s="1"/>
  <c r="L95" i="100" a="1"/>
  <c r="L95" i="100" s="1"/>
  <c r="K95" i="100" a="1"/>
  <c r="K95" i="100" s="1"/>
  <c r="J95" i="100" a="1"/>
  <c r="J95" i="100" s="1"/>
  <c r="I95" i="100" a="1"/>
  <c r="I95" i="100" s="1"/>
  <c r="H95" i="100" a="1"/>
  <c r="H95" i="100" s="1"/>
  <c r="G95" i="100" a="1"/>
  <c r="G95" i="100" s="1"/>
  <c r="F95" i="100" a="1"/>
  <c r="F95" i="100" s="1"/>
  <c r="E95" i="100" a="1"/>
  <c r="E95" i="100" s="1"/>
  <c r="D95" i="100" a="1"/>
  <c r="D95" i="100" s="1"/>
  <c r="T94" i="100" a="1"/>
  <c r="T94" i="100" s="1"/>
  <c r="S94" i="100" a="1"/>
  <c r="S94" i="100" s="1"/>
  <c r="R94" i="100" a="1"/>
  <c r="R94" i="100" s="1"/>
  <c r="Q94" i="100" a="1"/>
  <c r="Q94" i="100" s="1"/>
  <c r="P94" i="100" a="1"/>
  <c r="P94" i="100" s="1"/>
  <c r="O94" i="100" a="1"/>
  <c r="O94" i="100" s="1"/>
  <c r="N94" i="100" a="1"/>
  <c r="N94" i="100" s="1"/>
  <c r="M94" i="100" a="1"/>
  <c r="M94" i="100" s="1"/>
  <c r="L94" i="100" a="1"/>
  <c r="L94" i="100" s="1"/>
  <c r="K94" i="100" a="1"/>
  <c r="K94" i="100" s="1"/>
  <c r="J94" i="100" a="1"/>
  <c r="J94" i="100" s="1"/>
  <c r="I94" i="100" a="1"/>
  <c r="I94" i="100" s="1"/>
  <c r="H94" i="100" a="1"/>
  <c r="H94" i="100" s="1"/>
  <c r="G94" i="100" a="1"/>
  <c r="G94" i="100" s="1"/>
  <c r="F94" i="100" a="1"/>
  <c r="F94" i="100" s="1"/>
  <c r="E94" i="100" a="1"/>
  <c r="E94" i="100" s="1"/>
  <c r="D94" i="100" a="1"/>
  <c r="D94" i="100" s="1"/>
  <c r="T93" i="100" a="1"/>
  <c r="T93" i="100" s="1"/>
  <c r="S93" i="100" a="1"/>
  <c r="S93" i="100" s="1"/>
  <c r="R93" i="100" a="1"/>
  <c r="R93" i="100" s="1"/>
  <c r="Q93" i="100" a="1"/>
  <c r="Q93" i="100"/>
  <c r="P93" i="100" a="1"/>
  <c r="P93" i="100" s="1"/>
  <c r="O93" i="100" a="1"/>
  <c r="O93" i="100" s="1"/>
  <c r="N93" i="100" a="1"/>
  <c r="N93" i="100" s="1"/>
  <c r="M93" i="100" a="1"/>
  <c r="M93" i="100" s="1"/>
  <c r="L93" i="100" a="1"/>
  <c r="L93" i="100" s="1"/>
  <c r="K93" i="100" a="1"/>
  <c r="K93" i="100" s="1"/>
  <c r="J93" i="100" a="1"/>
  <c r="J93" i="100" s="1"/>
  <c r="I93" i="100" a="1"/>
  <c r="I93" i="100" s="1"/>
  <c r="H93" i="100" a="1"/>
  <c r="H93" i="100"/>
  <c r="G93" i="100" a="1"/>
  <c r="G93" i="100" s="1"/>
  <c r="F93" i="100" a="1"/>
  <c r="F93" i="100" s="1"/>
  <c r="E93" i="100" a="1"/>
  <c r="E93" i="100" s="1"/>
  <c r="D93" i="100" a="1"/>
  <c r="D93" i="100" s="1"/>
  <c r="T92" i="100"/>
  <c r="S92" i="100" a="1"/>
  <c r="S92" i="100" s="1"/>
  <c r="R92" i="100" a="1"/>
  <c r="R92" i="100" s="1"/>
  <c r="Q92" i="100" a="1"/>
  <c r="Q92" i="100" s="1"/>
  <c r="P92" i="100" a="1"/>
  <c r="P92" i="100" s="1"/>
  <c r="O92" i="100" a="1"/>
  <c r="O92" i="100" s="1"/>
  <c r="N92" i="100" a="1"/>
  <c r="N92" i="100" s="1"/>
  <c r="M92" i="100" a="1"/>
  <c r="M92" i="100" s="1"/>
  <c r="L92" i="100" a="1"/>
  <c r="L92" i="100" s="1"/>
  <c r="K92" i="100" a="1"/>
  <c r="K92" i="100" s="1"/>
  <c r="J92" i="100" a="1"/>
  <c r="J92" i="100" s="1"/>
  <c r="I92" i="100" a="1"/>
  <c r="I92" i="100" s="1"/>
  <c r="H92" i="100" a="1"/>
  <c r="H92" i="100" s="1"/>
  <c r="G92" i="100" a="1"/>
  <c r="G92" i="100" s="1"/>
  <c r="F92" i="100" a="1"/>
  <c r="F92" i="100" s="1"/>
  <c r="E92" i="100" a="1"/>
  <c r="E92" i="100" s="1"/>
  <c r="D92" i="100" a="1"/>
  <c r="D92" i="100" s="1"/>
  <c r="T91" i="100" a="1"/>
  <c r="T91" i="100" s="1"/>
  <c r="S91" i="100" a="1"/>
  <c r="S91" i="100" s="1"/>
  <c r="R91" i="100" a="1"/>
  <c r="R91" i="100" s="1"/>
  <c r="Q91" i="100" a="1"/>
  <c r="Q91" i="100" s="1"/>
  <c r="P91" i="100" a="1"/>
  <c r="P91" i="100" s="1"/>
  <c r="O91" i="100" a="1"/>
  <c r="O91" i="100" s="1"/>
  <c r="N91" i="100" a="1"/>
  <c r="N91" i="100" s="1"/>
  <c r="M91" i="100" a="1"/>
  <c r="M91" i="100" s="1"/>
  <c r="L91" i="100" a="1"/>
  <c r="L91" i="100" s="1"/>
  <c r="K91" i="100" a="1"/>
  <c r="K91" i="100" s="1"/>
  <c r="J91" i="100" a="1"/>
  <c r="J91" i="100" s="1"/>
  <c r="I91" i="100" a="1"/>
  <c r="I91" i="100" s="1"/>
  <c r="H91" i="100" a="1"/>
  <c r="H91" i="100" s="1"/>
  <c r="G91" i="100" a="1"/>
  <c r="G91" i="100" s="1"/>
  <c r="F91" i="100" a="1"/>
  <c r="F91" i="100"/>
  <c r="E91" i="100" a="1"/>
  <c r="E91" i="100" s="1"/>
  <c r="D91" i="100" a="1"/>
  <c r="D91" i="100" s="1"/>
  <c r="T90" i="100" a="1"/>
  <c r="T90" i="100" s="1"/>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s="1"/>
  <c r="S89" i="100" a="1"/>
  <c r="S89" i="100" s="1"/>
  <c r="R89" i="100" a="1"/>
  <c r="R89" i="100" s="1"/>
  <c r="Q89" i="100" a="1"/>
  <c r="Q89" i="100" s="1"/>
  <c r="P89" i="100" a="1"/>
  <c r="P89" i="100" s="1"/>
  <c r="O89" i="100" a="1"/>
  <c r="O89" i="100" s="1"/>
  <c r="N89" i="100" a="1"/>
  <c r="N89" i="100" s="1"/>
  <c r="M89" i="100" a="1"/>
  <c r="M89" i="100" s="1"/>
  <c r="L89" i="100" a="1"/>
  <c r="L89" i="100"/>
  <c r="K89" i="100" a="1"/>
  <c r="K89" i="100" s="1"/>
  <c r="J89" i="100" a="1"/>
  <c r="J89" i="100" s="1"/>
  <c r="I89" i="100" a="1"/>
  <c r="I89" i="100" s="1"/>
  <c r="H89" i="100" a="1"/>
  <c r="H89" i="100" s="1"/>
  <c r="G89" i="100" a="1"/>
  <c r="G89" i="100" s="1"/>
  <c r="F89" i="100" a="1"/>
  <c r="F89" i="100" s="1"/>
  <c r="E89" i="100" a="1"/>
  <c r="E89" i="100" s="1"/>
  <c r="D89" i="100" a="1"/>
  <c r="D89" i="100" s="1"/>
  <c r="T88" i="100" a="1"/>
  <c r="T88" i="100" s="1"/>
  <c r="S88" i="100" a="1"/>
  <c r="S88" i="100" s="1"/>
  <c r="R88" i="100" a="1"/>
  <c r="R88" i="100" s="1"/>
  <c r="Q88" i="100" a="1"/>
  <c r="Q88" i="100" s="1"/>
  <c r="P88" i="100" a="1"/>
  <c r="P88" i="100" s="1"/>
  <c r="O88" i="100" a="1"/>
  <c r="O88" i="100" s="1"/>
  <c r="N88" i="100" a="1"/>
  <c r="N88" i="100" s="1"/>
  <c r="M88" i="100" a="1"/>
  <c r="M88" i="100" s="1"/>
  <c r="L88" i="100" a="1"/>
  <c r="L88" i="100" s="1"/>
  <c r="K88" i="100" a="1"/>
  <c r="K88" i="100" s="1"/>
  <c r="J88" i="100" a="1"/>
  <c r="J88" i="100" s="1"/>
  <c r="I88" i="100" a="1"/>
  <c r="I88" i="100" s="1"/>
  <c r="H88" i="100" a="1"/>
  <c r="H88" i="100" s="1"/>
  <c r="G88" i="100" a="1"/>
  <c r="G88" i="100" s="1"/>
  <c r="F88" i="100" a="1"/>
  <c r="F88" i="100" s="1"/>
  <c r="E88" i="100" a="1"/>
  <c r="E88" i="100" s="1"/>
  <c r="D88" i="100" a="1"/>
  <c r="D88" i="100" s="1"/>
  <c r="T87" i="100"/>
  <c r="S87" i="100" a="1"/>
  <c r="S87" i="100" s="1"/>
  <c r="R87" i="100" a="1"/>
  <c r="R87" i="100" s="1"/>
  <c r="Q87" i="100" a="1"/>
  <c r="Q87" i="100" s="1"/>
  <c r="P87" i="100" a="1"/>
  <c r="P87" i="100" s="1"/>
  <c r="O87" i="100" a="1"/>
  <c r="O87" i="100" s="1"/>
  <c r="N87" i="100" a="1"/>
  <c r="N87" i="100" s="1"/>
  <c r="M87" i="100" a="1"/>
  <c r="M87" i="100" s="1"/>
  <c r="L87" i="100" a="1"/>
  <c r="L87" i="100"/>
  <c r="K87" i="100" a="1"/>
  <c r="K87" i="100" s="1"/>
  <c r="J87" i="100" a="1"/>
  <c r="J87" i="100" s="1"/>
  <c r="I87" i="100" a="1"/>
  <c r="I87" i="100" s="1"/>
  <c r="H87" i="100" a="1"/>
  <c r="H87" i="100" s="1"/>
  <c r="G87" i="100" a="1"/>
  <c r="G87" i="100" s="1"/>
  <c r="F87" i="100" a="1"/>
  <c r="F87" i="100" s="1"/>
  <c r="E87" i="100" a="1"/>
  <c r="E87" i="100" s="1"/>
  <c r="D87" i="100" a="1"/>
  <c r="D87" i="100" s="1"/>
  <c r="T86" i="100" a="1"/>
  <c r="T86" i="100" s="1"/>
  <c r="S86" i="100" a="1"/>
  <c r="S86" i="100" s="1"/>
  <c r="R86" i="100" a="1"/>
  <c r="R86" i="100" s="1"/>
  <c r="Q86" i="100" a="1"/>
  <c r="Q86" i="100" s="1"/>
  <c r="P86" i="100" a="1"/>
  <c r="P86" i="100" s="1"/>
  <c r="O86" i="100" a="1"/>
  <c r="O86" i="100" s="1"/>
  <c r="N86" i="100" a="1"/>
  <c r="N86" i="100" s="1"/>
  <c r="M86" i="100" a="1"/>
  <c r="M86" i="100" s="1"/>
  <c r="L86" i="100" a="1"/>
  <c r="L86" i="100" s="1"/>
  <c r="K86" i="100" a="1"/>
  <c r="K86" i="100" s="1"/>
  <c r="J86" i="100" a="1"/>
  <c r="J86" i="100" s="1"/>
  <c r="I86" i="100" a="1"/>
  <c r="I86" i="100" s="1"/>
  <c r="H86" i="100" a="1"/>
  <c r="H86" i="100" s="1"/>
  <c r="G86" i="100" a="1"/>
  <c r="G86" i="100" s="1"/>
  <c r="F86" i="100" a="1"/>
  <c r="F86" i="100" s="1"/>
  <c r="E86" i="100" a="1"/>
  <c r="E86" i="100" s="1"/>
  <c r="D86" i="100" a="1"/>
  <c r="D86"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s="1"/>
  <c r="H85" i="100" a="1"/>
  <c r="H85" i="100" s="1"/>
  <c r="G85" i="100" a="1"/>
  <c r="G85" i="100" s="1"/>
  <c r="F85" i="100" a="1"/>
  <c r="F85" i="100" s="1"/>
  <c r="E85" i="100" a="1"/>
  <c r="E85" i="100" s="1"/>
  <c r="D85" i="100" a="1"/>
  <c r="D85" i="100" s="1"/>
  <c r="T84" i="100" a="1"/>
  <c r="T84" i="100" s="1"/>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R83" i="100" a="1"/>
  <c r="R83" i="100" s="1"/>
  <c r="Q83" i="100" a="1"/>
  <c r="Q83" i="100" s="1"/>
  <c r="P83" i="100" a="1"/>
  <c r="P83" i="100" s="1"/>
  <c r="O83" i="100" a="1"/>
  <c r="O83" i="100" s="1"/>
  <c r="N83" i="100" a="1"/>
  <c r="N83" i="100" s="1"/>
  <c r="M83" i="100" a="1"/>
  <c r="M83" i="100" s="1"/>
  <c r="L83" i="100" a="1"/>
  <c r="L83" i="100" s="1"/>
  <c r="K83" i="100" a="1"/>
  <c r="K83" i="100" s="1"/>
  <c r="J83" i="100" a="1"/>
  <c r="J83" i="100" s="1"/>
  <c r="I83" i="100" a="1"/>
  <c r="I83" i="100" s="1"/>
  <c r="H83" i="100" a="1"/>
  <c r="H83" i="100" s="1"/>
  <c r="G83" i="100" a="1"/>
  <c r="G83" i="100" s="1"/>
  <c r="F83" i="100" a="1"/>
  <c r="F83" i="100" s="1"/>
  <c r="E83" i="100" a="1"/>
  <c r="E83" i="100" s="1"/>
  <c r="D83" i="100" a="1"/>
  <c r="D83" i="100" s="1"/>
  <c r="T82" i="100"/>
  <c r="S82" i="100" a="1"/>
  <c r="S82" i="100" s="1"/>
  <c r="R82" i="100" a="1"/>
  <c r="R82" i="100" s="1"/>
  <c r="Q82" i="100" a="1"/>
  <c r="Q82" i="100" s="1"/>
  <c r="P82" i="100" a="1"/>
  <c r="P82" i="100" s="1"/>
  <c r="O82" i="100" a="1"/>
  <c r="O82" i="100" s="1"/>
  <c r="N82" i="100" a="1"/>
  <c r="N82" i="100" s="1"/>
  <c r="M82" i="100" a="1"/>
  <c r="M82" i="100" s="1"/>
  <c r="L82" i="100" a="1"/>
  <c r="L82" i="100" s="1"/>
  <c r="K82" i="100" a="1"/>
  <c r="K82" i="100" s="1"/>
  <c r="AF82" i="100" s="1"/>
  <c r="J82" i="100" a="1"/>
  <c r="J82" i="100" s="1"/>
  <c r="I82" i="100" a="1"/>
  <c r="I82" i="100" s="1"/>
  <c r="H82" i="100" a="1"/>
  <c r="H82" i="100"/>
  <c r="G82" i="100" a="1"/>
  <c r="G82" i="100" s="1"/>
  <c r="F82" i="100" a="1"/>
  <c r="F82" i="100" s="1"/>
  <c r="E82" i="100" a="1"/>
  <c r="E82" i="100" s="1"/>
  <c r="D82" i="100" a="1"/>
  <c r="D82" i="100" s="1"/>
  <c r="T81" i="100" a="1"/>
  <c r="T81" i="100" s="1"/>
  <c r="S81" i="100" a="1"/>
  <c r="S81" i="100" s="1"/>
  <c r="R81" i="100" a="1"/>
  <c r="R81" i="100" s="1"/>
  <c r="Q81" i="100" a="1"/>
  <c r="Q81" i="100" s="1"/>
  <c r="P81" i="100" a="1"/>
  <c r="P81" i="100" s="1"/>
  <c r="O81" i="100" a="1"/>
  <c r="O81" i="100" s="1"/>
  <c r="N81" i="100" a="1"/>
  <c r="N81" i="100" s="1"/>
  <c r="M81" i="100" a="1"/>
  <c r="M81" i="100" s="1"/>
  <c r="L81" i="100" a="1"/>
  <c r="L81" i="100" s="1"/>
  <c r="K81" i="100" a="1"/>
  <c r="K81" i="100" s="1"/>
  <c r="J81" i="100" a="1"/>
  <c r="J81" i="100" s="1"/>
  <c r="I81" i="100" a="1"/>
  <c r="I81" i="100" s="1"/>
  <c r="H81" i="100" a="1"/>
  <c r="H81" i="100" s="1"/>
  <c r="G81" i="100" a="1"/>
  <c r="G81" i="100" s="1"/>
  <c r="F81" i="100" a="1"/>
  <c r="F81" i="100" s="1"/>
  <c r="E81" i="100" a="1"/>
  <c r="E81" i="100" s="1"/>
  <c r="D81" i="100" a="1"/>
  <c r="D81" i="100" s="1"/>
  <c r="T80" i="100" a="1"/>
  <c r="T80" i="100" s="1"/>
  <c r="S80" i="100" a="1"/>
  <c r="S80" i="100" s="1"/>
  <c r="R80" i="100" a="1"/>
  <c r="R80" i="100" s="1"/>
  <c r="Q80" i="100" a="1"/>
  <c r="Q80" i="100" s="1"/>
  <c r="P80" i="100" a="1"/>
  <c r="P80" i="100"/>
  <c r="O80" i="100" a="1"/>
  <c r="O80" i="100" s="1"/>
  <c r="N80" i="100" a="1"/>
  <c r="N80" i="100" s="1"/>
  <c r="M80" i="100" a="1"/>
  <c r="M80" i="100" s="1"/>
  <c r="L80" i="100" a="1"/>
  <c r="L80" i="100" s="1"/>
  <c r="K80" i="100" a="1"/>
  <c r="K80" i="100" s="1"/>
  <c r="J80" i="100" a="1"/>
  <c r="J80" i="100" s="1"/>
  <c r="I80" i="100" a="1"/>
  <c r="I80" i="100" s="1"/>
  <c r="H80" i="100" a="1"/>
  <c r="H80" i="100" s="1"/>
  <c r="G80" i="100" a="1"/>
  <c r="G80" i="100" s="1"/>
  <c r="F80" i="100" a="1"/>
  <c r="F80" i="100" s="1"/>
  <c r="E80" i="100" a="1"/>
  <c r="E80" i="100" s="1"/>
  <c r="D80" i="100" a="1"/>
  <c r="D80" i="100" s="1"/>
  <c r="T79" i="100" a="1"/>
  <c r="T79" i="100" s="1"/>
  <c r="S79" i="100" a="1"/>
  <c r="S79" i="100" s="1"/>
  <c r="R79" i="100" a="1"/>
  <c r="R79" i="100"/>
  <c r="Q79" i="100" a="1"/>
  <c r="Q79" i="100" s="1"/>
  <c r="P79" i="100" a="1"/>
  <c r="P79" i="100" s="1"/>
  <c r="O79" i="100" a="1"/>
  <c r="O79" i="100" s="1"/>
  <c r="N79" i="100" a="1"/>
  <c r="N79" i="100" s="1"/>
  <c r="M79" i="100" a="1"/>
  <c r="M79" i="100" s="1"/>
  <c r="L79" i="100" a="1"/>
  <c r="L79" i="100" s="1"/>
  <c r="K79" i="100" a="1"/>
  <c r="K79" i="100" s="1"/>
  <c r="J79" i="100" a="1"/>
  <c r="J79" i="100" s="1"/>
  <c r="I79" i="100" a="1"/>
  <c r="I79" i="100" s="1"/>
  <c r="H79" i="100" a="1"/>
  <c r="H79" i="100" s="1"/>
  <c r="G79" i="100" a="1"/>
  <c r="G79" i="100" s="1"/>
  <c r="F79" i="100" a="1"/>
  <c r="F79" i="100" s="1"/>
  <c r="E79" i="100" a="1"/>
  <c r="E79" i="100" s="1"/>
  <c r="D79" i="100" a="1"/>
  <c r="D79" i="100" s="1"/>
  <c r="T78" i="100" a="1"/>
  <c r="T78" i="100" s="1"/>
  <c r="S78" i="100" a="1"/>
  <c r="S78" i="100" s="1"/>
  <c r="R78" i="100" a="1"/>
  <c r="R78" i="100" s="1"/>
  <c r="Q78" i="100" a="1"/>
  <c r="Q78" i="100" s="1"/>
  <c r="P78" i="100" a="1"/>
  <c r="P78" i="100" s="1"/>
  <c r="O78" i="100" a="1"/>
  <c r="O78" i="100" s="1"/>
  <c r="N78" i="100" a="1"/>
  <c r="N78" i="100" s="1"/>
  <c r="M78" i="100" a="1"/>
  <c r="M78" i="100" s="1"/>
  <c r="L78" i="100" a="1"/>
  <c r="L78" i="100" s="1"/>
  <c r="K78" i="100" a="1"/>
  <c r="K78" i="100" s="1"/>
  <c r="J78" i="100" a="1"/>
  <c r="J78" i="100" s="1"/>
  <c r="I78" i="100" a="1"/>
  <c r="I78" i="100" s="1"/>
  <c r="H78" i="100" a="1"/>
  <c r="H78" i="100" s="1"/>
  <c r="G78" i="100" a="1"/>
  <c r="G78" i="100" s="1"/>
  <c r="F78" i="100" a="1"/>
  <c r="F78" i="100" s="1"/>
  <c r="E78" i="100" a="1"/>
  <c r="E78" i="100" s="1"/>
  <c r="D78" i="100" a="1"/>
  <c r="D78" i="100" s="1"/>
  <c r="T77" i="100"/>
  <c r="S77" i="100" a="1"/>
  <c r="S77" i="100" s="1"/>
  <c r="R77" i="100" a="1"/>
  <c r="R77" i="100" s="1"/>
  <c r="Q77" i="100" a="1"/>
  <c r="Q77" i="100" s="1"/>
  <c r="P77" i="100" a="1"/>
  <c r="P77" i="100" s="1"/>
  <c r="O77" i="100" a="1"/>
  <c r="O77" i="100" s="1"/>
  <c r="N77" i="100" a="1"/>
  <c r="N77" i="100" s="1"/>
  <c r="M77" i="100" a="1"/>
  <c r="M77" i="100"/>
  <c r="L77" i="100" a="1"/>
  <c r="L77" i="100" s="1"/>
  <c r="K77" i="100" a="1"/>
  <c r="K77" i="100" s="1"/>
  <c r="J77" i="100" a="1"/>
  <c r="J77" i="100" s="1"/>
  <c r="I77" i="100" a="1"/>
  <c r="I77" i="100" s="1"/>
  <c r="H77" i="100" a="1"/>
  <c r="H77" i="100" s="1"/>
  <c r="G77" i="100" a="1"/>
  <c r="G77" i="100" s="1"/>
  <c r="F77" i="100" a="1"/>
  <c r="F77" i="100" s="1"/>
  <c r="E77" i="100" a="1"/>
  <c r="E77" i="100" s="1"/>
  <c r="D77" i="100" a="1"/>
  <c r="D77" i="100" s="1"/>
  <c r="T72" i="100"/>
  <c r="S72" i="100"/>
  <c r="R72" i="100"/>
  <c r="Q72" i="100"/>
  <c r="P72" i="100"/>
  <c r="O72" i="100"/>
  <c r="N72" i="100"/>
  <c r="M72" i="100"/>
  <c r="L72" i="100"/>
  <c r="K72" i="100"/>
  <c r="J72" i="100"/>
  <c r="I72" i="100"/>
  <c r="H72" i="100"/>
  <c r="G72" i="100"/>
  <c r="F72" i="100"/>
  <c r="E72" i="100"/>
  <c r="D72" i="100"/>
  <c r="T71" i="100"/>
  <c r="S71" i="100"/>
  <c r="R71" i="100"/>
  <c r="Q71" i="100"/>
  <c r="P71" i="100"/>
  <c r="O71" i="100"/>
  <c r="N71" i="100"/>
  <c r="M71" i="100"/>
  <c r="L71" i="100"/>
  <c r="K71" i="100"/>
  <c r="J71" i="100"/>
  <c r="I71" i="100"/>
  <c r="H71" i="100"/>
  <c r="G71" i="100"/>
  <c r="F71" i="100"/>
  <c r="E71" i="100"/>
  <c r="D71" i="100"/>
  <c r="T70" i="100"/>
  <c r="S70" i="100"/>
  <c r="R70" i="100"/>
  <c r="Q70" i="100"/>
  <c r="P70" i="100"/>
  <c r="O70" i="100"/>
  <c r="N70" i="100"/>
  <c r="M70" i="100"/>
  <c r="L70" i="100"/>
  <c r="K70" i="100"/>
  <c r="J70" i="100"/>
  <c r="I70" i="100"/>
  <c r="H70" i="100"/>
  <c r="G70" i="100"/>
  <c r="F70" i="100"/>
  <c r="E70" i="100"/>
  <c r="D70" i="100"/>
  <c r="T69" i="100"/>
  <c r="S69" i="100"/>
  <c r="R69" i="100"/>
  <c r="Q69" i="100"/>
  <c r="P69" i="100"/>
  <c r="O69" i="100"/>
  <c r="N69" i="100"/>
  <c r="M69" i="100"/>
  <c r="L69" i="100"/>
  <c r="K69" i="100"/>
  <c r="J69" i="100"/>
  <c r="I69" i="100"/>
  <c r="AD67" i="100" s="1"/>
  <c r="H69" i="100"/>
  <c r="G69" i="100"/>
  <c r="F69" i="100"/>
  <c r="E69" i="100"/>
  <c r="D69" i="100"/>
  <c r="T68" i="100"/>
  <c r="S68" i="100"/>
  <c r="R68" i="100"/>
  <c r="Q68" i="100"/>
  <c r="P68" i="100"/>
  <c r="O68" i="100"/>
  <c r="N68" i="100"/>
  <c r="M68" i="100"/>
  <c r="AH68" i="100" s="1"/>
  <c r="L68" i="100"/>
  <c r="K68" i="100"/>
  <c r="J68" i="100"/>
  <c r="I68" i="100"/>
  <c r="H68" i="100"/>
  <c r="G68" i="100"/>
  <c r="F68" i="100"/>
  <c r="E68" i="100"/>
  <c r="D68" i="100"/>
  <c r="T67" i="100"/>
  <c r="S67" i="100"/>
  <c r="AN68" i="100" s="1"/>
  <c r="R67" i="100"/>
  <c r="Q67" i="100"/>
  <c r="P67" i="100"/>
  <c r="O67" i="100"/>
  <c r="N67" i="100"/>
  <c r="M67" i="100"/>
  <c r="L67" i="100"/>
  <c r="K67" i="100"/>
  <c r="J67" i="100"/>
  <c r="I67" i="100"/>
  <c r="H67" i="100"/>
  <c r="G67" i="100"/>
  <c r="F67" i="100"/>
  <c r="E67" i="100"/>
  <c r="D67" i="100"/>
  <c r="T66" i="100"/>
  <c r="S66" i="100"/>
  <c r="R66" i="100"/>
  <c r="Q66" i="100"/>
  <c r="P66" i="100"/>
  <c r="O66" i="100"/>
  <c r="N66" i="100"/>
  <c r="M66" i="100"/>
  <c r="L66" i="100"/>
  <c r="K66" i="100"/>
  <c r="J66" i="100"/>
  <c r="I66" i="100"/>
  <c r="H66" i="100"/>
  <c r="G66" i="100"/>
  <c r="F66" i="100"/>
  <c r="E66" i="100"/>
  <c r="D66" i="100"/>
  <c r="T65" i="100"/>
  <c r="S65" i="100"/>
  <c r="R65" i="100"/>
  <c r="Q65" i="100"/>
  <c r="P65" i="100"/>
  <c r="O65" i="100"/>
  <c r="N65" i="100"/>
  <c r="M65" i="100"/>
  <c r="L65" i="100"/>
  <c r="K65" i="100"/>
  <c r="J65" i="100"/>
  <c r="I65" i="100"/>
  <c r="H65" i="100"/>
  <c r="G65" i="100"/>
  <c r="F65" i="100"/>
  <c r="E65" i="100"/>
  <c r="D65" i="100"/>
  <c r="T64" i="100"/>
  <c r="S64" i="100"/>
  <c r="R64" i="100"/>
  <c r="Q64" i="100"/>
  <c r="P64" i="100"/>
  <c r="O64" i="100"/>
  <c r="N64" i="100"/>
  <c r="M64" i="100"/>
  <c r="L64" i="100"/>
  <c r="K64" i="100"/>
  <c r="J64" i="100"/>
  <c r="I64" i="100"/>
  <c r="H64" i="100"/>
  <c r="G64" i="100"/>
  <c r="F64" i="100"/>
  <c r="E64" i="100"/>
  <c r="D64" i="100"/>
  <c r="T63" i="100"/>
  <c r="S63" i="100"/>
  <c r="R63" i="100"/>
  <c r="Q63" i="100"/>
  <c r="P63" i="100"/>
  <c r="O63" i="100"/>
  <c r="N63" i="100"/>
  <c r="M63" i="100"/>
  <c r="L63" i="100"/>
  <c r="K63" i="100"/>
  <c r="J63" i="100"/>
  <c r="I63" i="100"/>
  <c r="H63" i="100"/>
  <c r="G63" i="100"/>
  <c r="F63" i="100"/>
  <c r="E63" i="100"/>
  <c r="D63" i="100"/>
  <c r="T62" i="100"/>
  <c r="S62" i="100"/>
  <c r="R62" i="100"/>
  <c r="Q62" i="100"/>
  <c r="P62" i="100"/>
  <c r="O62" i="100"/>
  <c r="N62" i="100"/>
  <c r="M62" i="100"/>
  <c r="L62" i="100"/>
  <c r="K62" i="100"/>
  <c r="J62" i="100"/>
  <c r="I62" i="100"/>
  <c r="H62" i="100"/>
  <c r="G62" i="100"/>
  <c r="F62" i="100"/>
  <c r="E62" i="100"/>
  <c r="D62" i="100"/>
  <c r="T61" i="100"/>
  <c r="S61" i="100"/>
  <c r="R61" i="100"/>
  <c r="Q61" i="100"/>
  <c r="P61" i="100"/>
  <c r="O61" i="100"/>
  <c r="N61" i="100"/>
  <c r="M61" i="100"/>
  <c r="L61" i="100"/>
  <c r="K61" i="100"/>
  <c r="J61" i="100"/>
  <c r="I61" i="100"/>
  <c r="H61" i="100"/>
  <c r="G61" i="100"/>
  <c r="F61" i="100"/>
  <c r="E61" i="100"/>
  <c r="D61" i="100"/>
  <c r="T60" i="100"/>
  <c r="S60" i="100"/>
  <c r="R60" i="100"/>
  <c r="Q60" i="100"/>
  <c r="P60" i="100"/>
  <c r="O60" i="100"/>
  <c r="N60" i="100"/>
  <c r="M60" i="100"/>
  <c r="L60" i="100"/>
  <c r="K60" i="100"/>
  <c r="J60" i="100"/>
  <c r="I60" i="100"/>
  <c r="H60" i="100"/>
  <c r="G60" i="100"/>
  <c r="F60" i="100"/>
  <c r="E60" i="100"/>
  <c r="D60" i="100"/>
  <c r="T59" i="100"/>
  <c r="S59" i="100"/>
  <c r="R59" i="100"/>
  <c r="Q59" i="100"/>
  <c r="P59" i="100"/>
  <c r="O59" i="100"/>
  <c r="N59" i="100"/>
  <c r="M59" i="100"/>
  <c r="L59" i="100"/>
  <c r="K59" i="100"/>
  <c r="J59" i="100"/>
  <c r="I59" i="100"/>
  <c r="H59" i="100"/>
  <c r="G59" i="100"/>
  <c r="F59" i="100"/>
  <c r="E59" i="100"/>
  <c r="D59" i="100"/>
  <c r="T58" i="100"/>
  <c r="S58" i="100"/>
  <c r="R58" i="100"/>
  <c r="Q58" i="100"/>
  <c r="P58" i="100"/>
  <c r="O58" i="100"/>
  <c r="AJ58" i="100" s="1"/>
  <c r="N58" i="100"/>
  <c r="M58" i="100"/>
  <c r="L58" i="100"/>
  <c r="K58" i="100"/>
  <c r="J58" i="100"/>
  <c r="I58" i="100"/>
  <c r="H58" i="100"/>
  <c r="G58" i="100"/>
  <c r="F58" i="100"/>
  <c r="E58" i="100"/>
  <c r="D58" i="100"/>
  <c r="T57" i="100"/>
  <c r="S57" i="100"/>
  <c r="R57" i="100"/>
  <c r="Q57" i="100"/>
  <c r="P57" i="100"/>
  <c r="O57" i="100"/>
  <c r="N57" i="100"/>
  <c r="M57" i="100"/>
  <c r="L57" i="100"/>
  <c r="K57" i="100"/>
  <c r="J57" i="100"/>
  <c r="I57" i="100"/>
  <c r="H57" i="100"/>
  <c r="G57" i="100"/>
  <c r="F57" i="100"/>
  <c r="E57" i="100"/>
  <c r="D57" i="100"/>
  <c r="T56" i="100"/>
  <c r="S56" i="100"/>
  <c r="R56" i="100"/>
  <c r="Q56" i="100"/>
  <c r="P56" i="100"/>
  <c r="O56" i="100"/>
  <c r="N56" i="100"/>
  <c r="M56" i="100"/>
  <c r="L56" i="100"/>
  <c r="K56" i="100"/>
  <c r="J56" i="100"/>
  <c r="I56" i="100"/>
  <c r="H56" i="100"/>
  <c r="G56" i="100"/>
  <c r="F56" i="100"/>
  <c r="E56" i="100"/>
  <c r="D56" i="100"/>
  <c r="T55" i="100"/>
  <c r="S55" i="100"/>
  <c r="R55" i="100"/>
  <c r="Q55" i="100"/>
  <c r="P55" i="100"/>
  <c r="O55" i="100"/>
  <c r="N55" i="100"/>
  <c r="M55" i="100"/>
  <c r="L55" i="100"/>
  <c r="K55" i="100"/>
  <c r="J55" i="100"/>
  <c r="I55" i="100"/>
  <c r="H55" i="100"/>
  <c r="G55" i="100"/>
  <c r="F55" i="100"/>
  <c r="E55" i="100"/>
  <c r="D55" i="100"/>
  <c r="T54" i="100"/>
  <c r="S54" i="100"/>
  <c r="R54" i="100"/>
  <c r="Q54" i="100"/>
  <c r="P54" i="100"/>
  <c r="O54" i="100"/>
  <c r="N54" i="100"/>
  <c r="M54" i="100"/>
  <c r="L54" i="100"/>
  <c r="K54" i="100"/>
  <c r="J54" i="100"/>
  <c r="I54" i="100"/>
  <c r="H54" i="100"/>
  <c r="G54" i="100"/>
  <c r="F54" i="100"/>
  <c r="E54" i="100"/>
  <c r="D54" i="100"/>
  <c r="T53" i="100"/>
  <c r="S53" i="100"/>
  <c r="R53" i="100"/>
  <c r="Q53" i="100"/>
  <c r="P53" i="100"/>
  <c r="O53" i="100"/>
  <c r="N53" i="100"/>
  <c r="M53" i="100"/>
  <c r="L53" i="100"/>
  <c r="K53" i="100"/>
  <c r="J53" i="100"/>
  <c r="I53" i="100"/>
  <c r="H53" i="100"/>
  <c r="G53" i="100"/>
  <c r="F53" i="100"/>
  <c r="E53" i="100"/>
  <c r="D53" i="100"/>
  <c r="T52" i="100"/>
  <c r="S52" i="100"/>
  <c r="R52" i="100"/>
  <c r="Q52" i="100"/>
  <c r="P52" i="100"/>
  <c r="O52" i="100"/>
  <c r="N52" i="100"/>
  <c r="M52" i="100"/>
  <c r="L52" i="100"/>
  <c r="K52" i="100"/>
  <c r="J52" i="100"/>
  <c r="I52" i="100"/>
  <c r="H52" i="100"/>
  <c r="G52" i="100"/>
  <c r="F52" i="100"/>
  <c r="E52" i="100"/>
  <c r="D52" i="100"/>
  <c r="T51" i="100"/>
  <c r="S51" i="100"/>
  <c r="R51" i="100"/>
  <c r="Q51" i="100"/>
  <c r="P51" i="100"/>
  <c r="O51" i="100"/>
  <c r="N51" i="100"/>
  <c r="M51" i="100"/>
  <c r="L51" i="100"/>
  <c r="K51" i="100"/>
  <c r="J51" i="100"/>
  <c r="I51" i="100"/>
  <c r="H51" i="100"/>
  <c r="G51" i="100"/>
  <c r="F51" i="100"/>
  <c r="E51" i="100"/>
  <c r="D51" i="100"/>
  <c r="T50" i="100"/>
  <c r="S50" i="100"/>
  <c r="R50" i="100"/>
  <c r="Q50" i="100"/>
  <c r="P50" i="100"/>
  <c r="O50" i="100"/>
  <c r="N50" i="100"/>
  <c r="M50" i="100"/>
  <c r="L50" i="100"/>
  <c r="K50" i="100"/>
  <c r="J50" i="100"/>
  <c r="I50" i="100"/>
  <c r="H50" i="100"/>
  <c r="G50" i="100"/>
  <c r="F50" i="100"/>
  <c r="E50" i="100"/>
  <c r="D50" i="100"/>
  <c r="T49" i="100"/>
  <c r="S49" i="100"/>
  <c r="R49" i="100"/>
  <c r="Q49" i="100"/>
  <c r="P49" i="100"/>
  <c r="O49" i="100"/>
  <c r="N49" i="100"/>
  <c r="M49" i="100"/>
  <c r="L49" i="100"/>
  <c r="K49" i="100"/>
  <c r="J49" i="100"/>
  <c r="I49" i="100"/>
  <c r="H49" i="100"/>
  <c r="G49" i="100"/>
  <c r="F49" i="100"/>
  <c r="E49" i="100"/>
  <c r="D49" i="100"/>
  <c r="T48" i="100"/>
  <c r="S48" i="100"/>
  <c r="R48" i="100"/>
  <c r="Q48" i="100"/>
  <c r="P48" i="100"/>
  <c r="O48" i="100"/>
  <c r="N48" i="100"/>
  <c r="M48" i="100"/>
  <c r="L48" i="100"/>
  <c r="K48" i="100"/>
  <c r="J48" i="100"/>
  <c r="I48" i="100"/>
  <c r="H48" i="100"/>
  <c r="G48" i="100"/>
  <c r="F48" i="100"/>
  <c r="E48" i="100"/>
  <c r="D48" i="100"/>
  <c r="T47" i="100"/>
  <c r="S47" i="100"/>
  <c r="R47" i="100"/>
  <c r="Q47" i="100"/>
  <c r="P47" i="100"/>
  <c r="O47" i="100"/>
  <c r="N47" i="100"/>
  <c r="M47" i="100"/>
  <c r="L47" i="100"/>
  <c r="K47" i="100"/>
  <c r="J47" i="100"/>
  <c r="I47" i="100"/>
  <c r="H47" i="100"/>
  <c r="G47" i="100"/>
  <c r="F47" i="100"/>
  <c r="E47" i="100"/>
  <c r="D47" i="100"/>
  <c r="T46" i="100"/>
  <c r="S46" i="100"/>
  <c r="R46" i="100"/>
  <c r="Q46" i="100"/>
  <c r="P46" i="100"/>
  <c r="O46" i="100"/>
  <c r="N46" i="100"/>
  <c r="M46" i="100"/>
  <c r="L46" i="100"/>
  <c r="K46" i="100"/>
  <c r="J46" i="100"/>
  <c r="I46" i="100"/>
  <c r="H46" i="100"/>
  <c r="G46" i="100"/>
  <c r="F46" i="100"/>
  <c r="E46" i="100"/>
  <c r="D46" i="100"/>
  <c r="T45" i="100"/>
  <c r="S45" i="100"/>
  <c r="R45" i="100"/>
  <c r="Q45" i="100"/>
  <c r="P45" i="100"/>
  <c r="O45" i="100"/>
  <c r="N45" i="100"/>
  <c r="M45" i="100"/>
  <c r="L45" i="100"/>
  <c r="K45" i="100"/>
  <c r="J45" i="100"/>
  <c r="I45" i="100"/>
  <c r="H45" i="100"/>
  <c r="G45" i="100"/>
  <c r="F45" i="100"/>
  <c r="E45" i="100"/>
  <c r="D45" i="100"/>
  <c r="T44" i="100"/>
  <c r="S44" i="100"/>
  <c r="R44" i="100"/>
  <c r="Q44" i="100"/>
  <c r="P44" i="100"/>
  <c r="O44" i="100"/>
  <c r="N44" i="100"/>
  <c r="M44" i="100"/>
  <c r="L44" i="100"/>
  <c r="K44" i="100"/>
  <c r="J44" i="100"/>
  <c r="I44" i="100"/>
  <c r="H44" i="100"/>
  <c r="G44" i="100"/>
  <c r="F44" i="100"/>
  <c r="E44" i="100"/>
  <c r="D44" i="100"/>
  <c r="T43" i="100"/>
  <c r="S43" i="100"/>
  <c r="R43" i="100"/>
  <c r="Q43" i="100"/>
  <c r="P43" i="100"/>
  <c r="O43" i="100"/>
  <c r="N43" i="100"/>
  <c r="M43" i="100"/>
  <c r="L43" i="100"/>
  <c r="K43" i="100"/>
  <c r="J43" i="100"/>
  <c r="I43" i="100"/>
  <c r="H43" i="100"/>
  <c r="G43" i="100"/>
  <c r="F43" i="100"/>
  <c r="E43" i="100"/>
  <c r="D43" i="100"/>
  <c r="T42" i="100"/>
  <c r="S42" i="100"/>
  <c r="R42" i="100"/>
  <c r="Q42" i="100"/>
  <c r="P42" i="100"/>
  <c r="O42" i="100"/>
  <c r="N42" i="100"/>
  <c r="M42" i="100"/>
  <c r="L42" i="100"/>
  <c r="K42" i="100"/>
  <c r="J42" i="100"/>
  <c r="I42" i="100"/>
  <c r="H42" i="100"/>
  <c r="G42" i="100"/>
  <c r="F42" i="100"/>
  <c r="E42" i="100"/>
  <c r="D42" i="100"/>
  <c r="T41" i="100"/>
  <c r="S41" i="100"/>
  <c r="R41" i="100"/>
  <c r="Q41" i="100"/>
  <c r="P41" i="100"/>
  <c r="O41" i="100"/>
  <c r="N41" i="100"/>
  <c r="M41" i="100"/>
  <c r="L41" i="100"/>
  <c r="K41" i="100"/>
  <c r="J41" i="100"/>
  <c r="I41" i="100"/>
  <c r="H41" i="100"/>
  <c r="G41" i="100"/>
  <c r="F41" i="100"/>
  <c r="E41" i="100"/>
  <c r="D41" i="100"/>
  <c r="T40" i="100"/>
  <c r="S40" i="100"/>
  <c r="R40" i="100"/>
  <c r="Q40" i="100"/>
  <c r="P40" i="100"/>
  <c r="O40" i="100"/>
  <c r="N40" i="100"/>
  <c r="M40" i="100"/>
  <c r="L40" i="100"/>
  <c r="K40" i="100"/>
  <c r="J40" i="100"/>
  <c r="I40" i="100"/>
  <c r="H40" i="100"/>
  <c r="G40" i="100"/>
  <c r="F40" i="100"/>
  <c r="E40" i="100"/>
  <c r="D40" i="100"/>
  <c r="T39" i="100"/>
  <c r="S39" i="100"/>
  <c r="R39" i="100"/>
  <c r="Q39" i="100"/>
  <c r="P39" i="100"/>
  <c r="O39" i="100"/>
  <c r="N39" i="100"/>
  <c r="M39" i="100"/>
  <c r="L39" i="100"/>
  <c r="K39" i="100"/>
  <c r="J39" i="100"/>
  <c r="I39" i="100"/>
  <c r="H39" i="100"/>
  <c r="G39" i="100"/>
  <c r="F39" i="100"/>
  <c r="E39" i="100"/>
  <c r="D39" i="100"/>
  <c r="T38" i="100"/>
  <c r="S38" i="100"/>
  <c r="R38" i="100"/>
  <c r="Q38" i="100"/>
  <c r="P38" i="100"/>
  <c r="O38" i="100"/>
  <c r="N38" i="100"/>
  <c r="M38" i="100"/>
  <c r="L38" i="100"/>
  <c r="K38" i="100"/>
  <c r="J38" i="100"/>
  <c r="I38" i="100"/>
  <c r="H38" i="100"/>
  <c r="G38" i="100"/>
  <c r="F38" i="100"/>
  <c r="E38" i="100"/>
  <c r="D38" i="100"/>
  <c r="T37" i="100"/>
  <c r="S37" i="100"/>
  <c r="R37" i="100"/>
  <c r="Q37" i="100"/>
  <c r="P37" i="100"/>
  <c r="O37" i="100"/>
  <c r="N37" i="100"/>
  <c r="M37" i="100"/>
  <c r="L37" i="100"/>
  <c r="K37" i="100"/>
  <c r="J37" i="100"/>
  <c r="I37" i="100"/>
  <c r="H37" i="100"/>
  <c r="G37" i="100"/>
  <c r="F37" i="100"/>
  <c r="E37" i="100"/>
  <c r="D37" i="100"/>
  <c r="T36" i="100"/>
  <c r="S36" i="100"/>
  <c r="R36" i="100"/>
  <c r="Q36" i="100"/>
  <c r="P36" i="100"/>
  <c r="O36" i="100"/>
  <c r="N36" i="100"/>
  <c r="M36" i="100"/>
  <c r="L36" i="100"/>
  <c r="K36" i="100"/>
  <c r="J36" i="100"/>
  <c r="I36" i="100"/>
  <c r="H36" i="100"/>
  <c r="G36" i="100"/>
  <c r="F36" i="100"/>
  <c r="E36" i="100"/>
  <c r="D36" i="100"/>
  <c r="T35" i="100"/>
  <c r="S35" i="100"/>
  <c r="R35" i="100"/>
  <c r="Q35" i="100"/>
  <c r="P35" i="100"/>
  <c r="O35" i="100"/>
  <c r="N35" i="100"/>
  <c r="M35" i="100"/>
  <c r="L35" i="100"/>
  <c r="K35" i="100"/>
  <c r="J35" i="100"/>
  <c r="I35" i="100"/>
  <c r="H35" i="100"/>
  <c r="G35" i="100"/>
  <c r="F35" i="100"/>
  <c r="E35" i="100"/>
  <c r="D35" i="100"/>
  <c r="T34" i="100"/>
  <c r="S34" i="100"/>
  <c r="R34" i="100"/>
  <c r="Q34" i="100"/>
  <c r="P34" i="100"/>
  <c r="O34" i="100"/>
  <c r="N34" i="100"/>
  <c r="M34" i="100"/>
  <c r="L34" i="100"/>
  <c r="K34" i="100"/>
  <c r="J34" i="100"/>
  <c r="I34" i="100"/>
  <c r="H34" i="100"/>
  <c r="G34" i="100"/>
  <c r="F34" i="100"/>
  <c r="E34" i="100"/>
  <c r="D34" i="100"/>
  <c r="T33" i="100"/>
  <c r="S33" i="100"/>
  <c r="R33" i="100"/>
  <c r="Q33" i="100"/>
  <c r="P33" i="100"/>
  <c r="O33" i="100"/>
  <c r="N33" i="100"/>
  <c r="M33" i="100"/>
  <c r="L33" i="100"/>
  <c r="K33" i="100"/>
  <c r="J33" i="100"/>
  <c r="I33" i="100"/>
  <c r="H33" i="100"/>
  <c r="G33" i="100"/>
  <c r="F33" i="100"/>
  <c r="E33" i="100"/>
  <c r="D33" i="100"/>
  <c r="T32" i="100"/>
  <c r="S32" i="100"/>
  <c r="R32" i="100"/>
  <c r="Q32" i="100"/>
  <c r="P32" i="100"/>
  <c r="O32" i="100"/>
  <c r="N32" i="100"/>
  <c r="M32" i="100"/>
  <c r="L32" i="100"/>
  <c r="K32" i="100"/>
  <c r="J32" i="100"/>
  <c r="I32" i="100"/>
  <c r="H32" i="100"/>
  <c r="G32" i="100"/>
  <c r="F32" i="100"/>
  <c r="E32" i="100"/>
  <c r="D32" i="100"/>
  <c r="T31" i="100"/>
  <c r="S31" i="100"/>
  <c r="R31" i="100"/>
  <c r="Q31" i="100"/>
  <c r="P31" i="100"/>
  <c r="O31" i="100"/>
  <c r="N31" i="100"/>
  <c r="M31" i="100"/>
  <c r="L31" i="100"/>
  <c r="K31" i="100"/>
  <c r="J31" i="100"/>
  <c r="I31" i="100"/>
  <c r="H31" i="100"/>
  <c r="G31" i="100"/>
  <c r="F31" i="100"/>
  <c r="E31" i="100"/>
  <c r="D31" i="100"/>
  <c r="T30" i="100"/>
  <c r="S30" i="100"/>
  <c r="R30" i="100"/>
  <c r="Q30" i="100"/>
  <c r="P30" i="100"/>
  <c r="O30" i="100"/>
  <c r="N30" i="100"/>
  <c r="M30" i="100"/>
  <c r="L30" i="100"/>
  <c r="K30" i="100"/>
  <c r="J30" i="100"/>
  <c r="I30" i="100"/>
  <c r="H30" i="100"/>
  <c r="G30" i="100"/>
  <c r="F30" i="100"/>
  <c r="E30" i="100"/>
  <c r="D30" i="100"/>
  <c r="T29" i="100"/>
  <c r="S29" i="100"/>
  <c r="R29" i="100"/>
  <c r="Q29" i="100"/>
  <c r="P29" i="100"/>
  <c r="O29" i="100"/>
  <c r="N29" i="100"/>
  <c r="M29" i="100"/>
  <c r="L29" i="100"/>
  <c r="K29" i="100"/>
  <c r="J29" i="100"/>
  <c r="I29" i="100"/>
  <c r="H29" i="100"/>
  <c r="G29" i="100"/>
  <c r="F29" i="100"/>
  <c r="E29" i="100"/>
  <c r="D29" i="100"/>
  <c r="T28" i="100"/>
  <c r="S28" i="100"/>
  <c r="R28" i="100"/>
  <c r="Q28" i="100"/>
  <c r="P28" i="100"/>
  <c r="O28" i="100"/>
  <c r="N28" i="100"/>
  <c r="M28" i="100"/>
  <c r="L28" i="100"/>
  <c r="K28" i="100"/>
  <c r="J28" i="100"/>
  <c r="I28" i="100"/>
  <c r="H28" i="100"/>
  <c r="G28" i="100"/>
  <c r="F28" i="100"/>
  <c r="E28" i="100"/>
  <c r="D28" i="100"/>
  <c r="T27" i="100"/>
  <c r="S27" i="100"/>
  <c r="R27" i="100"/>
  <c r="Q27" i="100"/>
  <c r="P27" i="100"/>
  <c r="O27" i="100"/>
  <c r="N27" i="100"/>
  <c r="M27" i="100"/>
  <c r="L27" i="100"/>
  <c r="K27" i="100"/>
  <c r="J27" i="100"/>
  <c r="I27" i="100"/>
  <c r="H27" i="100"/>
  <c r="G27" i="100"/>
  <c r="F27" i="100"/>
  <c r="E27" i="100"/>
  <c r="D27" i="100"/>
  <c r="T26" i="100"/>
  <c r="S26" i="100"/>
  <c r="R26" i="100"/>
  <c r="Q26" i="100"/>
  <c r="P26" i="100"/>
  <c r="O26" i="100"/>
  <c r="N26" i="100"/>
  <c r="M26" i="100"/>
  <c r="L26" i="100"/>
  <c r="K26" i="100"/>
  <c r="J26" i="100"/>
  <c r="I26" i="100"/>
  <c r="H26" i="100"/>
  <c r="G26" i="100"/>
  <c r="F26" i="100"/>
  <c r="E26" i="100"/>
  <c r="D26"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M23" i="100"/>
  <c r="L23" i="100"/>
  <c r="K23" i="100"/>
  <c r="J23" i="100"/>
  <c r="I23" i="100"/>
  <c r="H23" i="100"/>
  <c r="G23" i="100"/>
  <c r="F23" i="100"/>
  <c r="E23" i="100"/>
  <c r="D23" i="100"/>
  <c r="T22" i="100"/>
  <c r="S22" i="100"/>
  <c r="R22" i="100"/>
  <c r="Q22" i="100"/>
  <c r="P22" i="100"/>
  <c r="O22" i="100"/>
  <c r="N22" i="100"/>
  <c r="M22" i="100"/>
  <c r="L22" i="100"/>
  <c r="K22" i="100"/>
  <c r="J22" i="100"/>
  <c r="I22" i="100"/>
  <c r="H22" i="100"/>
  <c r="G22" i="100"/>
  <c r="F22" i="100"/>
  <c r="E22" i="100"/>
  <c r="D22" i="100"/>
  <c r="T21" i="100"/>
  <c r="S21" i="100"/>
  <c r="R21" i="100"/>
  <c r="Q21" i="100"/>
  <c r="P21" i="100"/>
  <c r="O21" i="100"/>
  <c r="N21" i="100"/>
  <c r="M21" i="100"/>
  <c r="L21" i="100"/>
  <c r="K21" i="100"/>
  <c r="J21" i="100"/>
  <c r="I21" i="100"/>
  <c r="H21" i="100"/>
  <c r="G21" i="100"/>
  <c r="F21" i="100"/>
  <c r="E21" i="100"/>
  <c r="D21" i="100"/>
  <c r="T20" i="100"/>
  <c r="S20" i="100"/>
  <c r="R20" i="100"/>
  <c r="Q20" i="100"/>
  <c r="P20" i="100"/>
  <c r="O20" i="100"/>
  <c r="N20" i="100"/>
  <c r="M20" i="100"/>
  <c r="L20" i="100"/>
  <c r="K20" i="100"/>
  <c r="J20" i="100"/>
  <c r="I20" i="100"/>
  <c r="H20" i="100"/>
  <c r="G20" i="100"/>
  <c r="F20" i="100"/>
  <c r="E20" i="100"/>
  <c r="D20" i="100"/>
  <c r="T19" i="100"/>
  <c r="S19" i="100"/>
  <c r="AN17" i="100" s="1"/>
  <c r="R19" i="100"/>
  <c r="Q19" i="100"/>
  <c r="P19" i="100"/>
  <c r="O19" i="100"/>
  <c r="N19" i="100"/>
  <c r="M19" i="100"/>
  <c r="L19" i="100"/>
  <c r="K19" i="100"/>
  <c r="AF19" i="100" s="1"/>
  <c r="J19" i="100"/>
  <c r="I19" i="100"/>
  <c r="H19" i="100"/>
  <c r="G19" i="100"/>
  <c r="F19" i="100"/>
  <c r="E19" i="100"/>
  <c r="D19" i="100"/>
  <c r="T18" i="100"/>
  <c r="S18" i="100"/>
  <c r="R18" i="100"/>
  <c r="Q18" i="100"/>
  <c r="P18" i="100"/>
  <c r="O18" i="100"/>
  <c r="N18" i="100"/>
  <c r="M18" i="100"/>
  <c r="L18" i="100"/>
  <c r="K18" i="100"/>
  <c r="J18" i="100"/>
  <c r="I18" i="100"/>
  <c r="H18" i="100"/>
  <c r="G18" i="100"/>
  <c r="F18" i="100"/>
  <c r="E18" i="100"/>
  <c r="D18" i="100"/>
  <c r="T17" i="100"/>
  <c r="S17" i="100"/>
  <c r="R17" i="100"/>
  <c r="Q17" i="100"/>
  <c r="P17" i="100"/>
  <c r="O17" i="100"/>
  <c r="N17" i="100"/>
  <c r="M17" i="100"/>
  <c r="L17" i="100"/>
  <c r="K17" i="100"/>
  <c r="J17" i="100"/>
  <c r="I17" i="100"/>
  <c r="H17" i="100"/>
  <c r="G17" i="100"/>
  <c r="F17" i="100"/>
  <c r="E17" i="100"/>
  <c r="D17" i="100"/>
  <c r="T16" i="100"/>
  <c r="S16" i="100"/>
  <c r="R16" i="100"/>
  <c r="Q16" i="100"/>
  <c r="P16" i="100"/>
  <c r="O16" i="100"/>
  <c r="N16" i="100"/>
  <c r="M16" i="100"/>
  <c r="L16" i="100"/>
  <c r="K16" i="100"/>
  <c r="J16" i="100"/>
  <c r="I16" i="100"/>
  <c r="H16" i="100"/>
  <c r="G16" i="100"/>
  <c r="F16" i="100"/>
  <c r="E16" i="100"/>
  <c r="D16" i="100"/>
  <c r="T15" i="100"/>
  <c r="S15" i="100"/>
  <c r="R15" i="100"/>
  <c r="Q15" i="100"/>
  <c r="P15" i="100"/>
  <c r="O15" i="100"/>
  <c r="N15" i="100"/>
  <c r="M15" i="100"/>
  <c r="L15" i="100"/>
  <c r="K15" i="100"/>
  <c r="J15" i="100"/>
  <c r="I15" i="100"/>
  <c r="H15" i="100"/>
  <c r="G15" i="100"/>
  <c r="F15" i="100"/>
  <c r="E15" i="100"/>
  <c r="D15" i="100"/>
  <c r="T14" i="100"/>
  <c r="S14" i="100"/>
  <c r="R14" i="100"/>
  <c r="Q14" i="100"/>
  <c r="P14" i="100"/>
  <c r="O14" i="100"/>
  <c r="N14" i="100"/>
  <c r="M14" i="100"/>
  <c r="L14" i="100"/>
  <c r="K14" i="100"/>
  <c r="J14" i="100"/>
  <c r="I14" i="100"/>
  <c r="H14" i="100"/>
  <c r="G14" i="100"/>
  <c r="F14" i="100"/>
  <c r="E14" i="100"/>
  <c r="D14" i="100"/>
  <c r="T13" i="100"/>
  <c r="S13" i="100"/>
  <c r="R13" i="100"/>
  <c r="Q13" i="100"/>
  <c r="P13" i="100"/>
  <c r="O13" i="100"/>
  <c r="N13" i="100"/>
  <c r="M13" i="100"/>
  <c r="L13" i="100"/>
  <c r="K13" i="100"/>
  <c r="J13" i="100"/>
  <c r="I13" i="100"/>
  <c r="H13" i="100"/>
  <c r="G13" i="100"/>
  <c r="F13" i="100"/>
  <c r="E13" i="100"/>
  <c r="D13" i="100"/>
  <c r="T12" i="100"/>
  <c r="S12" i="100"/>
  <c r="R12" i="100"/>
  <c r="Q12" i="100"/>
  <c r="P12" i="100"/>
  <c r="O12" i="100"/>
  <c r="N12" i="100"/>
  <c r="M12" i="100"/>
  <c r="L12" i="100"/>
  <c r="K12" i="100"/>
  <c r="J12" i="100"/>
  <c r="I12" i="100"/>
  <c r="H12" i="100"/>
  <c r="G12" i="100"/>
  <c r="F12" i="100"/>
  <c r="E12" i="100"/>
  <c r="D12" i="100"/>
  <c r="T11" i="100"/>
  <c r="S11" i="100"/>
  <c r="R11" i="100"/>
  <c r="Q11" i="100"/>
  <c r="P11" i="100"/>
  <c r="O11" i="100"/>
  <c r="N11" i="100"/>
  <c r="M11" i="100"/>
  <c r="L11" i="100"/>
  <c r="K11" i="100"/>
  <c r="J11" i="100"/>
  <c r="I11" i="100"/>
  <c r="H11" i="100"/>
  <c r="G11" i="100"/>
  <c r="F11" i="100"/>
  <c r="E11" i="100"/>
  <c r="D11" i="100"/>
  <c r="T10" i="100"/>
  <c r="S10" i="100"/>
  <c r="R10" i="100"/>
  <c r="Q10" i="100"/>
  <c r="P10" i="100"/>
  <c r="O10" i="100"/>
  <c r="N10" i="100"/>
  <c r="M10" i="100"/>
  <c r="L10" i="100"/>
  <c r="K10" i="100"/>
  <c r="J10" i="100"/>
  <c r="I10" i="100"/>
  <c r="H10" i="100"/>
  <c r="G10" i="100"/>
  <c r="F10" i="100"/>
  <c r="E10" i="100"/>
  <c r="D10" i="100"/>
  <c r="T9" i="100"/>
  <c r="S9" i="100"/>
  <c r="R9" i="100"/>
  <c r="Q9" i="100"/>
  <c r="P9" i="100"/>
  <c r="O9" i="100"/>
  <c r="N9" i="100"/>
  <c r="M9" i="100"/>
  <c r="L9" i="100"/>
  <c r="K9" i="100"/>
  <c r="J9" i="100"/>
  <c r="I9" i="100"/>
  <c r="H9" i="100"/>
  <c r="G9" i="100"/>
  <c r="F9" i="100"/>
  <c r="E9" i="100"/>
  <c r="D9" i="100"/>
  <c r="T8" i="100"/>
  <c r="S8" i="100"/>
  <c r="R8" i="100"/>
  <c r="Q8" i="100"/>
  <c r="P8" i="100"/>
  <c r="O8" i="100"/>
  <c r="N8" i="100"/>
  <c r="M8" i="100"/>
  <c r="L8" i="100"/>
  <c r="K8" i="100"/>
  <c r="J8" i="100"/>
  <c r="I8" i="100"/>
  <c r="H8" i="100"/>
  <c r="G8" i="100"/>
  <c r="F8" i="100"/>
  <c r="E8" i="100"/>
  <c r="D8" i="100"/>
  <c r="T7" i="100"/>
  <c r="S7" i="100"/>
  <c r="R7" i="100"/>
  <c r="Q7" i="100"/>
  <c r="P7" i="100"/>
  <c r="O7" i="100"/>
  <c r="N7" i="100"/>
  <c r="M7" i="100"/>
  <c r="L7" i="100"/>
  <c r="K7" i="100"/>
  <c r="J7" i="100"/>
  <c r="I7" i="100"/>
  <c r="H7" i="100"/>
  <c r="G7" i="100"/>
  <c r="F7" i="100"/>
  <c r="E7" i="100"/>
  <c r="D7" i="100"/>
  <c r="D82" i="114"/>
  <c r="C82" i="114"/>
  <c r="D81" i="114"/>
  <c r="C81" i="114"/>
  <c r="D80" i="114"/>
  <c r="C80" i="114"/>
  <c r="D79" i="114"/>
  <c r="C79" i="114"/>
  <c r="D78" i="114"/>
  <c r="C78" i="114"/>
  <c r="D77" i="114"/>
  <c r="C77" i="114"/>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1" i="114"/>
  <c r="C41" i="114"/>
  <c r="D40" i="114"/>
  <c r="C40" i="114"/>
  <c r="D39" i="114"/>
  <c r="C39" i="114"/>
  <c r="D38" i="114"/>
  <c r="C38" i="114"/>
  <c r="G37" i="114"/>
  <c r="D37" i="114"/>
  <c r="C37" i="114"/>
  <c r="D36" i="114"/>
  <c r="C36" i="114"/>
  <c r="D35" i="114"/>
  <c r="C35" i="114"/>
  <c r="G34" i="114"/>
  <c r="G41" i="114" s="1"/>
  <c r="D34" i="114"/>
  <c r="C34" i="114"/>
  <c r="G33" i="114"/>
  <c r="J29" i="114"/>
  <c r="K29" i="114" s="1"/>
  <c r="I29" i="114"/>
  <c r="G29" i="114"/>
  <c r="F29" i="114"/>
  <c r="H29" i="114" s="1"/>
  <c r="E29" i="114"/>
  <c r="D29" i="114"/>
  <c r="C29" i="114"/>
  <c r="J28" i="114"/>
  <c r="I28" i="114"/>
  <c r="K28" i="114" s="1"/>
  <c r="K30" i="114" s="1"/>
  <c r="G28" i="114"/>
  <c r="F28" i="114"/>
  <c r="D28" i="114"/>
  <c r="E28" i="114" s="1"/>
  <c r="E30" i="114" s="1"/>
  <c r="C28" i="114"/>
  <c r="B28" i="114"/>
  <c r="H22" i="114"/>
  <c r="F22" i="114"/>
  <c r="D22" i="114"/>
  <c r="C22" i="114"/>
  <c r="E22" i="114" s="1"/>
  <c r="H21" i="114"/>
  <c r="F21" i="114"/>
  <c r="D21" i="114"/>
  <c r="C21" i="114"/>
  <c r="B21" i="114"/>
  <c r="L16" i="114"/>
  <c r="K16" i="114"/>
  <c r="I16" i="114"/>
  <c r="G16" i="114"/>
  <c r="H16" i="114" s="1"/>
  <c r="F16" i="114"/>
  <c r="D16" i="114"/>
  <c r="C16" i="114"/>
  <c r="L15" i="114"/>
  <c r="M15" i="114" s="1"/>
  <c r="K15" i="114"/>
  <c r="I15" i="114"/>
  <c r="J15" i="114" s="1"/>
  <c r="G15" i="114"/>
  <c r="H15" i="114" s="1"/>
  <c r="H17" i="114" s="1"/>
  <c r="F15" i="114"/>
  <c r="D15" i="114"/>
  <c r="C15" i="114"/>
  <c r="B15" i="114"/>
  <c r="L11" i="114"/>
  <c r="K11" i="114"/>
  <c r="I11" i="114"/>
  <c r="H11" i="114"/>
  <c r="F11" i="114"/>
  <c r="E11" i="114"/>
  <c r="D11" i="114"/>
  <c r="C11" i="114"/>
  <c r="L10" i="114"/>
  <c r="L12" i="114" s="1"/>
  <c r="K10" i="114"/>
  <c r="K12" i="114" s="1"/>
  <c r="I10" i="114"/>
  <c r="I12" i="114" s="1"/>
  <c r="H10" i="114"/>
  <c r="H12" i="114" s="1"/>
  <c r="F10" i="114"/>
  <c r="F12" i="114" s="1"/>
  <c r="E10" i="114"/>
  <c r="E12" i="114" s="1"/>
  <c r="D10" i="114"/>
  <c r="D12" i="114" s="1"/>
  <c r="C10" i="114"/>
  <c r="C12" i="114" s="1"/>
  <c r="B10" i="114"/>
  <c r="Q128" i="98"/>
  <c r="P128" i="98"/>
  <c r="O128" i="98"/>
  <c r="N128" i="98"/>
  <c r="L128" i="98"/>
  <c r="I128" i="98"/>
  <c r="H128" i="98"/>
  <c r="G128" i="98"/>
  <c r="F128" i="98"/>
  <c r="D128" i="98"/>
  <c r="Q127" i="98"/>
  <c r="P127" i="98"/>
  <c r="O127" i="98"/>
  <c r="N127" i="98"/>
  <c r="L127" i="98"/>
  <c r="I127" i="98"/>
  <c r="H127" i="98"/>
  <c r="G127" i="98"/>
  <c r="F127" i="98"/>
  <c r="D127" i="98"/>
  <c r="Q126" i="98"/>
  <c r="P126" i="98"/>
  <c r="O126" i="98"/>
  <c r="N126" i="98"/>
  <c r="L126" i="98"/>
  <c r="I126" i="98"/>
  <c r="H126" i="98"/>
  <c r="G126" i="98"/>
  <c r="F126" i="98"/>
  <c r="D126" i="98"/>
  <c r="Q125" i="98"/>
  <c r="P125" i="98"/>
  <c r="O125" i="98"/>
  <c r="N125" i="98"/>
  <c r="L125" i="98"/>
  <c r="I125" i="98"/>
  <c r="H125" i="98"/>
  <c r="G125" i="98"/>
  <c r="F125" i="98"/>
  <c r="D125" i="98"/>
  <c r="U123" i="98"/>
  <c r="B123" i="98"/>
  <c r="R121" i="98"/>
  <c r="Q121" i="98"/>
  <c r="P121" i="98"/>
  <c r="O121" i="98"/>
  <c r="N121" i="98"/>
  <c r="L121" i="98"/>
  <c r="K121" i="98"/>
  <c r="J121" i="98"/>
  <c r="I121" i="98"/>
  <c r="H121" i="98"/>
  <c r="G121" i="98"/>
  <c r="F121" i="98"/>
  <c r="D121" i="98"/>
  <c r="C121" i="98"/>
  <c r="R120" i="98"/>
  <c r="Q120" i="98"/>
  <c r="P120" i="98"/>
  <c r="O120" i="98"/>
  <c r="N120" i="98"/>
  <c r="L120" i="98"/>
  <c r="K120" i="98"/>
  <c r="J120" i="98"/>
  <c r="I120" i="98"/>
  <c r="H120" i="98"/>
  <c r="G120" i="98"/>
  <c r="F120" i="98"/>
  <c r="D120" i="98"/>
  <c r="C120" i="98"/>
  <c r="R119" i="98"/>
  <c r="Q119" i="98"/>
  <c r="P119" i="98"/>
  <c r="O119" i="98"/>
  <c r="N119" i="98"/>
  <c r="L119" i="98"/>
  <c r="K119" i="98"/>
  <c r="J119" i="98"/>
  <c r="I119" i="98"/>
  <c r="H119" i="98"/>
  <c r="G119" i="98"/>
  <c r="F119" i="98"/>
  <c r="D119" i="98"/>
  <c r="C119" i="98"/>
  <c r="R118" i="98"/>
  <c r="Q118" i="98"/>
  <c r="P118" i="98"/>
  <c r="O118" i="98"/>
  <c r="N118" i="98"/>
  <c r="L118" i="98"/>
  <c r="K118" i="98"/>
  <c r="J118" i="98"/>
  <c r="I118" i="98"/>
  <c r="H118" i="98"/>
  <c r="G118" i="98"/>
  <c r="F118" i="98"/>
  <c r="D118" i="98"/>
  <c r="C118" i="98"/>
  <c r="U116" i="98"/>
  <c r="B116" i="98"/>
  <c r="R114" i="98"/>
  <c r="Q114" i="98"/>
  <c r="P114" i="98"/>
  <c r="N114" i="98"/>
  <c r="M114" i="98"/>
  <c r="L114" i="98"/>
  <c r="K114" i="98"/>
  <c r="J114" i="98"/>
  <c r="I114" i="98"/>
  <c r="H114" i="98"/>
  <c r="F114" i="98"/>
  <c r="E114" i="98"/>
  <c r="D114" i="98"/>
  <c r="C114" i="98"/>
  <c r="R113" i="98"/>
  <c r="Q113" i="98"/>
  <c r="P113" i="98"/>
  <c r="N113" i="98"/>
  <c r="M113" i="98"/>
  <c r="L113" i="98"/>
  <c r="K113" i="98"/>
  <c r="J113" i="98"/>
  <c r="I113" i="98"/>
  <c r="H113" i="98"/>
  <c r="F113" i="98"/>
  <c r="E113" i="98"/>
  <c r="D113" i="98"/>
  <c r="C113" i="98"/>
  <c r="R112" i="98"/>
  <c r="Q112" i="98"/>
  <c r="P112" i="98"/>
  <c r="N112" i="98"/>
  <c r="M112" i="98"/>
  <c r="L112" i="98"/>
  <c r="K112" i="98"/>
  <c r="J112" i="98"/>
  <c r="I112" i="98"/>
  <c r="H112" i="98"/>
  <c r="F112" i="98"/>
  <c r="E112" i="98"/>
  <c r="D112" i="98"/>
  <c r="C112" i="98"/>
  <c r="R111" i="98"/>
  <c r="Q111" i="98"/>
  <c r="P111" i="98"/>
  <c r="N111" i="98"/>
  <c r="M111" i="98"/>
  <c r="L111" i="98"/>
  <c r="K111" i="98"/>
  <c r="J111" i="98"/>
  <c r="I111" i="98"/>
  <c r="H111" i="98"/>
  <c r="F111" i="98"/>
  <c r="E111" i="98"/>
  <c r="D111" i="98"/>
  <c r="C111" i="98"/>
  <c r="U109" i="98"/>
  <c r="B109" i="98"/>
  <c r="M128" i="98" s="1"/>
  <c r="R107" i="98"/>
  <c r="P107" i="98"/>
  <c r="O107" i="98"/>
  <c r="N107" i="98"/>
  <c r="M107" i="98"/>
  <c r="L107" i="98"/>
  <c r="K107" i="98"/>
  <c r="J107" i="98"/>
  <c r="H107" i="98"/>
  <c r="G107" i="98"/>
  <c r="F107" i="98"/>
  <c r="E107" i="98"/>
  <c r="D107" i="98"/>
  <c r="C107" i="98"/>
  <c r="R106" i="98"/>
  <c r="P106" i="98"/>
  <c r="O106" i="98"/>
  <c r="N106" i="98"/>
  <c r="M106" i="98"/>
  <c r="L106" i="98"/>
  <c r="K106" i="98"/>
  <c r="J106" i="98"/>
  <c r="H106" i="98"/>
  <c r="G106" i="98"/>
  <c r="F106" i="98"/>
  <c r="E106" i="98"/>
  <c r="D106" i="98"/>
  <c r="C106" i="98"/>
  <c r="R105" i="98"/>
  <c r="P105" i="98"/>
  <c r="O105" i="98"/>
  <c r="N105" i="98"/>
  <c r="M105" i="98"/>
  <c r="L105" i="98"/>
  <c r="K105" i="98"/>
  <c r="J105" i="98"/>
  <c r="H105" i="98"/>
  <c r="G105" i="98"/>
  <c r="F105" i="98"/>
  <c r="E105" i="98"/>
  <c r="D105" i="98"/>
  <c r="C105" i="98"/>
  <c r="R104" i="98"/>
  <c r="P104" i="98"/>
  <c r="O104" i="98"/>
  <c r="N104" i="98"/>
  <c r="M104" i="98"/>
  <c r="L104" i="98"/>
  <c r="K104" i="98"/>
  <c r="J104" i="98"/>
  <c r="H104" i="98"/>
  <c r="G104" i="98"/>
  <c r="F104" i="98"/>
  <c r="E104" i="98"/>
  <c r="D104" i="98"/>
  <c r="C104" i="98"/>
  <c r="U102" i="98"/>
  <c r="B102" i="98"/>
  <c r="M121" i="98" s="1"/>
  <c r="B94" i="98"/>
  <c r="S91" i="98"/>
  <c r="R91" i="98"/>
  <c r="Q91" i="98"/>
  <c r="P91" i="98"/>
  <c r="N91" i="98"/>
  <c r="L91" i="98"/>
  <c r="K91" i="98"/>
  <c r="J91" i="98"/>
  <c r="I91" i="98"/>
  <c r="I98" i="98" s="1"/>
  <c r="H91" i="98"/>
  <c r="F91" i="98"/>
  <c r="D91" i="98"/>
  <c r="C91" i="98"/>
  <c r="S90" i="98"/>
  <c r="R90" i="98"/>
  <c r="Q90" i="98"/>
  <c r="O90" i="98"/>
  <c r="M90" i="98"/>
  <c r="L90" i="98"/>
  <c r="K90" i="98"/>
  <c r="J90" i="98"/>
  <c r="I90" i="98"/>
  <c r="I97" i="98" s="1"/>
  <c r="G90" i="98"/>
  <c r="G97" i="98" s="1"/>
  <c r="E90" i="98"/>
  <c r="D90" i="98"/>
  <c r="C90" i="98"/>
  <c r="S89" i="98"/>
  <c r="R89" i="98"/>
  <c r="P89" i="98"/>
  <c r="N89" i="98"/>
  <c r="M89" i="98"/>
  <c r="L89" i="98"/>
  <c r="K89" i="98"/>
  <c r="J89" i="98"/>
  <c r="H89" i="98"/>
  <c r="H96" i="98" s="1"/>
  <c r="F89" i="98"/>
  <c r="E89" i="98"/>
  <c r="E96" i="98" s="1"/>
  <c r="D89" i="98"/>
  <c r="C89" i="98"/>
  <c r="S88" i="98"/>
  <c r="Q88" i="98"/>
  <c r="O88" i="98"/>
  <c r="N88" i="98"/>
  <c r="M88" i="98"/>
  <c r="L88" i="98"/>
  <c r="K88" i="98"/>
  <c r="I88" i="98"/>
  <c r="G88" i="98"/>
  <c r="G95" i="98" s="1"/>
  <c r="F88" i="98"/>
  <c r="E88" i="98"/>
  <c r="D88" i="98"/>
  <c r="C88" i="98"/>
  <c r="B87" i="98"/>
  <c r="O91" i="98" s="1"/>
  <c r="D82" i="98"/>
  <c r="C82" i="98"/>
  <c r="D81" i="98"/>
  <c r="C81" i="98"/>
  <c r="D80" i="98"/>
  <c r="C80" i="98"/>
  <c r="D79" i="98"/>
  <c r="C79" i="98"/>
  <c r="D78" i="98"/>
  <c r="C78" i="98"/>
  <c r="D77" i="98"/>
  <c r="C77" i="98"/>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1" i="98"/>
  <c r="C41" i="98"/>
  <c r="D40" i="98"/>
  <c r="C40" i="98"/>
  <c r="D39" i="98"/>
  <c r="C39" i="98"/>
  <c r="D38" i="98"/>
  <c r="C38" i="98"/>
  <c r="G37" i="98"/>
  <c r="D37" i="98"/>
  <c r="C37" i="98"/>
  <c r="D36" i="98"/>
  <c r="C36" i="98"/>
  <c r="D35" i="98"/>
  <c r="C35" i="98"/>
  <c r="G34" i="98"/>
  <c r="D34" i="98"/>
  <c r="C34" i="98"/>
  <c r="G33" i="98"/>
  <c r="J29" i="98"/>
  <c r="K29" i="98" s="1"/>
  <c r="I29" i="98"/>
  <c r="G29" i="98"/>
  <c r="H29" i="98" s="1"/>
  <c r="F29" i="98"/>
  <c r="D29" i="98"/>
  <c r="E29" i="98" s="1"/>
  <c r="C29" i="98"/>
  <c r="J28" i="98"/>
  <c r="I28" i="98"/>
  <c r="K28" i="98" s="1"/>
  <c r="K30" i="98" s="1"/>
  <c r="G28" i="98"/>
  <c r="F28" i="98"/>
  <c r="D28" i="98"/>
  <c r="C28" i="98"/>
  <c r="B28" i="98"/>
  <c r="H22" i="98"/>
  <c r="F22" i="98"/>
  <c r="D22" i="98"/>
  <c r="C22" i="98"/>
  <c r="E22" i="98" s="1"/>
  <c r="G22" i="98" s="1"/>
  <c r="H21" i="98"/>
  <c r="F21" i="98"/>
  <c r="D21" i="98"/>
  <c r="C21" i="98"/>
  <c r="B21" i="98"/>
  <c r="L16" i="98"/>
  <c r="M16" i="98" s="1"/>
  <c r="K16" i="98"/>
  <c r="I16" i="98"/>
  <c r="G16" i="98"/>
  <c r="F16" i="98"/>
  <c r="D16" i="98"/>
  <c r="E16" i="98" s="1"/>
  <c r="C16" i="98"/>
  <c r="L15" i="98"/>
  <c r="K15" i="98"/>
  <c r="I15" i="98"/>
  <c r="J15" i="98" s="1"/>
  <c r="G15" i="98"/>
  <c r="F15" i="98"/>
  <c r="D15" i="98"/>
  <c r="C15" i="98"/>
  <c r="B14" i="98"/>
  <c r="L11" i="98"/>
  <c r="K11" i="98"/>
  <c r="I11" i="98"/>
  <c r="H11" i="98"/>
  <c r="F11" i="98"/>
  <c r="E11" i="98"/>
  <c r="D11" i="98"/>
  <c r="C11" i="98"/>
  <c r="L10" i="98"/>
  <c r="L12" i="98" s="1"/>
  <c r="K10" i="98"/>
  <c r="K12" i="98" s="1"/>
  <c r="I10" i="98"/>
  <c r="I12" i="98" s="1"/>
  <c r="H10" i="98"/>
  <c r="H12" i="98" s="1"/>
  <c r="F10" i="98"/>
  <c r="F12" i="98" s="1"/>
  <c r="E10" i="98"/>
  <c r="E12" i="98" s="1"/>
  <c r="D10" i="98"/>
  <c r="D12" i="98" s="1"/>
  <c r="C10" i="98"/>
  <c r="C12" i="98" s="1"/>
  <c r="B9" i="98"/>
  <c r="S79" i="117"/>
  <c r="R79" i="117"/>
  <c r="Q79" i="117"/>
  <c r="P79" i="117"/>
  <c r="O79" i="117"/>
  <c r="N79" i="117"/>
  <c r="M79" i="117"/>
  <c r="L79" i="117"/>
  <c r="K79" i="117"/>
  <c r="J79" i="117"/>
  <c r="I79" i="117"/>
  <c r="H79" i="117"/>
  <c r="G79" i="117"/>
  <c r="F79" i="117"/>
  <c r="E79" i="117"/>
  <c r="D79" i="117"/>
  <c r="C79" i="117"/>
  <c r="S78" i="117"/>
  <c r="R78" i="117"/>
  <c r="Q78" i="117"/>
  <c r="P78" i="117"/>
  <c r="O78" i="117"/>
  <c r="N78" i="117"/>
  <c r="M78" i="117"/>
  <c r="L78" i="117"/>
  <c r="K78" i="117"/>
  <c r="J78" i="117"/>
  <c r="I78" i="117"/>
  <c r="H78" i="117"/>
  <c r="G78" i="117"/>
  <c r="F78" i="117"/>
  <c r="E78" i="117"/>
  <c r="D78" i="117"/>
  <c r="C78" i="117"/>
  <c r="S77" i="117"/>
  <c r="R77" i="117"/>
  <c r="Q77" i="117"/>
  <c r="P77" i="117"/>
  <c r="O77" i="117"/>
  <c r="N77" i="117"/>
  <c r="M77" i="117"/>
  <c r="L77" i="117"/>
  <c r="K77" i="117"/>
  <c r="J77" i="117"/>
  <c r="I77" i="117"/>
  <c r="H77" i="117"/>
  <c r="G77" i="117"/>
  <c r="F77" i="117"/>
  <c r="E77" i="117"/>
  <c r="D77" i="117"/>
  <c r="C77" i="117"/>
  <c r="S76" i="117"/>
  <c r="R76" i="117"/>
  <c r="Q76" i="117"/>
  <c r="P76" i="117"/>
  <c r="O76" i="117"/>
  <c r="N76" i="117"/>
  <c r="M76" i="117"/>
  <c r="L76" i="117"/>
  <c r="K76" i="117"/>
  <c r="J76" i="117"/>
  <c r="I76" i="117"/>
  <c r="H76" i="117"/>
  <c r="G76" i="117"/>
  <c r="F76" i="117"/>
  <c r="E76" i="117"/>
  <c r="D76" i="117"/>
  <c r="C76" i="117"/>
  <c r="S75" i="117"/>
  <c r="R75" i="117"/>
  <c r="Q75" i="117"/>
  <c r="P75" i="117"/>
  <c r="O75" i="117"/>
  <c r="N75" i="117"/>
  <c r="M75" i="117"/>
  <c r="L75" i="117"/>
  <c r="K75" i="117"/>
  <c r="J75" i="117"/>
  <c r="I75" i="117"/>
  <c r="H75" i="117"/>
  <c r="G75" i="117"/>
  <c r="F75" i="117"/>
  <c r="E75" i="117"/>
  <c r="D75" i="117"/>
  <c r="C75" i="117"/>
  <c r="B73" i="117"/>
  <c r="S70" i="117"/>
  <c r="R70" i="117"/>
  <c r="Q70" i="117"/>
  <c r="P70" i="117"/>
  <c r="O70" i="117"/>
  <c r="N70" i="117"/>
  <c r="M70" i="117"/>
  <c r="L70" i="117"/>
  <c r="K70" i="117"/>
  <c r="J70" i="117"/>
  <c r="I70" i="117"/>
  <c r="H70" i="117"/>
  <c r="G70" i="117"/>
  <c r="F70" i="117"/>
  <c r="E70" i="117"/>
  <c r="D70" i="117"/>
  <c r="C70" i="117"/>
  <c r="S69" i="117"/>
  <c r="R69" i="117"/>
  <c r="Q69" i="117"/>
  <c r="P69" i="117"/>
  <c r="O69" i="117"/>
  <c r="N69" i="117"/>
  <c r="M69" i="117"/>
  <c r="L69" i="117"/>
  <c r="K69" i="117"/>
  <c r="J69" i="117"/>
  <c r="I69" i="117"/>
  <c r="H69" i="117"/>
  <c r="G69" i="117"/>
  <c r="F69" i="117"/>
  <c r="E69" i="117"/>
  <c r="D69" i="117"/>
  <c r="C69" i="117"/>
  <c r="S68" i="117"/>
  <c r="R68" i="117"/>
  <c r="Q68" i="117"/>
  <c r="P68" i="117"/>
  <c r="O68" i="117"/>
  <c r="N68" i="117"/>
  <c r="M68" i="117"/>
  <c r="L68" i="117"/>
  <c r="K68" i="117"/>
  <c r="J68" i="117"/>
  <c r="I68" i="117"/>
  <c r="H68" i="117"/>
  <c r="G68" i="117"/>
  <c r="F68" i="117"/>
  <c r="E68" i="117"/>
  <c r="D68" i="117"/>
  <c r="C68" i="117"/>
  <c r="S67" i="117"/>
  <c r="R67" i="117"/>
  <c r="Q67" i="117"/>
  <c r="P67" i="117"/>
  <c r="O67" i="117"/>
  <c r="N67" i="117"/>
  <c r="M67" i="117"/>
  <c r="L67" i="117"/>
  <c r="K67" i="117"/>
  <c r="J67" i="117"/>
  <c r="I67" i="117"/>
  <c r="H67" i="117"/>
  <c r="G67" i="117"/>
  <c r="F67" i="117"/>
  <c r="E67" i="117"/>
  <c r="D67" i="117"/>
  <c r="C67" i="117"/>
  <c r="S66" i="117"/>
  <c r="R66" i="117"/>
  <c r="Q66" i="117"/>
  <c r="P66" i="117"/>
  <c r="O66" i="117"/>
  <c r="N66" i="117"/>
  <c r="M66" i="117"/>
  <c r="L66" i="117"/>
  <c r="K66" i="117"/>
  <c r="J66" i="117"/>
  <c r="I66" i="117"/>
  <c r="H66" i="117"/>
  <c r="G66" i="117"/>
  <c r="F66" i="117"/>
  <c r="E66" i="117"/>
  <c r="D66" i="117"/>
  <c r="C66" i="117"/>
  <c r="B64" i="117"/>
  <c r="S61" i="117"/>
  <c r="R61" i="117"/>
  <c r="Q61" i="117"/>
  <c r="P61" i="117"/>
  <c r="O61" i="117"/>
  <c r="N61" i="117"/>
  <c r="M61" i="117"/>
  <c r="L61" i="117"/>
  <c r="K61" i="117"/>
  <c r="J61" i="117"/>
  <c r="I61" i="117"/>
  <c r="H61" i="117"/>
  <c r="G61" i="117"/>
  <c r="F61" i="117"/>
  <c r="E61" i="117"/>
  <c r="D61" i="117"/>
  <c r="C61" i="117"/>
  <c r="S60" i="117"/>
  <c r="R60" i="117"/>
  <c r="Q60" i="117"/>
  <c r="P60" i="117"/>
  <c r="O60" i="117"/>
  <c r="N60" i="117"/>
  <c r="M60" i="117"/>
  <c r="L60" i="117"/>
  <c r="K60" i="117"/>
  <c r="J60" i="117"/>
  <c r="I60" i="117"/>
  <c r="H60" i="117"/>
  <c r="G60" i="117"/>
  <c r="F60" i="117"/>
  <c r="E60" i="117"/>
  <c r="D60" i="117"/>
  <c r="C60"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B55" i="117"/>
  <c r="S52" i="117"/>
  <c r="R52" i="117"/>
  <c r="Q52" i="117"/>
  <c r="P52" i="117"/>
  <c r="O52" i="117"/>
  <c r="N52" i="117"/>
  <c r="M52" i="117"/>
  <c r="L52" i="117"/>
  <c r="K52" i="117"/>
  <c r="J52" i="117"/>
  <c r="I52" i="117"/>
  <c r="H52" i="117"/>
  <c r="G52" i="117"/>
  <c r="F52" i="117"/>
  <c r="E52" i="117"/>
  <c r="D52" i="117"/>
  <c r="C52"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S48" i="117"/>
  <c r="R48" i="117"/>
  <c r="Q48" i="117"/>
  <c r="P48" i="117"/>
  <c r="O48" i="117"/>
  <c r="N48" i="117"/>
  <c r="M48" i="117"/>
  <c r="L48" i="117"/>
  <c r="K48" i="117"/>
  <c r="J48" i="117"/>
  <c r="I48" i="117"/>
  <c r="H48" i="117"/>
  <c r="G48" i="117"/>
  <c r="F48" i="117"/>
  <c r="E48" i="117"/>
  <c r="D48" i="117"/>
  <c r="C48" i="117"/>
  <c r="B46" i="117"/>
  <c r="S43" i="117"/>
  <c r="R43" i="117"/>
  <c r="Q43" i="117"/>
  <c r="P43" i="117"/>
  <c r="O43" i="117"/>
  <c r="N43" i="117"/>
  <c r="M43" i="117"/>
  <c r="L43" i="117"/>
  <c r="K43" i="117"/>
  <c r="J43" i="117"/>
  <c r="I43" i="117"/>
  <c r="H43" i="117"/>
  <c r="G43" i="117"/>
  <c r="F43" i="117"/>
  <c r="E43" i="117"/>
  <c r="D43" i="117"/>
  <c r="C43" i="117"/>
  <c r="S42" i="117"/>
  <c r="R42" i="117"/>
  <c r="Q42" i="117"/>
  <c r="P42" i="117"/>
  <c r="O42" i="117"/>
  <c r="N42" i="117"/>
  <c r="M42" i="117"/>
  <c r="L42" i="117"/>
  <c r="K42" i="117"/>
  <c r="J42" i="117"/>
  <c r="I42" i="117"/>
  <c r="H42" i="117"/>
  <c r="G42" i="117"/>
  <c r="F42" i="117"/>
  <c r="E42" i="117"/>
  <c r="D42" i="117"/>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B37" i="117"/>
  <c r="F31" i="117"/>
  <c r="E31" i="117"/>
  <c r="D31" i="117"/>
  <c r="C31" i="117"/>
  <c r="F30" i="117"/>
  <c r="E30" i="117"/>
  <c r="D30" i="117"/>
  <c r="C30" i="117"/>
  <c r="B30" i="117"/>
  <c r="F25" i="117"/>
  <c r="E25" i="117"/>
  <c r="D25" i="117"/>
  <c r="C25" i="117"/>
  <c r="F24" i="117"/>
  <c r="E24" i="117"/>
  <c r="D24" i="117"/>
  <c r="C24" i="117"/>
  <c r="B24" i="117"/>
  <c r="F19" i="117"/>
  <c r="E19" i="117"/>
  <c r="D19" i="117"/>
  <c r="C19" i="117"/>
  <c r="F18" i="117"/>
  <c r="E18" i="117"/>
  <c r="D18" i="117"/>
  <c r="C18" i="117"/>
  <c r="B18" i="117"/>
  <c r="H17" i="117"/>
  <c r="M12" i="117" a="1"/>
  <c r="M12" i="117" s="1"/>
  <c r="L12" i="117"/>
  <c r="K12" i="117"/>
  <c r="J12" i="117"/>
  <c r="I12" i="117"/>
  <c r="F12" i="117"/>
  <c r="E12" i="117"/>
  <c r="D12" i="117"/>
  <c r="C12" i="117"/>
  <c r="M11" i="117" a="1"/>
  <c r="M11" i="117" s="1"/>
  <c r="L11" i="117"/>
  <c r="K11" i="117"/>
  <c r="J11" i="117"/>
  <c r="I11" i="117"/>
  <c r="I13" i="117" s="1"/>
  <c r="H11" i="117"/>
  <c r="F11" i="117"/>
  <c r="E11" i="117"/>
  <c r="D11" i="117"/>
  <c r="C11" i="117"/>
  <c r="C13" i="117" s="1"/>
  <c r="B11" i="117"/>
  <c r="W6" i="117" a="1"/>
  <c r="W6" i="117" s="1"/>
  <c r="W7" i="117" s="1"/>
  <c r="W5" i="117" a="1"/>
  <c r="W5" i="117" s="1"/>
  <c r="S76" i="115"/>
  <c r="R76" i="115"/>
  <c r="Q76" i="115"/>
  <c r="P76" i="115"/>
  <c r="O76" i="115"/>
  <c r="N76" i="115"/>
  <c r="M76" i="115"/>
  <c r="L76" i="115"/>
  <c r="K76" i="115"/>
  <c r="J76" i="115"/>
  <c r="I76" i="115"/>
  <c r="H76" i="115"/>
  <c r="G76" i="115"/>
  <c r="F76" i="115"/>
  <c r="E76" i="115"/>
  <c r="D76" i="115"/>
  <c r="C76" i="115"/>
  <c r="S75" i="115"/>
  <c r="R75" i="115"/>
  <c r="Q75" i="115"/>
  <c r="P75" i="115"/>
  <c r="O75" i="115"/>
  <c r="N75" i="115"/>
  <c r="M75" i="115"/>
  <c r="L75" i="115"/>
  <c r="K75" i="115"/>
  <c r="J75" i="115"/>
  <c r="I75" i="115"/>
  <c r="H75" i="115"/>
  <c r="G75" i="115"/>
  <c r="F75" i="115"/>
  <c r="E75" i="115"/>
  <c r="D75" i="115"/>
  <c r="C75" i="115"/>
  <c r="S74" i="115"/>
  <c r="R74" i="115"/>
  <c r="Q74" i="115"/>
  <c r="P74" i="115"/>
  <c r="O74" i="115"/>
  <c r="N74" i="115"/>
  <c r="M74" i="115"/>
  <c r="L74" i="115"/>
  <c r="K74" i="115"/>
  <c r="J74" i="115"/>
  <c r="I74" i="115"/>
  <c r="H74" i="115"/>
  <c r="G74" i="115"/>
  <c r="F74" i="115"/>
  <c r="E74" i="115"/>
  <c r="D74" i="115"/>
  <c r="C74" i="115"/>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B70" i="115"/>
  <c r="S67" i="115"/>
  <c r="R67" i="115"/>
  <c r="Q67" i="115"/>
  <c r="P67" i="115"/>
  <c r="O67" i="115"/>
  <c r="N67" i="115"/>
  <c r="M67" i="115"/>
  <c r="L67" i="115"/>
  <c r="K67" i="115"/>
  <c r="J67" i="115"/>
  <c r="I67" i="115"/>
  <c r="H67" i="115"/>
  <c r="G67" i="115"/>
  <c r="F67" i="115"/>
  <c r="E67" i="115"/>
  <c r="D67" i="115"/>
  <c r="C67" i="115"/>
  <c r="S66" i="115"/>
  <c r="R66" i="115"/>
  <c r="Q66" i="115"/>
  <c r="P66" i="115"/>
  <c r="O66" i="115"/>
  <c r="N66" i="115"/>
  <c r="M66" i="115"/>
  <c r="L66" i="115"/>
  <c r="K66" i="115"/>
  <c r="J66" i="115"/>
  <c r="I66" i="115"/>
  <c r="H66" i="115"/>
  <c r="G66" i="115"/>
  <c r="F66" i="115"/>
  <c r="E66" i="115"/>
  <c r="D66" i="115"/>
  <c r="C66" i="115"/>
  <c r="S65" i="115"/>
  <c r="R65" i="115"/>
  <c r="Q65" i="115"/>
  <c r="P65" i="115"/>
  <c r="O65" i="115"/>
  <c r="N65" i="115"/>
  <c r="M65" i="115"/>
  <c r="L65" i="115"/>
  <c r="K65" i="115"/>
  <c r="J65" i="115"/>
  <c r="I65" i="115"/>
  <c r="H65" i="115"/>
  <c r="G65" i="115"/>
  <c r="F65" i="115"/>
  <c r="E65" i="115"/>
  <c r="D65" i="115"/>
  <c r="C65" i="115"/>
  <c r="S64" i="115"/>
  <c r="R64" i="115"/>
  <c r="Q64" i="115"/>
  <c r="P64" i="115"/>
  <c r="O64" i="115"/>
  <c r="N64" i="115"/>
  <c r="M64" i="115"/>
  <c r="L64" i="115"/>
  <c r="K64" i="115"/>
  <c r="J64" i="115"/>
  <c r="I64" i="115"/>
  <c r="H64" i="115"/>
  <c r="G64" i="115"/>
  <c r="F64" i="115"/>
  <c r="E64" i="115"/>
  <c r="D64" i="115"/>
  <c r="C64" i="115"/>
  <c r="S63" i="115"/>
  <c r="R63" i="115"/>
  <c r="Q63" i="115"/>
  <c r="P63" i="115"/>
  <c r="O63" i="115"/>
  <c r="N63" i="115"/>
  <c r="M63" i="115"/>
  <c r="L63" i="115"/>
  <c r="K63" i="115"/>
  <c r="J63" i="115"/>
  <c r="I63" i="115"/>
  <c r="H63" i="115"/>
  <c r="G63" i="115"/>
  <c r="F63" i="115"/>
  <c r="E63" i="115"/>
  <c r="D63" i="115"/>
  <c r="C63" i="115"/>
  <c r="B61" i="115"/>
  <c r="S58" i="115"/>
  <c r="R58" i="115"/>
  <c r="Q58" i="115"/>
  <c r="P58" i="115"/>
  <c r="O58" i="115"/>
  <c r="N58" i="115"/>
  <c r="M58" i="115"/>
  <c r="L58" i="115"/>
  <c r="K58" i="115"/>
  <c r="J58" i="115"/>
  <c r="I58" i="115"/>
  <c r="H58" i="115"/>
  <c r="G58" i="115"/>
  <c r="F58" i="115"/>
  <c r="E58" i="115"/>
  <c r="D58" i="115"/>
  <c r="C58" i="115"/>
  <c r="S57" i="115"/>
  <c r="R57" i="115"/>
  <c r="Q57" i="115"/>
  <c r="P57" i="115"/>
  <c r="O57" i="115"/>
  <c r="N57" i="115"/>
  <c r="M57" i="115"/>
  <c r="L57" i="115"/>
  <c r="K57" i="115"/>
  <c r="J57" i="115"/>
  <c r="I57" i="115"/>
  <c r="H57" i="115"/>
  <c r="G57" i="115"/>
  <c r="F57" i="115"/>
  <c r="E57" i="115"/>
  <c r="D57" i="115"/>
  <c r="C57" i="115"/>
  <c r="S56" i="115"/>
  <c r="R56" i="115"/>
  <c r="Q56" i="115"/>
  <c r="P56" i="115"/>
  <c r="O56" i="115"/>
  <c r="N56" i="115"/>
  <c r="M56" i="115"/>
  <c r="L56" i="115"/>
  <c r="K56" i="115"/>
  <c r="J56" i="115"/>
  <c r="I56" i="115"/>
  <c r="H56" i="115"/>
  <c r="G56" i="115"/>
  <c r="F56" i="115"/>
  <c r="E56" i="115"/>
  <c r="D56" i="115"/>
  <c r="C56" i="115"/>
  <c r="S55" i="115"/>
  <c r="R55" i="115"/>
  <c r="Q55" i="115"/>
  <c r="P55" i="115"/>
  <c r="O55" i="115"/>
  <c r="N55" i="115"/>
  <c r="M55" i="115"/>
  <c r="L55" i="115"/>
  <c r="K55" i="115"/>
  <c r="J55" i="115"/>
  <c r="I55" i="115"/>
  <c r="H55" i="115"/>
  <c r="G55" i="115"/>
  <c r="F55" i="115"/>
  <c r="E55" i="115"/>
  <c r="D55" i="115"/>
  <c r="C55" i="115"/>
  <c r="S54" i="115"/>
  <c r="R54" i="115"/>
  <c r="Q54" i="115"/>
  <c r="P54" i="115"/>
  <c r="O54" i="115"/>
  <c r="N54" i="115"/>
  <c r="M54" i="115"/>
  <c r="L54" i="115"/>
  <c r="K54" i="115"/>
  <c r="J54" i="115"/>
  <c r="I54" i="115"/>
  <c r="H54" i="115"/>
  <c r="G54" i="115"/>
  <c r="F54" i="115"/>
  <c r="E54" i="115"/>
  <c r="D54" i="115"/>
  <c r="C54" i="115"/>
  <c r="B52" i="115"/>
  <c r="S49" i="115"/>
  <c r="R49" i="115"/>
  <c r="Q49" i="115"/>
  <c r="P49" i="115"/>
  <c r="O49" i="115"/>
  <c r="N49" i="115"/>
  <c r="M49" i="115"/>
  <c r="L49" i="115"/>
  <c r="K49" i="115"/>
  <c r="J49" i="115"/>
  <c r="I49" i="115"/>
  <c r="H49" i="115"/>
  <c r="G49" i="115"/>
  <c r="F49" i="115"/>
  <c r="E49" i="115"/>
  <c r="D49" i="115"/>
  <c r="C49" i="115"/>
  <c r="S48" i="115"/>
  <c r="R48" i="115"/>
  <c r="Q48" i="115"/>
  <c r="P48" i="115"/>
  <c r="O48" i="115"/>
  <c r="N48" i="115"/>
  <c r="M48" i="115"/>
  <c r="L48" i="115"/>
  <c r="K48" i="115"/>
  <c r="J48" i="115"/>
  <c r="I48" i="115"/>
  <c r="H48" i="115"/>
  <c r="G48" i="115"/>
  <c r="F48" i="115"/>
  <c r="E48" i="115"/>
  <c r="D48" i="115"/>
  <c r="C48" i="115"/>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B43" i="115"/>
  <c r="S40" i="115"/>
  <c r="R40" i="115"/>
  <c r="Q40" i="115"/>
  <c r="P40" i="115"/>
  <c r="O40" i="115"/>
  <c r="N40" i="115"/>
  <c r="M40" i="115"/>
  <c r="L40" i="115"/>
  <c r="K40" i="115"/>
  <c r="J40" i="115"/>
  <c r="I40" i="115"/>
  <c r="H40" i="115"/>
  <c r="G40" i="115"/>
  <c r="F40" i="115"/>
  <c r="E40" i="115"/>
  <c r="D40" i="115"/>
  <c r="C40" i="115"/>
  <c r="S39" i="115"/>
  <c r="R39" i="115"/>
  <c r="Q39" i="115"/>
  <c r="P39" i="115"/>
  <c r="O39" i="115"/>
  <c r="N39" i="115"/>
  <c r="M39" i="115"/>
  <c r="L39" i="115"/>
  <c r="K39" i="115"/>
  <c r="J39" i="115"/>
  <c r="I39" i="115"/>
  <c r="H39" i="115"/>
  <c r="G39" i="115"/>
  <c r="F39" i="115"/>
  <c r="E39" i="115"/>
  <c r="D39" i="115"/>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B34" i="115"/>
  <c r="F29" i="115"/>
  <c r="E29" i="115"/>
  <c r="D29" i="115"/>
  <c r="C29" i="115"/>
  <c r="F28" i="115"/>
  <c r="E28" i="115"/>
  <c r="D28" i="115"/>
  <c r="C28" i="115"/>
  <c r="B28" i="115"/>
  <c r="B27" i="115"/>
  <c r="F23" i="115"/>
  <c r="E23" i="115"/>
  <c r="D23" i="115"/>
  <c r="C23" i="115"/>
  <c r="F22" i="115"/>
  <c r="E22" i="115"/>
  <c r="D22" i="115"/>
  <c r="C22" i="115"/>
  <c r="B22" i="115"/>
  <c r="F17" i="115"/>
  <c r="E17" i="115"/>
  <c r="D17" i="115"/>
  <c r="C17" i="115"/>
  <c r="H16" i="115"/>
  <c r="F16" i="115"/>
  <c r="E16" i="115"/>
  <c r="D16" i="115"/>
  <c r="C16" i="115"/>
  <c r="B16" i="115"/>
  <c r="M10" i="115" a="1"/>
  <c r="M10" i="115" s="1"/>
  <c r="L10" i="115"/>
  <c r="K10" i="115"/>
  <c r="J10" i="115"/>
  <c r="I10" i="115"/>
  <c r="F10" i="115"/>
  <c r="E10" i="115"/>
  <c r="D10" i="115"/>
  <c r="C10" i="115"/>
  <c r="M9" i="115" a="1"/>
  <c r="M9" i="115" s="1"/>
  <c r="L9" i="115"/>
  <c r="K9" i="115"/>
  <c r="J9" i="115"/>
  <c r="I9" i="115"/>
  <c r="H9" i="115"/>
  <c r="F9" i="115"/>
  <c r="E9" i="115"/>
  <c r="E11" i="115" s="1"/>
  <c r="D9" i="115"/>
  <c r="C9" i="115"/>
  <c r="B9" i="115"/>
  <c r="Z5" i="115" a="1"/>
  <c r="Z5" i="115" s="1"/>
  <c r="Z6" i="115" s="1"/>
  <c r="W5" i="115" a="1"/>
  <c r="W5" i="115" s="1"/>
  <c r="W6" i="115" s="1"/>
  <c r="Z4" i="115" a="1"/>
  <c r="Z4" i="115" s="1"/>
  <c r="W4" i="115" a="1"/>
  <c r="W4" i="115" s="1"/>
  <c r="I125" i="101"/>
  <c r="U120" i="101"/>
  <c r="B120" i="101"/>
  <c r="M118" i="101"/>
  <c r="J117" i="101"/>
  <c r="J116" i="101"/>
  <c r="K115" i="101"/>
  <c r="U113" i="101"/>
  <c r="B113" i="101"/>
  <c r="K111" i="101"/>
  <c r="J111" i="101"/>
  <c r="Q110" i="101"/>
  <c r="H110" i="101"/>
  <c r="G110" i="101"/>
  <c r="R109" i="101"/>
  <c r="Q109" i="101"/>
  <c r="H109" i="101"/>
  <c r="G109" i="101"/>
  <c r="P108" i="101"/>
  <c r="O108" i="101"/>
  <c r="E108" i="101"/>
  <c r="D108" i="101"/>
  <c r="U106" i="101"/>
  <c r="B106" i="101"/>
  <c r="M124" i="101" s="1"/>
  <c r="N104" i="101"/>
  <c r="M104" i="101"/>
  <c r="J104" i="101"/>
  <c r="D104" i="101"/>
  <c r="C104" i="101"/>
  <c r="R103" i="101"/>
  <c r="M103" i="101"/>
  <c r="L103" i="101"/>
  <c r="G103" i="101"/>
  <c r="C103" i="101"/>
  <c r="R102" i="101"/>
  <c r="N102" i="101"/>
  <c r="J102" i="101"/>
  <c r="H102" i="101"/>
  <c r="E102" i="101"/>
  <c r="P101" i="101"/>
  <c r="O101" i="101"/>
  <c r="L101" i="101"/>
  <c r="G101" i="101"/>
  <c r="F101" i="101"/>
  <c r="C101" i="101"/>
  <c r="U99" i="101"/>
  <c r="B99" i="101"/>
  <c r="G125" i="101" s="1"/>
  <c r="B93" i="101"/>
  <c r="S90" i="101"/>
  <c r="L90" i="101"/>
  <c r="I90" i="101"/>
  <c r="S89" i="101"/>
  <c r="O89" i="101"/>
  <c r="I89" i="101"/>
  <c r="D89" i="101"/>
  <c r="N88" i="101"/>
  <c r="K88" i="101"/>
  <c r="D88" i="101"/>
  <c r="Q87" i="101"/>
  <c r="K87" i="101"/>
  <c r="F87" i="101"/>
  <c r="B86" i="101"/>
  <c r="O90" i="101" s="1"/>
  <c r="D82" i="101"/>
  <c r="C82" i="101"/>
  <c r="D81" i="101"/>
  <c r="C81" i="101"/>
  <c r="D80" i="101"/>
  <c r="C80" i="101"/>
  <c r="D79" i="101"/>
  <c r="C79" i="101"/>
  <c r="D78" i="101"/>
  <c r="C78" i="101"/>
  <c r="D77" i="101"/>
  <c r="C77" i="101"/>
  <c r="D76" i="101"/>
  <c r="C76" i="10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D34" i="101"/>
  <c r="C34" i="101"/>
  <c r="G33" i="101"/>
  <c r="J29" i="101"/>
  <c r="K29" i="101" s="1"/>
  <c r="I29" i="101"/>
  <c r="G29" i="101"/>
  <c r="F29" i="101"/>
  <c r="D29" i="101"/>
  <c r="C29" i="101"/>
  <c r="F28" i="101"/>
  <c r="B28" i="101"/>
  <c r="G28" i="101" s="1"/>
  <c r="H22" i="101"/>
  <c r="F22" i="101"/>
  <c r="D22" i="101"/>
  <c r="C22" i="101"/>
  <c r="E22" i="101" s="1"/>
  <c r="G22" i="101" s="1"/>
  <c r="H21" i="101"/>
  <c r="C21" i="101"/>
  <c r="B21" i="101"/>
  <c r="D21" i="101" s="1"/>
  <c r="L16" i="101"/>
  <c r="K16" i="101"/>
  <c r="I16" i="101"/>
  <c r="J16" i="101" s="1"/>
  <c r="G16" i="101"/>
  <c r="F16" i="101"/>
  <c r="D16" i="101"/>
  <c r="E16" i="101" s="1"/>
  <c r="C16" i="101"/>
  <c r="L15" i="101"/>
  <c r="K15" i="101"/>
  <c r="I15" i="101"/>
  <c r="G15" i="101"/>
  <c r="F15" i="101"/>
  <c r="E15" i="101"/>
  <c r="E17" i="101" s="1"/>
  <c r="D15" i="101"/>
  <c r="C15" i="101"/>
  <c r="B15" i="101"/>
  <c r="L10" i="101"/>
  <c r="K10" i="101"/>
  <c r="I10" i="101"/>
  <c r="H10" i="101"/>
  <c r="F10" i="101"/>
  <c r="E10" i="101"/>
  <c r="D10" i="101"/>
  <c r="C10" i="101"/>
  <c r="L9" i="101"/>
  <c r="L11" i="101" s="1"/>
  <c r="K9" i="101"/>
  <c r="K11" i="101" s="1"/>
  <c r="I9" i="101"/>
  <c r="I11" i="101" s="1"/>
  <c r="H9" i="101"/>
  <c r="H11" i="101" s="1"/>
  <c r="F9" i="101"/>
  <c r="F11" i="101" s="1"/>
  <c r="E9" i="101"/>
  <c r="E11" i="101" s="1"/>
  <c r="D9" i="101"/>
  <c r="D11" i="101" s="1"/>
  <c r="C9" i="101"/>
  <c r="C11" i="101" s="1"/>
  <c r="B9" i="101"/>
  <c r="H54" i="106"/>
  <c r="D54" i="106"/>
  <c r="E54" i="106" s="1"/>
  <c r="H53" i="106"/>
  <c r="D53" i="106"/>
  <c r="E53" i="106" s="1"/>
  <c r="H52" i="106"/>
  <c r="D52" i="106"/>
  <c r="E52" i="106" s="1"/>
  <c r="H51" i="106"/>
  <c r="D51" i="106"/>
  <c r="E51" i="106" s="1"/>
  <c r="H50" i="106"/>
  <c r="D50" i="106"/>
  <c r="E50" i="106" s="1"/>
  <c r="H49" i="106"/>
  <c r="D49" i="106"/>
  <c r="E49" i="106" s="1"/>
  <c r="H48" i="106"/>
  <c r="D48" i="106"/>
  <c r="E48" i="106" s="1"/>
  <c r="H47" i="106"/>
  <c r="D47" i="106"/>
  <c r="E47" i="106" s="1"/>
  <c r="H46" i="106"/>
  <c r="D46" i="106"/>
  <c r="E46" i="106" s="1"/>
  <c r="H45" i="106"/>
  <c r="D45" i="106"/>
  <c r="E45" i="106" s="1"/>
  <c r="H44" i="106"/>
  <c r="D44" i="106"/>
  <c r="E44" i="106" s="1"/>
  <c r="H43" i="106"/>
  <c r="D43" i="106"/>
  <c r="E43" i="106" s="1"/>
  <c r="H42" i="106"/>
  <c r="D42" i="106"/>
  <c r="E42" i="106" s="1"/>
  <c r="H41" i="106"/>
  <c r="D41" i="106"/>
  <c r="E41" i="106" s="1"/>
  <c r="H40" i="106"/>
  <c r="D40" i="106"/>
  <c r="E40" i="106" s="1"/>
  <c r="H39" i="106"/>
  <c r="D39" i="106"/>
  <c r="E39" i="106" s="1"/>
  <c r="H38" i="106"/>
  <c r="D38" i="106"/>
  <c r="E38" i="106" s="1"/>
  <c r="H37" i="106"/>
  <c r="D37" i="106"/>
  <c r="E37" i="106" s="1"/>
  <c r="H36" i="106"/>
  <c r="D36" i="106"/>
  <c r="E36" i="106" s="1"/>
  <c r="H35" i="106"/>
  <c r="D35" i="106"/>
  <c r="E35" i="106" s="1"/>
  <c r="H34" i="106"/>
  <c r="D34" i="106"/>
  <c r="E34" i="106" s="1"/>
  <c r="H33" i="106"/>
  <c r="D33" i="106"/>
  <c r="E33" i="106" s="1"/>
  <c r="H32" i="106"/>
  <c r="D32" i="106"/>
  <c r="E32" i="106" s="1"/>
  <c r="H31" i="106"/>
  <c r="D31" i="106"/>
  <c r="E31" i="106" s="1"/>
  <c r="H30" i="106"/>
  <c r="D30" i="106"/>
  <c r="E30" i="106" s="1"/>
  <c r="H29" i="106"/>
  <c r="D29" i="106"/>
  <c r="E29" i="106" s="1"/>
  <c r="H28" i="106"/>
  <c r="D28" i="106"/>
  <c r="E28" i="106" s="1"/>
  <c r="H27" i="106"/>
  <c r="D27" i="106"/>
  <c r="E27" i="106" s="1"/>
  <c r="H26" i="106"/>
  <c r="D26" i="106"/>
  <c r="E26" i="106" s="1"/>
  <c r="H25" i="106"/>
  <c r="D25" i="106"/>
  <c r="E25" i="106" s="1"/>
  <c r="H24" i="106"/>
  <c r="D24" i="106"/>
  <c r="E24" i="106" s="1"/>
  <c r="H23" i="106"/>
  <c r="D23" i="106"/>
  <c r="E23" i="106" s="1"/>
  <c r="H22" i="106"/>
  <c r="D22" i="106"/>
  <c r="E22" i="106" s="1"/>
  <c r="H21" i="106"/>
  <c r="D21" i="106"/>
  <c r="E21" i="106" s="1"/>
  <c r="H20" i="106"/>
  <c r="D20" i="106"/>
  <c r="E20" i="106" s="1"/>
  <c r="H19" i="106"/>
  <c r="D19" i="106"/>
  <c r="E19" i="106" s="1"/>
  <c r="H18" i="106"/>
  <c r="D18" i="106"/>
  <c r="E18" i="106" s="1"/>
  <c r="H17" i="106"/>
  <c r="D17" i="106"/>
  <c r="E17" i="106" s="1"/>
  <c r="H16" i="106"/>
  <c r="D16" i="106"/>
  <c r="E16" i="106" s="1"/>
  <c r="H15" i="106"/>
  <c r="D15" i="106"/>
  <c r="E15" i="106" s="1"/>
  <c r="H14" i="106"/>
  <c r="D14" i="106"/>
  <c r="E14" i="106" s="1"/>
  <c r="H13" i="106"/>
  <c r="D13" i="106"/>
  <c r="E13" i="106" s="1"/>
  <c r="H12" i="106"/>
  <c r="D12" i="106"/>
  <c r="E12" i="106" s="1"/>
  <c r="H11" i="106"/>
  <c r="D11" i="106"/>
  <c r="E11" i="106" s="1"/>
  <c r="H10" i="106"/>
  <c r="D10" i="106"/>
  <c r="E10" i="106" s="1"/>
  <c r="H9" i="106"/>
  <c r="D9" i="106"/>
  <c r="E9" i="106" s="1"/>
  <c r="H8" i="106"/>
  <c r="D8" i="106"/>
  <c r="E8" i="106" s="1"/>
  <c r="H7" i="106"/>
  <c r="D7" i="106"/>
  <c r="E7" i="106" s="1"/>
  <c r="H6" i="106"/>
  <c r="D6" i="106"/>
  <c r="D55" i="106" s="1"/>
  <c r="W153" i="79"/>
  <c r="V153" i="79"/>
  <c r="U153" i="79"/>
  <c r="T153" i="79"/>
  <c r="R153" i="79"/>
  <c r="Q153" i="79"/>
  <c r="S153" i="79" s="1"/>
  <c r="W152" i="79"/>
  <c r="V152" i="79"/>
  <c r="U152" i="79"/>
  <c r="T152" i="79"/>
  <c r="R152" i="79"/>
  <c r="Q152" i="79"/>
  <c r="W151" i="79"/>
  <c r="V151" i="79"/>
  <c r="U151" i="79"/>
  <c r="T151" i="79"/>
  <c r="R151" i="79"/>
  <c r="Q151" i="79"/>
  <c r="W150" i="79"/>
  <c r="V150" i="79"/>
  <c r="U150" i="79"/>
  <c r="T150" i="79"/>
  <c r="R150" i="79"/>
  <c r="Q150" i="79"/>
  <c r="W149" i="79"/>
  <c r="V149" i="79"/>
  <c r="U149" i="79"/>
  <c r="T149" i="79"/>
  <c r="R149" i="79"/>
  <c r="Q149" i="79"/>
  <c r="W148" i="79"/>
  <c r="V148" i="79"/>
  <c r="U148" i="79"/>
  <c r="T148" i="79"/>
  <c r="R148" i="79"/>
  <c r="Q148" i="79"/>
  <c r="W147" i="79"/>
  <c r="V147" i="79"/>
  <c r="U147" i="79"/>
  <c r="T147" i="79"/>
  <c r="R147" i="79"/>
  <c r="Q147" i="79"/>
  <c r="S147" i="79" s="1"/>
  <c r="W146" i="79"/>
  <c r="V146" i="79"/>
  <c r="U146" i="79"/>
  <c r="T146" i="79"/>
  <c r="S146" i="79"/>
  <c r="R146" i="79"/>
  <c r="Q146" i="79"/>
  <c r="W145" i="79"/>
  <c r="V145" i="79"/>
  <c r="U145" i="79"/>
  <c r="T145" i="79"/>
  <c r="R145" i="79"/>
  <c r="Q145" i="79"/>
  <c r="S145" i="79" s="1"/>
  <c r="W144" i="79"/>
  <c r="V144" i="79"/>
  <c r="U144" i="79"/>
  <c r="T144" i="79"/>
  <c r="R144" i="79"/>
  <c r="Q144" i="79"/>
  <c r="W143" i="79"/>
  <c r="V143" i="79"/>
  <c r="U143" i="79"/>
  <c r="T143" i="79"/>
  <c r="R143" i="79"/>
  <c r="Q143" i="79"/>
  <c r="W142" i="79"/>
  <c r="V142" i="79"/>
  <c r="U142" i="79"/>
  <c r="T142" i="79"/>
  <c r="R142" i="79"/>
  <c r="Q142" i="79"/>
  <c r="W141" i="79"/>
  <c r="V141" i="79"/>
  <c r="U141" i="79"/>
  <c r="T141" i="79"/>
  <c r="R141" i="79"/>
  <c r="Q141" i="79"/>
  <c r="W140" i="79"/>
  <c r="V140" i="79"/>
  <c r="U140" i="79"/>
  <c r="T140" i="79"/>
  <c r="R140" i="79"/>
  <c r="Q140" i="79"/>
  <c r="W139" i="79"/>
  <c r="V139" i="79"/>
  <c r="U139" i="79"/>
  <c r="T139" i="79"/>
  <c r="R139" i="79"/>
  <c r="Q139" i="79"/>
  <c r="S139" i="79" s="1"/>
  <c r="W138" i="79"/>
  <c r="V138" i="79"/>
  <c r="U138" i="79"/>
  <c r="T138" i="79"/>
  <c r="R138" i="79"/>
  <c r="Q138" i="79"/>
  <c r="S138" i="79" s="1"/>
  <c r="W137" i="79"/>
  <c r="V137" i="79"/>
  <c r="U137" i="79"/>
  <c r="T137" i="79"/>
  <c r="R137" i="79"/>
  <c r="Q137" i="79"/>
  <c r="W136" i="79"/>
  <c r="V136" i="79"/>
  <c r="U136" i="79"/>
  <c r="T136" i="79"/>
  <c r="R136" i="79"/>
  <c r="Q136" i="79"/>
  <c r="W135" i="79"/>
  <c r="V135" i="79"/>
  <c r="U135" i="79"/>
  <c r="T135" i="79"/>
  <c r="R135" i="79"/>
  <c r="Q135" i="79"/>
  <c r="W134" i="79"/>
  <c r="V134" i="79"/>
  <c r="U134" i="79"/>
  <c r="T134" i="79"/>
  <c r="R134" i="79"/>
  <c r="Q134" i="79"/>
  <c r="S134" i="79" s="1"/>
  <c r="W133" i="79"/>
  <c r="V133" i="79"/>
  <c r="U133" i="79"/>
  <c r="T133" i="79"/>
  <c r="R133" i="79"/>
  <c r="Q133" i="79"/>
  <c r="W132" i="79"/>
  <c r="V132" i="79"/>
  <c r="U132" i="79"/>
  <c r="T132" i="79"/>
  <c r="R132" i="79"/>
  <c r="Q132" i="79"/>
  <c r="W131" i="79"/>
  <c r="V131" i="79"/>
  <c r="U131" i="79"/>
  <c r="T131" i="79"/>
  <c r="R131" i="79"/>
  <c r="Q131" i="79"/>
  <c r="W130" i="79"/>
  <c r="V130" i="79"/>
  <c r="U130" i="79"/>
  <c r="T130" i="79"/>
  <c r="R130" i="79"/>
  <c r="Q130" i="79"/>
  <c r="S130" i="79" s="1"/>
  <c r="W129" i="79"/>
  <c r="V129" i="79"/>
  <c r="U129" i="79"/>
  <c r="T129" i="79"/>
  <c r="R129" i="79"/>
  <c r="Q129" i="79"/>
  <c r="W128" i="79"/>
  <c r="V128" i="79"/>
  <c r="U128" i="79"/>
  <c r="T128" i="79"/>
  <c r="R128" i="79"/>
  <c r="Q128" i="79"/>
  <c r="W127" i="79"/>
  <c r="V127" i="79"/>
  <c r="U127" i="79"/>
  <c r="T127" i="79"/>
  <c r="R127" i="79"/>
  <c r="Q127" i="79"/>
  <c r="W126" i="79"/>
  <c r="V126" i="79"/>
  <c r="U126" i="79"/>
  <c r="T126" i="79"/>
  <c r="R126" i="79"/>
  <c r="Q126" i="79"/>
  <c r="S126" i="79" s="1"/>
  <c r="W125" i="79"/>
  <c r="V125" i="79"/>
  <c r="U125" i="79"/>
  <c r="T125" i="79"/>
  <c r="R125" i="79"/>
  <c r="Q125" i="79"/>
  <c r="W124" i="79"/>
  <c r="V124" i="79"/>
  <c r="U124" i="79"/>
  <c r="T124" i="79"/>
  <c r="R124" i="79"/>
  <c r="Q124" i="79"/>
  <c r="W123" i="79"/>
  <c r="V123" i="79"/>
  <c r="U123" i="79"/>
  <c r="T123" i="79"/>
  <c r="R123" i="79"/>
  <c r="Q123" i="79"/>
  <c r="S123" i="79" s="1"/>
  <c r="W122" i="79"/>
  <c r="V122" i="79"/>
  <c r="U122" i="79"/>
  <c r="T122" i="79"/>
  <c r="R122" i="79"/>
  <c r="Q122" i="79"/>
  <c r="W121" i="79"/>
  <c r="V121" i="79"/>
  <c r="U121" i="79"/>
  <c r="T121" i="79"/>
  <c r="R121" i="79"/>
  <c r="Q121" i="79"/>
  <c r="S121" i="79" s="1"/>
  <c r="W120" i="79"/>
  <c r="V120" i="79"/>
  <c r="U120" i="79"/>
  <c r="T120" i="79"/>
  <c r="R120" i="79"/>
  <c r="Q120" i="79"/>
  <c r="W119" i="79"/>
  <c r="V119" i="79"/>
  <c r="U119" i="79"/>
  <c r="T119" i="79"/>
  <c r="R119" i="79"/>
  <c r="Q119" i="79"/>
  <c r="W118" i="79"/>
  <c r="V118" i="79"/>
  <c r="U118" i="79"/>
  <c r="T118" i="79"/>
  <c r="R118" i="79"/>
  <c r="Q118" i="79"/>
  <c r="W117" i="79"/>
  <c r="V117" i="79"/>
  <c r="U117" i="79"/>
  <c r="T117" i="79"/>
  <c r="R117" i="79"/>
  <c r="Q117" i="79"/>
  <c r="W116" i="79"/>
  <c r="V116" i="79"/>
  <c r="U116" i="79"/>
  <c r="T116" i="79"/>
  <c r="R116" i="79"/>
  <c r="Q116" i="79"/>
  <c r="W115" i="79"/>
  <c r="V115" i="79"/>
  <c r="U115" i="79"/>
  <c r="T115" i="79"/>
  <c r="R115" i="79"/>
  <c r="Q115" i="79"/>
  <c r="S115" i="79" s="1"/>
  <c r="W114" i="79"/>
  <c r="V114" i="79"/>
  <c r="U114" i="79"/>
  <c r="T114" i="79"/>
  <c r="R114" i="79"/>
  <c r="Q114" i="79"/>
  <c r="S114" i="79" s="1"/>
  <c r="W113" i="79"/>
  <c r="V113" i="79"/>
  <c r="U113" i="79"/>
  <c r="T113" i="79"/>
  <c r="R113" i="79"/>
  <c r="Q113" i="79"/>
  <c r="W112" i="79"/>
  <c r="V112" i="79"/>
  <c r="U112" i="79"/>
  <c r="T112" i="79"/>
  <c r="R112" i="79"/>
  <c r="Q112" i="79"/>
  <c r="W111" i="79"/>
  <c r="V111" i="79"/>
  <c r="U111" i="79"/>
  <c r="T111" i="79"/>
  <c r="R111" i="79"/>
  <c r="Q111" i="79"/>
  <c r="W110" i="79"/>
  <c r="V110" i="79"/>
  <c r="U110" i="79"/>
  <c r="T110" i="79"/>
  <c r="R110" i="79"/>
  <c r="Q110" i="79"/>
  <c r="S110" i="79" s="1"/>
  <c r="W109" i="79"/>
  <c r="V109" i="79"/>
  <c r="U109" i="79"/>
  <c r="T109" i="79"/>
  <c r="R109" i="79"/>
  <c r="Q109" i="79"/>
  <c r="W108" i="79"/>
  <c r="V108" i="79"/>
  <c r="U108" i="79"/>
  <c r="T108" i="79"/>
  <c r="R108" i="79"/>
  <c r="Q108" i="79"/>
  <c r="W107" i="79"/>
  <c r="V107" i="79"/>
  <c r="U107" i="79"/>
  <c r="T107" i="79"/>
  <c r="R107" i="79"/>
  <c r="Q107" i="79"/>
  <c r="S107" i="79" s="1"/>
  <c r="W106" i="79"/>
  <c r="V106" i="79"/>
  <c r="U106" i="79"/>
  <c r="T106" i="79"/>
  <c r="R106" i="79"/>
  <c r="Q106" i="79"/>
  <c r="S106" i="79" s="1"/>
  <c r="W105" i="79"/>
  <c r="V105" i="79"/>
  <c r="U105" i="79"/>
  <c r="T105" i="79"/>
  <c r="R105" i="79"/>
  <c r="Q105" i="79"/>
  <c r="W104" i="79"/>
  <c r="V104" i="79"/>
  <c r="U104" i="79"/>
  <c r="T104" i="79"/>
  <c r="R104" i="79"/>
  <c r="Q104" i="79"/>
  <c r="S104" i="79" s="1"/>
  <c r="W103" i="79"/>
  <c r="V103" i="79"/>
  <c r="U103" i="79"/>
  <c r="T103" i="79"/>
  <c r="R103" i="79"/>
  <c r="Q103" i="79"/>
  <c r="W102" i="79"/>
  <c r="V102" i="79"/>
  <c r="U102" i="79"/>
  <c r="T102" i="79"/>
  <c r="R102" i="79"/>
  <c r="Q102" i="79"/>
  <c r="S102" i="79" s="1"/>
  <c r="W101" i="79"/>
  <c r="V101" i="79"/>
  <c r="U101" i="79"/>
  <c r="T101" i="79"/>
  <c r="R101" i="79"/>
  <c r="S101" i="79" s="1"/>
  <c r="Q101" i="79"/>
  <c r="W100" i="79"/>
  <c r="V100" i="79"/>
  <c r="U100" i="79"/>
  <c r="T100" i="79"/>
  <c r="R100" i="79"/>
  <c r="Q100" i="79"/>
  <c r="S100" i="79" s="1"/>
  <c r="W99" i="79"/>
  <c r="V99" i="79"/>
  <c r="U99" i="79"/>
  <c r="T99" i="79"/>
  <c r="R99" i="79"/>
  <c r="Q99" i="79"/>
  <c r="W98" i="79"/>
  <c r="V98" i="79"/>
  <c r="U98" i="79"/>
  <c r="T98" i="79"/>
  <c r="R98" i="79"/>
  <c r="Q98" i="79"/>
  <c r="S98" i="79" s="1"/>
  <c r="W97" i="79"/>
  <c r="V97" i="79"/>
  <c r="U97" i="79"/>
  <c r="T97" i="79"/>
  <c r="R97" i="79"/>
  <c r="Q97" i="79"/>
  <c r="W96" i="79"/>
  <c r="V96" i="79"/>
  <c r="U96" i="79"/>
  <c r="T96" i="79"/>
  <c r="R96" i="79"/>
  <c r="Q96" i="79"/>
  <c r="S96" i="79" s="1"/>
  <c r="W95" i="79"/>
  <c r="V95" i="79"/>
  <c r="U95" i="79"/>
  <c r="T95" i="79"/>
  <c r="R95" i="79"/>
  <c r="Q95" i="79"/>
  <c r="W94" i="79"/>
  <c r="V94" i="79"/>
  <c r="U94" i="79"/>
  <c r="T94" i="79"/>
  <c r="R94" i="79"/>
  <c r="Q94" i="79"/>
  <c r="S94" i="79" s="1"/>
  <c r="W93" i="79"/>
  <c r="V93" i="79"/>
  <c r="U93" i="79"/>
  <c r="T93" i="79"/>
  <c r="R93" i="79"/>
  <c r="Q93" i="79"/>
  <c r="W92" i="79"/>
  <c r="V92" i="79"/>
  <c r="U92" i="79"/>
  <c r="T92" i="79"/>
  <c r="R92" i="79"/>
  <c r="Q92" i="79"/>
  <c r="S92" i="79" s="1"/>
  <c r="W91" i="79"/>
  <c r="V91" i="79"/>
  <c r="U91" i="79"/>
  <c r="T91" i="79"/>
  <c r="R91" i="79"/>
  <c r="Q91" i="79"/>
  <c r="W90" i="79"/>
  <c r="V90" i="79"/>
  <c r="U90" i="79"/>
  <c r="T90" i="79"/>
  <c r="R90" i="79"/>
  <c r="Q90" i="79"/>
  <c r="S90" i="79" s="1"/>
  <c r="W89" i="79"/>
  <c r="V89" i="79"/>
  <c r="U89" i="79"/>
  <c r="T89" i="79"/>
  <c r="R89" i="79"/>
  <c r="Q89" i="79"/>
  <c r="W88" i="79"/>
  <c r="V88" i="79"/>
  <c r="U88" i="79"/>
  <c r="T88" i="79"/>
  <c r="R88" i="79"/>
  <c r="Q88" i="79"/>
  <c r="W87" i="79"/>
  <c r="V87" i="79"/>
  <c r="U87" i="79"/>
  <c r="T87" i="79"/>
  <c r="R87" i="79"/>
  <c r="Q87" i="79"/>
  <c r="W86" i="79"/>
  <c r="V86" i="79"/>
  <c r="U86" i="79"/>
  <c r="T86" i="79"/>
  <c r="R86" i="79"/>
  <c r="Q86" i="79"/>
  <c r="W85" i="79"/>
  <c r="V85" i="79"/>
  <c r="U85" i="79"/>
  <c r="T85" i="79"/>
  <c r="R85" i="79"/>
  <c r="Q85" i="79"/>
  <c r="W84" i="79"/>
  <c r="V84" i="79"/>
  <c r="U84" i="79"/>
  <c r="T84" i="79"/>
  <c r="R84" i="79"/>
  <c r="Q84" i="79"/>
  <c r="W83" i="79"/>
  <c r="V83" i="79"/>
  <c r="U83" i="79"/>
  <c r="T83" i="79"/>
  <c r="R83" i="79"/>
  <c r="Q83" i="79"/>
  <c r="S83" i="79" s="1"/>
  <c r="W82" i="79"/>
  <c r="V82" i="79"/>
  <c r="U82" i="79"/>
  <c r="T82" i="79"/>
  <c r="R82" i="79"/>
  <c r="Q82" i="79"/>
  <c r="S82" i="79" s="1"/>
  <c r="W81" i="79"/>
  <c r="V81" i="79"/>
  <c r="U81" i="79"/>
  <c r="T81" i="79"/>
  <c r="R81" i="79"/>
  <c r="Q81" i="79"/>
  <c r="S81" i="79" s="1"/>
  <c r="W80" i="79"/>
  <c r="V80" i="79"/>
  <c r="U80" i="79"/>
  <c r="T80" i="79"/>
  <c r="R80" i="79"/>
  <c r="Q80" i="79"/>
  <c r="S80" i="79" s="1"/>
  <c r="W79" i="79"/>
  <c r="V79" i="79"/>
  <c r="U79" i="79"/>
  <c r="T79" i="79"/>
  <c r="R79" i="79"/>
  <c r="Q79" i="79"/>
  <c r="W78" i="79"/>
  <c r="V78" i="79"/>
  <c r="U78" i="79"/>
  <c r="T78" i="79"/>
  <c r="R78" i="79"/>
  <c r="Q78" i="79"/>
  <c r="W77" i="79"/>
  <c r="V77" i="79"/>
  <c r="U77" i="79"/>
  <c r="T77" i="79"/>
  <c r="R77" i="79"/>
  <c r="Q77" i="79"/>
  <c r="W76" i="79"/>
  <c r="V76" i="79"/>
  <c r="U76" i="79"/>
  <c r="T76" i="79"/>
  <c r="R76" i="79"/>
  <c r="Q76" i="79"/>
  <c r="S76" i="79" s="1"/>
  <c r="W75" i="79"/>
  <c r="V75" i="79"/>
  <c r="U75" i="79"/>
  <c r="T75" i="79"/>
  <c r="R75" i="79"/>
  <c r="S75" i="79" s="1"/>
  <c r="Q75" i="79"/>
  <c r="W74" i="79"/>
  <c r="V74" i="79"/>
  <c r="U74" i="79"/>
  <c r="T74" i="79"/>
  <c r="R74" i="79"/>
  <c r="Q74" i="79"/>
  <c r="S74" i="79" s="1"/>
  <c r="W73" i="79"/>
  <c r="V73" i="79"/>
  <c r="U73" i="79"/>
  <c r="T73" i="79"/>
  <c r="R73" i="79"/>
  <c r="Q73" i="79"/>
  <c r="W72" i="79"/>
  <c r="V72" i="79"/>
  <c r="U72" i="79"/>
  <c r="T72" i="79"/>
  <c r="R72" i="79"/>
  <c r="Q72" i="79"/>
  <c r="S72" i="79" s="1"/>
  <c r="W71" i="79"/>
  <c r="V71" i="79"/>
  <c r="U71" i="79"/>
  <c r="T71" i="79"/>
  <c r="R71" i="79"/>
  <c r="Q71" i="79"/>
  <c r="W70" i="79"/>
  <c r="V70" i="79"/>
  <c r="U70" i="79"/>
  <c r="T70" i="79"/>
  <c r="R70" i="79"/>
  <c r="Q70" i="79"/>
  <c r="S70" i="79" s="1"/>
  <c r="W69" i="79"/>
  <c r="V69" i="79"/>
  <c r="U69" i="79"/>
  <c r="T69" i="79"/>
  <c r="R69" i="79"/>
  <c r="Q69" i="79"/>
  <c r="W68" i="79"/>
  <c r="V68" i="79"/>
  <c r="U68" i="79"/>
  <c r="T68" i="79"/>
  <c r="R68" i="79"/>
  <c r="Q68" i="79"/>
  <c r="S68" i="79" s="1"/>
  <c r="W67" i="79"/>
  <c r="V67" i="79"/>
  <c r="U67" i="79"/>
  <c r="T67" i="79"/>
  <c r="R67" i="79"/>
  <c r="Q67" i="79"/>
  <c r="W66" i="79"/>
  <c r="V66" i="79"/>
  <c r="U66" i="79"/>
  <c r="T66" i="79"/>
  <c r="R66" i="79"/>
  <c r="Q66" i="79"/>
  <c r="S66" i="79" s="1"/>
  <c r="W65" i="79"/>
  <c r="V65" i="79"/>
  <c r="U65" i="79"/>
  <c r="T65" i="79"/>
  <c r="R65" i="79"/>
  <c r="Q65" i="79"/>
  <c r="S65" i="79" s="1"/>
  <c r="W64" i="79"/>
  <c r="V64" i="79"/>
  <c r="U64" i="79"/>
  <c r="T64" i="79"/>
  <c r="R64" i="79"/>
  <c r="Q64" i="79"/>
  <c r="W63" i="79"/>
  <c r="V63" i="79"/>
  <c r="U63" i="79"/>
  <c r="T63" i="79"/>
  <c r="R63" i="79"/>
  <c r="Q63" i="79"/>
  <c r="W62" i="79"/>
  <c r="V62" i="79"/>
  <c r="U62" i="79"/>
  <c r="T62" i="79"/>
  <c r="R62" i="79"/>
  <c r="Q62" i="79"/>
  <c r="S62" i="79" s="1"/>
  <c r="W61" i="79"/>
  <c r="V61" i="79"/>
  <c r="U61" i="79"/>
  <c r="T61" i="79"/>
  <c r="R61" i="79"/>
  <c r="Q61" i="79"/>
  <c r="W60" i="79"/>
  <c r="V60" i="79"/>
  <c r="U60" i="79"/>
  <c r="T60" i="79"/>
  <c r="R60" i="79"/>
  <c r="Q60" i="79"/>
  <c r="W59" i="79"/>
  <c r="V59" i="79"/>
  <c r="U59" i="79"/>
  <c r="T59" i="79"/>
  <c r="R59" i="79"/>
  <c r="Q59" i="79"/>
  <c r="S59" i="79" s="1"/>
  <c r="W58" i="79"/>
  <c r="V58" i="79"/>
  <c r="U58" i="79"/>
  <c r="T58" i="79"/>
  <c r="R58" i="79"/>
  <c r="Q58" i="79"/>
  <c r="S58" i="79" s="1"/>
  <c r="W57" i="79"/>
  <c r="V57" i="79"/>
  <c r="U57" i="79"/>
  <c r="T57" i="79"/>
  <c r="R57" i="79"/>
  <c r="Q57" i="79"/>
  <c r="S57" i="79" s="1"/>
  <c r="W56" i="79"/>
  <c r="V56" i="79"/>
  <c r="U56" i="79"/>
  <c r="T56" i="79"/>
  <c r="R56" i="79"/>
  <c r="Q56" i="79"/>
  <c r="W55" i="79"/>
  <c r="V55" i="79"/>
  <c r="U55" i="79"/>
  <c r="T55" i="79"/>
  <c r="R55" i="79"/>
  <c r="Q55" i="79"/>
  <c r="W54" i="79"/>
  <c r="V54" i="79"/>
  <c r="U54" i="79"/>
  <c r="T54" i="79"/>
  <c r="R54" i="79"/>
  <c r="Q54" i="79"/>
  <c r="S54" i="79" s="1"/>
  <c r="W53" i="79"/>
  <c r="V53" i="79"/>
  <c r="U53" i="79"/>
  <c r="T53" i="79"/>
  <c r="R53" i="79"/>
  <c r="Q53" i="79"/>
  <c r="W52" i="79"/>
  <c r="V52" i="79"/>
  <c r="U52" i="79"/>
  <c r="T52" i="79"/>
  <c r="R52" i="79"/>
  <c r="Q52" i="79"/>
  <c r="W51" i="79"/>
  <c r="V51" i="79"/>
  <c r="U51" i="79"/>
  <c r="T51" i="79"/>
  <c r="R51" i="79"/>
  <c r="Q51" i="79"/>
  <c r="S51" i="79" s="1"/>
  <c r="W50" i="79"/>
  <c r="V50" i="79"/>
  <c r="U50" i="79"/>
  <c r="T50" i="79"/>
  <c r="R50" i="79"/>
  <c r="S50" i="79" s="1"/>
  <c r="Q50" i="79"/>
  <c r="W49" i="79"/>
  <c r="V49" i="79"/>
  <c r="U49" i="79"/>
  <c r="T49" i="79"/>
  <c r="R49" i="79"/>
  <c r="Q49" i="79"/>
  <c r="S49" i="79" s="1"/>
  <c r="W48" i="79"/>
  <c r="V48" i="79"/>
  <c r="U48" i="79"/>
  <c r="T48" i="79"/>
  <c r="R48" i="79"/>
  <c r="Q48" i="79"/>
  <c r="S48" i="79" s="1"/>
  <c r="W47" i="79"/>
  <c r="V47" i="79"/>
  <c r="U47" i="79"/>
  <c r="T47" i="79"/>
  <c r="R47" i="79"/>
  <c r="Q47" i="79"/>
  <c r="W46" i="79"/>
  <c r="V46" i="79"/>
  <c r="U46" i="79"/>
  <c r="T46" i="79"/>
  <c r="R46" i="79"/>
  <c r="Q46" i="79"/>
  <c r="W45" i="79"/>
  <c r="V45" i="79"/>
  <c r="U45" i="79"/>
  <c r="T45" i="79"/>
  <c r="R45" i="79"/>
  <c r="Q45" i="79"/>
  <c r="W44" i="79"/>
  <c r="V44" i="79"/>
  <c r="U44" i="79"/>
  <c r="T44" i="79"/>
  <c r="R44" i="79"/>
  <c r="Q44" i="79"/>
  <c r="S44" i="79" s="1"/>
  <c r="W43" i="79"/>
  <c r="V43" i="79"/>
  <c r="U43" i="79"/>
  <c r="T43" i="79"/>
  <c r="R43" i="79"/>
  <c r="Q43" i="79"/>
  <c r="W42" i="79"/>
  <c r="V42" i="79"/>
  <c r="U42" i="79"/>
  <c r="T42" i="79"/>
  <c r="R42" i="79"/>
  <c r="Q42" i="79"/>
  <c r="W41" i="79"/>
  <c r="V41" i="79"/>
  <c r="U41" i="79"/>
  <c r="T41" i="79"/>
  <c r="R41" i="79"/>
  <c r="Q41" i="79"/>
  <c r="W40" i="79"/>
  <c r="V40" i="79"/>
  <c r="U40" i="79"/>
  <c r="T40" i="79"/>
  <c r="R40" i="79"/>
  <c r="Q40" i="79"/>
  <c r="S40" i="79" s="1"/>
  <c r="W39" i="79"/>
  <c r="V39" i="79"/>
  <c r="U39" i="79"/>
  <c r="T39" i="79"/>
  <c r="R39" i="79"/>
  <c r="Q39" i="79"/>
  <c r="W38" i="79"/>
  <c r="V38" i="79"/>
  <c r="U38" i="79"/>
  <c r="T38" i="79"/>
  <c r="R38" i="79"/>
  <c r="Q38" i="79"/>
  <c r="W37" i="79"/>
  <c r="V37" i="79"/>
  <c r="U37" i="79"/>
  <c r="T37" i="79"/>
  <c r="R37" i="79"/>
  <c r="Q37" i="79"/>
  <c r="W36" i="79"/>
  <c r="V36" i="79"/>
  <c r="U36" i="79"/>
  <c r="T36" i="79"/>
  <c r="R36" i="79"/>
  <c r="Q36" i="79"/>
  <c r="S36" i="79" s="1"/>
  <c r="W35" i="79"/>
  <c r="V35" i="79"/>
  <c r="U35" i="79"/>
  <c r="T35" i="79"/>
  <c r="R35" i="79"/>
  <c r="Q35" i="79"/>
  <c r="S35" i="79" s="1"/>
  <c r="W34" i="79"/>
  <c r="V34" i="79"/>
  <c r="U34" i="79"/>
  <c r="T34" i="79"/>
  <c r="S34" i="79"/>
  <c r="R34" i="79"/>
  <c r="Q34" i="79"/>
  <c r="W33" i="79"/>
  <c r="V33" i="79"/>
  <c r="U33" i="79"/>
  <c r="T33" i="79"/>
  <c r="R33" i="79"/>
  <c r="Q33" i="79"/>
  <c r="S33" i="79" s="1"/>
  <c r="W32" i="79"/>
  <c r="V32" i="79"/>
  <c r="U32" i="79"/>
  <c r="T32" i="79"/>
  <c r="R32" i="79"/>
  <c r="Q32" i="79"/>
  <c r="W31" i="79"/>
  <c r="V31" i="79"/>
  <c r="U31" i="79"/>
  <c r="T31" i="79"/>
  <c r="R31" i="79"/>
  <c r="Q31" i="79"/>
  <c r="W30" i="79"/>
  <c r="V30" i="79"/>
  <c r="U30" i="79"/>
  <c r="T30" i="79"/>
  <c r="R30" i="79"/>
  <c r="Q30" i="79"/>
  <c r="S30" i="79" s="1"/>
  <c r="W29" i="79"/>
  <c r="V29" i="79"/>
  <c r="U29" i="79"/>
  <c r="T29" i="79"/>
  <c r="R29" i="79"/>
  <c r="Q29" i="79"/>
  <c r="W28" i="79"/>
  <c r="V28" i="79"/>
  <c r="U28" i="79"/>
  <c r="T28" i="79"/>
  <c r="R28" i="79"/>
  <c r="Q28" i="79"/>
  <c r="W27" i="79"/>
  <c r="V27" i="79"/>
  <c r="U27" i="79"/>
  <c r="T27" i="79"/>
  <c r="R27" i="79"/>
  <c r="Q27" i="79"/>
  <c r="W26" i="79"/>
  <c r="V26" i="79"/>
  <c r="U26" i="79"/>
  <c r="T26" i="79"/>
  <c r="R26" i="79"/>
  <c r="Q26" i="79"/>
  <c r="S26" i="79" s="1"/>
  <c r="W25" i="79"/>
  <c r="V25" i="79"/>
  <c r="U25" i="79"/>
  <c r="T25" i="79"/>
  <c r="R25" i="79"/>
  <c r="Q25" i="79"/>
  <c r="S25" i="79" s="1"/>
  <c r="W24" i="79"/>
  <c r="V24" i="79"/>
  <c r="U24" i="79"/>
  <c r="T24" i="79"/>
  <c r="R24" i="79"/>
  <c r="Q24" i="79"/>
  <c r="S24" i="79" s="1"/>
  <c r="W23" i="79"/>
  <c r="V23" i="79"/>
  <c r="U23" i="79"/>
  <c r="T23" i="79"/>
  <c r="R23" i="79"/>
  <c r="S23" i="79" s="1"/>
  <c r="Q23" i="79"/>
  <c r="W22" i="79"/>
  <c r="V22" i="79"/>
  <c r="U22" i="79"/>
  <c r="T22" i="79"/>
  <c r="R22" i="79"/>
  <c r="Q22" i="79"/>
  <c r="S22" i="79" s="1"/>
  <c r="W21" i="79"/>
  <c r="V21" i="79"/>
  <c r="U21" i="79"/>
  <c r="T21" i="79"/>
  <c r="R21" i="79"/>
  <c r="Q21" i="79"/>
  <c r="W20" i="79"/>
  <c r="V20" i="79"/>
  <c r="U20" i="79"/>
  <c r="T20" i="79"/>
  <c r="R20" i="79"/>
  <c r="Q20" i="79"/>
  <c r="S20" i="79" s="1"/>
  <c r="W19" i="79"/>
  <c r="V19" i="79"/>
  <c r="U19" i="79"/>
  <c r="T19" i="79"/>
  <c r="R19" i="79"/>
  <c r="Q19" i="79"/>
  <c r="W18" i="79"/>
  <c r="V18" i="79"/>
  <c r="U18" i="79"/>
  <c r="T18" i="79"/>
  <c r="R18" i="79"/>
  <c r="Q18" i="79"/>
  <c r="S18" i="79" s="1"/>
  <c r="W17" i="79"/>
  <c r="V17" i="79"/>
  <c r="U17" i="79"/>
  <c r="T17" i="79"/>
  <c r="R17" i="79"/>
  <c r="Q17" i="79"/>
  <c r="W16" i="79"/>
  <c r="V16" i="79"/>
  <c r="U16" i="79"/>
  <c r="T16" i="79"/>
  <c r="R16" i="79"/>
  <c r="Q16" i="79"/>
  <c r="S16" i="79" s="1"/>
  <c r="W15" i="79"/>
  <c r="V15" i="79"/>
  <c r="U15" i="79"/>
  <c r="T15" i="79"/>
  <c r="R15" i="79"/>
  <c r="Q15" i="79"/>
  <c r="W14" i="79"/>
  <c r="V14" i="79"/>
  <c r="U14" i="79"/>
  <c r="T14" i="79"/>
  <c r="R14" i="79"/>
  <c r="Q14" i="79"/>
  <c r="W13" i="79"/>
  <c r="V13" i="79"/>
  <c r="U13" i="79"/>
  <c r="T13" i="79"/>
  <c r="R13" i="79"/>
  <c r="Q13" i="79"/>
  <c r="W12" i="79"/>
  <c r="V12" i="79"/>
  <c r="U12" i="79"/>
  <c r="T12" i="79"/>
  <c r="R12" i="79"/>
  <c r="Q12" i="79"/>
  <c r="S12" i="79" s="1"/>
  <c r="W11" i="79"/>
  <c r="V11" i="79"/>
  <c r="U11" i="79"/>
  <c r="T11" i="79"/>
  <c r="R11" i="79"/>
  <c r="Q11" i="79"/>
  <c r="W10" i="79"/>
  <c r="V10" i="79"/>
  <c r="U10" i="79"/>
  <c r="T10" i="79"/>
  <c r="R10" i="79"/>
  <c r="Q10" i="79"/>
  <c r="S10" i="79" s="1"/>
  <c r="W9" i="79"/>
  <c r="V9" i="79"/>
  <c r="U9" i="79"/>
  <c r="T9" i="79"/>
  <c r="R9" i="79"/>
  <c r="Q9" i="79"/>
  <c r="W8" i="79"/>
  <c r="V8" i="79"/>
  <c r="U8" i="79"/>
  <c r="T8" i="79"/>
  <c r="R8" i="79"/>
  <c r="Q8" i="79"/>
  <c r="S8" i="79" s="1"/>
  <c r="W7" i="79"/>
  <c r="V7" i="79"/>
  <c r="U7" i="79"/>
  <c r="T7" i="79"/>
  <c r="R7" i="79"/>
  <c r="Q7" i="79"/>
  <c r="W6" i="79"/>
  <c r="V6" i="79"/>
  <c r="U6" i="79"/>
  <c r="T6" i="79"/>
  <c r="R6" i="79"/>
  <c r="Q6" i="79"/>
  <c r="S6" i="79" s="1"/>
  <c r="W5" i="79"/>
  <c r="V5" i="79"/>
  <c r="U5" i="79"/>
  <c r="T5" i="79"/>
  <c r="R5" i="79"/>
  <c r="S5" i="79" s="1"/>
  <c r="Q5" i="79"/>
  <c r="W4" i="79"/>
  <c r="V4" i="79"/>
  <c r="U4" i="79"/>
  <c r="T4" i="79"/>
  <c r="R4" i="79"/>
  <c r="Q4" i="79"/>
  <c r="S4" i="79" s="1"/>
  <c r="W3" i="79"/>
  <c r="V3" i="79"/>
  <c r="U3" i="79"/>
  <c r="T3" i="79"/>
  <c r="R3" i="79"/>
  <c r="Q3" i="79"/>
  <c r="S3" i="79" s="1"/>
  <c r="W2" i="79"/>
  <c r="V2" i="79"/>
  <c r="U2" i="79"/>
  <c r="T2" i="79"/>
  <c r="R2" i="79"/>
  <c r="Q2" i="79"/>
  <c r="D131" i="87" l="1"/>
  <c r="L131" i="87"/>
  <c r="F131" i="87"/>
  <c r="G131" i="87"/>
  <c r="I131" i="87"/>
  <c r="I95" i="98"/>
  <c r="C96" i="98"/>
  <c r="AL14" i="100"/>
  <c r="AD26" i="100"/>
  <c r="AF28" i="100"/>
  <c r="AB64" i="100"/>
  <c r="AJ64" i="100"/>
  <c r="AE13" i="111"/>
  <c r="W24" i="111"/>
  <c r="AE24" i="111"/>
  <c r="AB33" i="111"/>
  <c r="AJ33" i="111"/>
  <c r="Z34" i="111"/>
  <c r="AH34" i="111"/>
  <c r="W45" i="111"/>
  <c r="AE45" i="111"/>
  <c r="AB65" i="111"/>
  <c r="Z66" i="111"/>
  <c r="AH66" i="111"/>
  <c r="K95" i="98"/>
  <c r="AJ47" i="100"/>
  <c r="W8" i="111"/>
  <c r="AE8" i="111"/>
  <c r="AB10" i="111"/>
  <c r="AJ10" i="111"/>
  <c r="Y23" i="111"/>
  <c r="AG23" i="111"/>
  <c r="AB27" i="111"/>
  <c r="AJ27" i="111"/>
  <c r="AF32" i="111"/>
  <c r="Y52" i="111"/>
  <c r="AG52" i="111"/>
  <c r="Y57" i="111"/>
  <c r="AB59" i="111"/>
  <c r="AJ59" i="111"/>
  <c r="AG24" i="111"/>
  <c r="W104" i="98"/>
  <c r="AF104" i="98"/>
  <c r="Y105" i="98"/>
  <c r="AH105" i="98"/>
  <c r="AA106" i="98"/>
  <c r="AK106" i="98"/>
  <c r="AD107" i="98"/>
  <c r="AD111" i="98"/>
  <c r="AF11" i="100"/>
  <c r="AN9" i="100"/>
  <c r="AJ35" i="100"/>
  <c r="AL37" i="100"/>
  <c r="AB43" i="100"/>
  <c r="AJ43" i="100"/>
  <c r="AC182" i="100"/>
  <c r="AK184" i="100"/>
  <c r="W9" i="111"/>
  <c r="W26" i="111"/>
  <c r="AK27" i="111"/>
  <c r="W33" i="111"/>
  <c r="AE33" i="111"/>
  <c r="AA52" i="111"/>
  <c r="AI52" i="111"/>
  <c r="W65" i="111"/>
  <c r="AG78" i="100"/>
  <c r="D95" i="98"/>
  <c r="AB12" i="100"/>
  <c r="AE125" i="100"/>
  <c r="Y150" i="100"/>
  <c r="W16" i="111"/>
  <c r="AE16" i="111"/>
  <c r="AJ17" i="111"/>
  <c r="AI24" i="111"/>
  <c r="L95" i="98"/>
  <c r="AI135" i="100"/>
  <c r="AF196" i="100"/>
  <c r="O95" i="98"/>
  <c r="AB19" i="100"/>
  <c r="AN33" i="100"/>
  <c r="AG162" i="100"/>
  <c r="AO162" i="100"/>
  <c r="AF167" i="100"/>
  <c r="AN167" i="100"/>
  <c r="AL169" i="100"/>
  <c r="AJ180" i="100"/>
  <c r="AB191" i="100"/>
  <c r="AC7" i="111"/>
  <c r="AK7" i="111"/>
  <c r="X10" i="111"/>
  <c r="Y26" i="111"/>
  <c r="AG26" i="111"/>
  <c r="W34" i="111"/>
  <c r="AE34" i="111"/>
  <c r="AJ40" i="111"/>
  <c r="X43" i="111"/>
  <c r="Y58" i="111"/>
  <c r="Q95" i="98"/>
  <c r="AH16" i="100"/>
  <c r="Z24" i="100"/>
  <c r="AN154" i="100"/>
  <c r="Z201" i="100"/>
  <c r="AH9" i="111"/>
  <c r="AC24" i="111"/>
  <c r="Z33" i="111"/>
  <c r="AH33" i="111"/>
  <c r="AE68" i="111"/>
  <c r="S43" i="79"/>
  <c r="S125" i="79"/>
  <c r="S133" i="79"/>
  <c r="H38" i="81"/>
  <c r="H88" i="81"/>
  <c r="F101" i="81"/>
  <c r="F117" i="81"/>
  <c r="F6" i="84"/>
  <c r="S17" i="79"/>
  <c r="S38" i="79"/>
  <c r="S42" i="79"/>
  <c r="S55" i="79"/>
  <c r="S67" i="79"/>
  <c r="S124" i="79"/>
  <c r="S128" i="79"/>
  <c r="S132" i="79"/>
  <c r="S136" i="79"/>
  <c r="S140" i="79"/>
  <c r="S144" i="79"/>
  <c r="E49" i="81"/>
  <c r="H71" i="81"/>
  <c r="K74" i="81"/>
  <c r="E87" i="81"/>
  <c r="K7" i="95"/>
  <c r="K9" i="95"/>
  <c r="E12" i="84"/>
  <c r="F12" i="84" s="1"/>
  <c r="M131" i="87"/>
  <c r="N9" i="88"/>
  <c r="E17" i="95"/>
  <c r="E27" i="95"/>
  <c r="E31" i="95"/>
  <c r="H9" i="88"/>
  <c r="S37" i="79"/>
  <c r="S135" i="79"/>
  <c r="E15" i="98"/>
  <c r="E17" i="98" s="1"/>
  <c r="H81" i="81"/>
  <c r="F116" i="81"/>
  <c r="I118" i="81"/>
  <c r="S95" i="79"/>
  <c r="S103" i="79"/>
  <c r="E21" i="98"/>
  <c r="G21" i="98" s="1"/>
  <c r="G23" i="98" s="1"/>
  <c r="H87" i="81"/>
  <c r="E8" i="95"/>
  <c r="E11" i="95"/>
  <c r="H10" i="88"/>
  <c r="K71" i="81"/>
  <c r="E83" i="81"/>
  <c r="F113" i="81"/>
  <c r="F121" i="81"/>
  <c r="S11" i="79"/>
  <c r="S19" i="79"/>
  <c r="S27" i="79"/>
  <c r="S52" i="79"/>
  <c r="S56" i="79"/>
  <c r="S69" i="79"/>
  <c r="S89" i="79"/>
  <c r="S97" i="79"/>
  <c r="S113" i="79"/>
  <c r="S122" i="79"/>
  <c r="J39" i="81"/>
  <c r="H41" i="81"/>
  <c r="E7" i="95"/>
  <c r="E26" i="95"/>
  <c r="K31" i="95"/>
  <c r="E11" i="84"/>
  <c r="F11" i="84" s="1"/>
  <c r="E16" i="84"/>
  <c r="F16" i="84" s="1"/>
  <c r="K8" i="88"/>
  <c r="H15" i="88"/>
  <c r="E16" i="88"/>
  <c r="E17" i="88"/>
  <c r="E14" i="84"/>
  <c r="F14" i="84" s="1"/>
  <c r="C131" i="87"/>
  <c r="K131" i="87"/>
  <c r="N8" i="88"/>
  <c r="K6" i="88"/>
  <c r="H8" i="88"/>
  <c r="E10" i="88"/>
  <c r="E11" i="88"/>
  <c r="K14" i="88"/>
  <c r="K15" i="88"/>
  <c r="H18" i="88"/>
  <c r="E17" i="84"/>
  <c r="F17" i="84" s="1"/>
  <c r="E131" i="87"/>
  <c r="H11" i="88"/>
  <c r="N14" i="88"/>
  <c r="K17" i="88"/>
  <c r="S9" i="79"/>
  <c r="S14" i="79"/>
  <c r="S28" i="79"/>
  <c r="S32" i="79"/>
  <c r="S41" i="79"/>
  <c r="S46" i="79"/>
  <c r="S60" i="79"/>
  <c r="S64" i="79"/>
  <c r="S73" i="79"/>
  <c r="S78" i="79"/>
  <c r="S87" i="79"/>
  <c r="S91" i="79"/>
  <c r="S108" i="79"/>
  <c r="S112" i="79"/>
  <c r="S117" i="79"/>
  <c r="S129" i="79"/>
  <c r="S142" i="79"/>
  <c r="S151" i="79"/>
  <c r="C11" i="115"/>
  <c r="E15" i="114"/>
  <c r="E17" i="114" s="1"/>
  <c r="E16" i="114"/>
  <c r="E21" i="114"/>
  <c r="G21" i="114" s="1"/>
  <c r="M53" i="81"/>
  <c r="E72" i="81"/>
  <c r="K87" i="81"/>
  <c r="H97" i="81"/>
  <c r="I97" i="81" s="1"/>
  <c r="H109" i="81"/>
  <c r="I109" i="81" s="1"/>
  <c r="H113" i="81"/>
  <c r="I113" i="81" s="1"/>
  <c r="K6" i="95"/>
  <c r="K8" i="95"/>
  <c r="E13" i="95"/>
  <c r="E14" i="95"/>
  <c r="K16" i="95"/>
  <c r="K17" i="95"/>
  <c r="E23" i="95"/>
  <c r="E30" i="95"/>
  <c r="F8" i="84"/>
  <c r="E13" i="84"/>
  <c r="F13" i="84" s="1"/>
  <c r="N16" i="88"/>
  <c r="S15" i="79"/>
  <c r="S29" i="79"/>
  <c r="S47" i="79"/>
  <c r="S61" i="79"/>
  <c r="S79" i="79"/>
  <c r="S109" i="79"/>
  <c r="S143" i="79"/>
  <c r="M15" i="101"/>
  <c r="M17" i="101" s="1"/>
  <c r="M16" i="101"/>
  <c r="M15" i="98"/>
  <c r="M17" i="98" s="1"/>
  <c r="H37" i="81"/>
  <c r="H39" i="81"/>
  <c r="H73" i="81"/>
  <c r="K75" i="81"/>
  <c r="E79" i="81"/>
  <c r="H80" i="81"/>
  <c r="F124" i="81"/>
  <c r="S86" i="79"/>
  <c r="S99" i="79"/>
  <c r="S116" i="79"/>
  <c r="S120" i="79"/>
  <c r="S137" i="79"/>
  <c r="S150" i="79"/>
  <c r="E29" i="101"/>
  <c r="I117" i="81"/>
  <c r="H121" i="81"/>
  <c r="I121" i="81" s="1"/>
  <c r="F14" i="89"/>
  <c r="E28" i="95"/>
  <c r="E9" i="84"/>
  <c r="F9" i="84" s="1"/>
  <c r="E18" i="84"/>
  <c r="F18" i="84" s="1"/>
  <c r="H131" i="87"/>
  <c r="O130" i="87"/>
  <c r="O131" i="87" s="1"/>
  <c r="E6" i="88"/>
  <c r="E7" i="88"/>
  <c r="K10" i="88"/>
  <c r="H12" i="88"/>
  <c r="E14" i="88"/>
  <c r="E15" i="88"/>
  <c r="N18" i="88"/>
  <c r="G47" i="114" s="1"/>
  <c r="G22" i="114"/>
  <c r="K12" i="95"/>
  <c r="K23" i="95"/>
  <c r="S45" i="79"/>
  <c r="S77" i="79"/>
  <c r="S111" i="79"/>
  <c r="S141" i="79"/>
  <c r="H16" i="101"/>
  <c r="H15" i="98"/>
  <c r="H16" i="98"/>
  <c r="J16" i="114"/>
  <c r="J17" i="114" s="1"/>
  <c r="E42" i="81"/>
  <c r="J51" i="81"/>
  <c r="H67" i="81"/>
  <c r="H90" i="81"/>
  <c r="S85" i="79"/>
  <c r="S119" i="79"/>
  <c r="S149" i="79"/>
  <c r="H15" i="101"/>
  <c r="H17" i="101" s="1"/>
  <c r="H29" i="101"/>
  <c r="J16" i="98"/>
  <c r="E28" i="98"/>
  <c r="E30" i="98" s="1"/>
  <c r="J42" i="81"/>
  <c r="H51" i="81"/>
  <c r="H54" i="81"/>
  <c r="E71" i="81"/>
  <c r="E84" i="81"/>
  <c r="I102" i="81"/>
  <c r="E6" i="95"/>
  <c r="E34" i="95"/>
  <c r="J131" i="87"/>
  <c r="H6" i="88"/>
  <c r="E8" i="88"/>
  <c r="E9" i="88"/>
  <c r="K12" i="88"/>
  <c r="H14" i="88"/>
  <c r="H17" i="88"/>
  <c r="E18" i="88"/>
  <c r="S13" i="79"/>
  <c r="S31" i="79"/>
  <c r="S63" i="79"/>
  <c r="S7" i="79"/>
  <c r="S21" i="79"/>
  <c r="S39" i="79"/>
  <c r="S53" i="79"/>
  <c r="S71" i="79"/>
  <c r="S84" i="79"/>
  <c r="S88" i="79"/>
  <c r="S93" i="79"/>
  <c r="S105" i="79"/>
  <c r="S118" i="79"/>
  <c r="S127" i="79"/>
  <c r="S131" i="79"/>
  <c r="S148" i="79"/>
  <c r="S152" i="79"/>
  <c r="H28" i="98"/>
  <c r="H30" i="98" s="1"/>
  <c r="G41" i="98"/>
  <c r="M16" i="114"/>
  <c r="M17" i="114" s="1"/>
  <c r="H28" i="114"/>
  <c r="M46" i="81"/>
  <c r="J54" i="81"/>
  <c r="H61" i="81"/>
  <c r="K90" i="81"/>
  <c r="F100" i="81"/>
  <c r="F105" i="81"/>
  <c r="F108" i="81"/>
  <c r="H110" i="81"/>
  <c r="I110" i="81" s="1"/>
  <c r="E10" i="95"/>
  <c r="K18" i="95"/>
  <c r="E25" i="95"/>
  <c r="N12" i="88"/>
  <c r="H44" i="117"/>
  <c r="P44" i="117"/>
  <c r="J53" i="117"/>
  <c r="R53" i="117"/>
  <c r="D62" i="117"/>
  <c r="L62" i="117"/>
  <c r="F71" i="117"/>
  <c r="N71" i="117"/>
  <c r="J50" i="115"/>
  <c r="R50" i="115"/>
  <c r="D59" i="115"/>
  <c r="L59" i="115"/>
  <c r="F68" i="115"/>
  <c r="N68" i="115"/>
  <c r="C50" i="115"/>
  <c r="K50" i="115"/>
  <c r="S50" i="115"/>
  <c r="E59" i="115"/>
  <c r="M59" i="115"/>
  <c r="G68" i="115"/>
  <c r="O68" i="115"/>
  <c r="D50" i="115"/>
  <c r="L50" i="115"/>
  <c r="F59" i="115"/>
  <c r="N59" i="115"/>
  <c r="H68" i="115"/>
  <c r="P68" i="115"/>
  <c r="F24" i="115"/>
  <c r="C41" i="115"/>
  <c r="K41" i="115"/>
  <c r="S41" i="115"/>
  <c r="E50" i="115"/>
  <c r="M50" i="115"/>
  <c r="G59" i="115"/>
  <c r="O59" i="115"/>
  <c r="I68" i="115"/>
  <c r="Q68" i="115"/>
  <c r="D41" i="115"/>
  <c r="L41" i="115"/>
  <c r="F50" i="115"/>
  <c r="N50" i="115"/>
  <c r="H59" i="115"/>
  <c r="P59" i="115"/>
  <c r="J68" i="115"/>
  <c r="R68" i="115"/>
  <c r="F11" i="115"/>
  <c r="G50" i="115"/>
  <c r="O50" i="115"/>
  <c r="I59" i="115"/>
  <c r="Q59" i="115"/>
  <c r="C68" i="115"/>
  <c r="K68" i="115"/>
  <c r="S68" i="115"/>
  <c r="F41" i="115"/>
  <c r="N41" i="115"/>
  <c r="H50" i="115"/>
  <c r="P50" i="115"/>
  <c r="J59" i="115"/>
  <c r="R59" i="115"/>
  <c r="D68" i="115"/>
  <c r="L68" i="115"/>
  <c r="I50" i="115"/>
  <c r="Q50" i="115"/>
  <c r="C59" i="115"/>
  <c r="K59" i="115"/>
  <c r="S59" i="115"/>
  <c r="E68" i="115"/>
  <c r="M68" i="115"/>
  <c r="I44" i="117"/>
  <c r="Q44" i="117"/>
  <c r="C53" i="117"/>
  <c r="K53" i="117"/>
  <c r="S53" i="117"/>
  <c r="E62" i="117"/>
  <c r="M62" i="117"/>
  <c r="G71" i="117"/>
  <c r="O71" i="117"/>
  <c r="J44" i="117"/>
  <c r="R44" i="117"/>
  <c r="D53" i="117"/>
  <c r="L53" i="117"/>
  <c r="F62" i="117"/>
  <c r="N62" i="117"/>
  <c r="H71" i="117"/>
  <c r="P71" i="117"/>
  <c r="C44" i="117"/>
  <c r="K44" i="117"/>
  <c r="S44" i="117"/>
  <c r="E53" i="117"/>
  <c r="M53" i="117"/>
  <c r="G62" i="117"/>
  <c r="O62" i="117"/>
  <c r="I71" i="117"/>
  <c r="Q71" i="117"/>
  <c r="D44" i="117"/>
  <c r="L44" i="117"/>
  <c r="F53" i="117"/>
  <c r="N53" i="117"/>
  <c r="H62" i="117"/>
  <c r="P62" i="117"/>
  <c r="J71" i="117"/>
  <c r="R71" i="117"/>
  <c r="E44" i="117"/>
  <c r="M44" i="117"/>
  <c r="G53" i="117"/>
  <c r="O53" i="117"/>
  <c r="I62" i="117"/>
  <c r="Q62" i="117"/>
  <c r="C71" i="117"/>
  <c r="K71" i="117"/>
  <c r="S71" i="117"/>
  <c r="F44" i="117"/>
  <c r="N44" i="117"/>
  <c r="H53" i="117"/>
  <c r="P53" i="117"/>
  <c r="J62" i="117"/>
  <c r="R62" i="117"/>
  <c r="D71" i="117"/>
  <c r="L71" i="117"/>
  <c r="G44" i="117"/>
  <c r="O44" i="117"/>
  <c r="I53" i="117"/>
  <c r="Q53" i="117"/>
  <c r="C62" i="117"/>
  <c r="K62" i="117"/>
  <c r="S62" i="117"/>
  <c r="E71" i="117"/>
  <c r="M71" i="117"/>
  <c r="K13" i="117"/>
  <c r="F13" i="117"/>
  <c r="M13" i="117"/>
  <c r="D13" i="117"/>
  <c r="E13" i="117"/>
  <c r="J13" i="117"/>
  <c r="E41" i="115"/>
  <c r="M41" i="115"/>
  <c r="G41" i="115"/>
  <c r="O41" i="115"/>
  <c r="H41" i="115"/>
  <c r="P41" i="115"/>
  <c r="I41" i="115"/>
  <c r="Q41" i="115"/>
  <c r="J41" i="115"/>
  <c r="R41" i="115"/>
  <c r="C24" i="115"/>
  <c r="AE7" i="100"/>
  <c r="AM7" i="100"/>
  <c r="Z12" i="100"/>
  <c r="AF13" i="100"/>
  <c r="AN13" i="100"/>
  <c r="AL64" i="100"/>
  <c r="AD70" i="100"/>
  <c r="AL70" i="100"/>
  <c r="V118" i="98"/>
  <c r="AE118" i="98"/>
  <c r="Y119" i="98"/>
  <c r="AH119" i="98"/>
  <c r="AA120" i="98"/>
  <c r="AJ120" i="98"/>
  <c r="AC121" i="98"/>
  <c r="AG125" i="98"/>
  <c r="AB126" i="98"/>
  <c r="Z127" i="98"/>
  <c r="W128" i="98"/>
  <c r="AI128" i="98"/>
  <c r="AE15" i="100"/>
  <c r="AM15" i="100"/>
  <c r="AO27" i="100"/>
  <c r="Z47" i="100"/>
  <c r="AH47" i="100"/>
  <c r="AN78" i="100"/>
  <c r="C20" i="117"/>
  <c r="Y7" i="100"/>
  <c r="AG7" i="100"/>
  <c r="AO7" i="100"/>
  <c r="AD18" i="100"/>
  <c r="AN21" i="100"/>
  <c r="AJ25" i="100"/>
  <c r="AD30" i="100"/>
  <c r="AD37" i="100"/>
  <c r="AJ46" i="100"/>
  <c r="AE93" i="100"/>
  <c r="AH7" i="100"/>
  <c r="AF9" i="100"/>
  <c r="AL11" i="100"/>
  <c r="Z20" i="100"/>
  <c r="Z28" i="100"/>
  <c r="AF29" i="100"/>
  <c r="AN29" i="100"/>
  <c r="AB33" i="100"/>
  <c r="AJ33" i="100"/>
  <c r="AE37" i="100"/>
  <c r="AM37" i="100"/>
  <c r="AN43" i="100"/>
  <c r="AH67" i="100"/>
  <c r="AC78" i="100"/>
  <c r="AN137" i="100"/>
  <c r="D96" i="101"/>
  <c r="D26" i="117"/>
  <c r="C32" i="117"/>
  <c r="C95" i="98"/>
  <c r="M95" i="98"/>
  <c r="Z8" i="100"/>
  <c r="AH10" i="100"/>
  <c r="Z64" i="100"/>
  <c r="Y108" i="100"/>
  <c r="F20" i="117"/>
  <c r="AH9" i="100"/>
  <c r="AL19" i="100"/>
  <c r="AD39" i="100"/>
  <c r="AH50" i="100"/>
  <c r="AJ63" i="100"/>
  <c r="AJ15" i="100"/>
  <c r="AF18" i="100"/>
  <c r="AN18" i="100"/>
  <c r="AF25" i="100"/>
  <c r="AN25" i="100"/>
  <c r="AL34" i="100"/>
  <c r="AF37" i="100"/>
  <c r="Z44" i="100"/>
  <c r="AH44" i="100"/>
  <c r="AB49" i="100"/>
  <c r="AJ49" i="100"/>
  <c r="AJ57" i="100"/>
  <c r="Y138" i="100"/>
  <c r="AN155" i="100"/>
  <c r="Y40" i="111"/>
  <c r="AG40" i="111"/>
  <c r="AA57" i="111"/>
  <c r="AI57" i="111"/>
  <c r="AD52" i="100"/>
  <c r="AN62" i="100"/>
  <c r="AM125" i="100"/>
  <c r="AG178" i="100"/>
  <c r="AN179" i="100"/>
  <c r="AE191" i="100"/>
  <c r="AD207" i="100"/>
  <c r="AC209" i="100"/>
  <c r="AK207" i="100"/>
  <c r="AF10" i="111"/>
  <c r="AA16" i="111"/>
  <c r="AI16" i="111"/>
  <c r="Z25" i="111"/>
  <c r="AH25" i="111"/>
  <c r="X33" i="111"/>
  <c r="AF33" i="111"/>
  <c r="Z40" i="111"/>
  <c r="X42" i="111"/>
  <c r="Z44" i="111"/>
  <c r="AH44" i="111"/>
  <c r="W56" i="111"/>
  <c r="AB57" i="111"/>
  <c r="X59" i="111"/>
  <c r="AB62" i="111"/>
  <c r="AA63" i="111"/>
  <c r="AB68" i="111"/>
  <c r="AJ68" i="111"/>
  <c r="N95" i="98"/>
  <c r="AJ7" i="100"/>
  <c r="AF17" i="100"/>
  <c r="AB31" i="100"/>
  <c r="AJ27" i="100"/>
  <c r="AL32" i="100"/>
  <c r="Y43" i="100"/>
  <c r="AG43" i="100"/>
  <c r="AO43" i="100"/>
  <c r="AH49" i="100"/>
  <c r="AF51" i="100"/>
  <c r="AN51" i="100"/>
  <c r="AB55" i="100"/>
  <c r="AB62" i="100"/>
  <c r="AJ66" i="100"/>
  <c r="Y83" i="100"/>
  <c r="AN188" i="100"/>
  <c r="AE187" i="100"/>
  <c r="AM187" i="100"/>
  <c r="W6" i="111"/>
  <c r="AE6" i="111"/>
  <c r="AB8" i="111"/>
  <c r="AJ8" i="111"/>
  <c r="AA12" i="111"/>
  <c r="AI12" i="111"/>
  <c r="AB16" i="111"/>
  <c r="AJ16" i="111"/>
  <c r="AH26" i="111"/>
  <c r="AI34" i="111"/>
  <c r="AA40" i="111"/>
  <c r="AI40" i="111"/>
  <c r="Y41" i="111"/>
  <c r="AG41" i="111"/>
  <c r="AE42" i="111"/>
  <c r="AI44" i="111"/>
  <c r="X56" i="111"/>
  <c r="AF56" i="111"/>
  <c r="AC57" i="111"/>
  <c r="AK57" i="111"/>
  <c r="W61" i="111"/>
  <c r="AG65" i="111"/>
  <c r="AI67" i="111"/>
  <c r="AB81" i="110"/>
  <c r="AA148" i="100"/>
  <c r="Q203" i="100"/>
  <c r="AL204" i="100" s="1"/>
  <c r="AJ12" i="111"/>
  <c r="AB25" i="111"/>
  <c r="AJ25" i="111"/>
  <c r="AB40" i="111"/>
  <c r="AB44" i="111"/>
  <c r="AJ44" i="111"/>
  <c r="AC107" i="100"/>
  <c r="AA179" i="100"/>
  <c r="P199" i="100"/>
  <c r="AK8" i="111"/>
  <c r="AE11" i="111"/>
  <c r="Z23" i="111"/>
  <c r="AH23" i="111"/>
  <c r="AK25" i="111"/>
  <c r="AC40" i="111"/>
  <c r="AK40" i="111"/>
  <c r="AA41" i="111"/>
  <c r="AC58" i="111"/>
  <c r="AK58" i="111"/>
  <c r="Z60" i="111"/>
  <c r="AH60" i="111"/>
  <c r="AJ24" i="100"/>
  <c r="AN27" i="100"/>
  <c r="AL42" i="100"/>
  <c r="AD57" i="100"/>
  <c r="AL60" i="100"/>
  <c r="Y67" i="100"/>
  <c r="AG67" i="100"/>
  <c r="AO67" i="100"/>
  <c r="Z71" i="100"/>
  <c r="AH71" i="100"/>
  <c r="AA78" i="100"/>
  <c r="AG82" i="100"/>
  <c r="AG106" i="100"/>
  <c r="AA140" i="100"/>
  <c r="AO139" i="100"/>
  <c r="AK156" i="100"/>
  <c r="AB161" i="100"/>
  <c r="AJ157" i="100"/>
  <c r="AD166" i="100"/>
  <c r="AL163" i="100"/>
  <c r="AJ175" i="100"/>
  <c r="AE193" i="100"/>
  <c r="AL196" i="100"/>
  <c r="AC9" i="111"/>
  <c r="AK9" i="111"/>
  <c r="AA10" i="111"/>
  <c r="AI10" i="111"/>
  <c r="AF11" i="111"/>
  <c r="W12" i="111"/>
  <c r="AE12" i="111"/>
  <c r="X16" i="111"/>
  <c r="W17" i="111"/>
  <c r="AA17" i="111"/>
  <c r="AB23" i="111"/>
  <c r="W25" i="111"/>
  <c r="AE25" i="111"/>
  <c r="AA32" i="111"/>
  <c r="W40" i="111"/>
  <c r="AC41" i="111"/>
  <c r="AK41" i="111"/>
  <c r="AI42" i="111"/>
  <c r="AB56" i="111"/>
  <c r="AG57" i="111"/>
  <c r="AI66" i="111"/>
  <c r="I104" i="108"/>
  <c r="AM133" i="100"/>
  <c r="AD149" i="100"/>
  <c r="AI152" i="100"/>
  <c r="Z167" i="100"/>
  <c r="AH167" i="100"/>
  <c r="AB180" i="100"/>
  <c r="Z183" i="100"/>
  <c r="I204" i="100"/>
  <c r="X17" i="111"/>
  <c r="AF17" i="111"/>
  <c r="AC23" i="111"/>
  <c r="AK23" i="111"/>
  <c r="X40" i="111"/>
  <c r="AF40" i="111"/>
  <c r="X44" i="111"/>
  <c r="AF44" i="111"/>
  <c r="AC46" i="111"/>
  <c r="AK46" i="111"/>
  <c r="AC56" i="111"/>
  <c r="Z57" i="111"/>
  <c r="AH57" i="111"/>
  <c r="V104" i="98"/>
  <c r="AE104" i="98"/>
  <c r="AC111" i="98"/>
  <c r="V112" i="98"/>
  <c r="AE112" i="98"/>
  <c r="X113" i="98"/>
  <c r="AG113" i="98"/>
  <c r="AB10" i="100"/>
  <c r="Z11" i="100"/>
  <c r="AH11" i="100"/>
  <c r="AE17" i="100"/>
  <c r="AM17" i="100"/>
  <c r="AB18" i="100"/>
  <c r="AJ18" i="100"/>
  <c r="AL20" i="100"/>
  <c r="AJ21" i="100"/>
  <c r="Z22" i="100"/>
  <c r="AH25" i="100"/>
  <c r="AJ22" i="100"/>
  <c r="AN23" i="100"/>
  <c r="Z26" i="100"/>
  <c r="AJ26" i="100"/>
  <c r="AC32" i="100"/>
  <c r="AK32" i="100"/>
  <c r="AA33" i="100"/>
  <c r="AI33" i="100"/>
  <c r="AD35" i="100"/>
  <c r="AL35" i="100"/>
  <c r="AJ36" i="100"/>
  <c r="Z42" i="100"/>
  <c r="AJ42" i="100"/>
  <c r="AB45" i="100"/>
  <c r="AJ45" i="100"/>
  <c r="Y47" i="100"/>
  <c r="AG47" i="100"/>
  <c r="AO47" i="100"/>
  <c r="AC50" i="100"/>
  <c r="AK50" i="100"/>
  <c r="Z59" i="100"/>
  <c r="AH59" i="100"/>
  <c r="AN67" i="100"/>
  <c r="AD68" i="100"/>
  <c r="AC102" i="100"/>
  <c r="AA109" i="100"/>
  <c r="AG123" i="100"/>
  <c r="O97" i="98"/>
  <c r="AH8" i="100"/>
  <c r="AA11" i="100"/>
  <c r="AI11" i="100"/>
  <c r="Z16" i="100"/>
  <c r="AN19" i="100"/>
  <c r="Z19" i="100"/>
  <c r="AH19" i="100"/>
  <c r="AB29" i="100"/>
  <c r="AJ29" i="100"/>
  <c r="Z30" i="100"/>
  <c r="AB30" i="100"/>
  <c r="Z34" i="100"/>
  <c r="AH34" i="100"/>
  <c r="AJ34" i="100"/>
  <c r="AE35" i="100"/>
  <c r="AM35" i="100"/>
  <c r="AF38" i="100"/>
  <c r="AA103" i="100"/>
  <c r="Q97" i="98"/>
  <c r="J98" i="98"/>
  <c r="X104" i="98"/>
  <c r="AG104" i="98"/>
  <c r="Z105" i="98"/>
  <c r="AI105" i="98"/>
  <c r="AC106" i="98"/>
  <c r="V111" i="98"/>
  <c r="AA113" i="98"/>
  <c r="AJ113" i="98"/>
  <c r="AD7" i="100"/>
  <c r="AL10" i="100"/>
  <c r="AA12" i="100"/>
  <c r="AI12" i="100"/>
  <c r="AO13" i="100"/>
  <c r="AL18" i="100"/>
  <c r="AA19" i="100"/>
  <c r="AI19" i="100"/>
  <c r="AF20" i="100"/>
  <c r="AD21" i="100"/>
  <c r="AB25" i="100"/>
  <c r="Z23" i="100"/>
  <c r="AJ23" i="100"/>
  <c r="AF24" i="100"/>
  <c r="AN24" i="100"/>
  <c r="AD25" i="100"/>
  <c r="AL25" i="100"/>
  <c r="AB26" i="100"/>
  <c r="Z27" i="100"/>
  <c r="AH30" i="100"/>
  <c r="AF27" i="100"/>
  <c r="AN30" i="100"/>
  <c r="AC29" i="100"/>
  <c r="AK29" i="100"/>
  <c r="AA30" i="100"/>
  <c r="AI30" i="100"/>
  <c r="AF31" i="100"/>
  <c r="AN31" i="100"/>
  <c r="AD36" i="100"/>
  <c r="AC37" i="100"/>
  <c r="AK37" i="100"/>
  <c r="AL40" i="100"/>
  <c r="AB46" i="100"/>
  <c r="AJ44" i="100"/>
  <c r="Z43" i="100"/>
  <c r="AD60" i="100"/>
  <c r="AL58" i="100"/>
  <c r="AD64" i="100"/>
  <c r="AD63" i="100"/>
  <c r="AM79" i="100"/>
  <c r="AK80" i="100"/>
  <c r="AF100" i="100"/>
  <c r="AM99" i="100"/>
  <c r="AH103" i="100"/>
  <c r="AE117" i="100"/>
  <c r="C30" i="115"/>
  <c r="K98" i="98"/>
  <c r="AD118" i="98"/>
  <c r="AE125" i="98"/>
  <c r="AA126" i="98"/>
  <c r="Y127" i="98"/>
  <c r="AJ127" i="98"/>
  <c r="AH128" i="98"/>
  <c r="Z9" i="100"/>
  <c r="AB15" i="100"/>
  <c r="AJ12" i="100"/>
  <c r="AF14" i="100"/>
  <c r="AB16" i="100"/>
  <c r="AA23" i="100"/>
  <c r="AI23" i="100"/>
  <c r="Y28" i="100"/>
  <c r="AG28" i="100"/>
  <c r="AO28" i="100"/>
  <c r="AD33" i="100"/>
  <c r="AD38" i="100"/>
  <c r="AF39" i="100"/>
  <c r="AN39" i="100"/>
  <c r="AD41" i="100"/>
  <c r="AL41" i="100"/>
  <c r="AC42" i="100"/>
  <c r="AK42" i="100"/>
  <c r="AA43" i="100"/>
  <c r="AI43" i="100"/>
  <c r="AE45" i="100"/>
  <c r="AM45" i="100"/>
  <c r="AB51" i="100"/>
  <c r="AJ51" i="100"/>
  <c r="AH48" i="100"/>
  <c r="AB53" i="100"/>
  <c r="AB56" i="100"/>
  <c r="AJ55" i="100"/>
  <c r="AA54" i="100"/>
  <c r="AI54" i="100"/>
  <c r="AA67" i="100"/>
  <c r="AI67" i="100"/>
  <c r="AL69" i="100"/>
  <c r="AL68" i="100"/>
  <c r="Z78" i="100"/>
  <c r="AM111" i="100"/>
  <c r="R203" i="100"/>
  <c r="AM202" i="100" s="1"/>
  <c r="R204" i="100"/>
  <c r="AF21" i="100"/>
  <c r="AL44" i="100"/>
  <c r="AE121" i="100"/>
  <c r="AF159" i="100"/>
  <c r="AF157" i="100"/>
  <c r="AN10" i="100"/>
  <c r="AN20" i="100"/>
  <c r="AB28" i="100"/>
  <c r="AL56" i="100"/>
  <c r="AL52" i="100"/>
  <c r="O98" i="98"/>
  <c r="J97" i="98"/>
  <c r="C98" i="98"/>
  <c r="N98" i="98"/>
  <c r="W118" i="98"/>
  <c r="AG118" i="98"/>
  <c r="Z119" i="98"/>
  <c r="AI119" i="98"/>
  <c r="AB120" i="98"/>
  <c r="AK120" i="98"/>
  <c r="AD8" i="100"/>
  <c r="AJ13" i="100"/>
  <c r="Z14" i="100"/>
  <c r="AH14" i="100"/>
  <c r="AF15" i="100"/>
  <c r="AN15" i="100"/>
  <c r="AB21" i="100"/>
  <c r="AJ17" i="100"/>
  <c r="Y21" i="100"/>
  <c r="AG21" i="100"/>
  <c r="AO21" i="100"/>
  <c r="Z32" i="100"/>
  <c r="AJ32" i="100"/>
  <c r="AD34" i="100"/>
  <c r="Z50" i="100"/>
  <c r="AC54" i="100"/>
  <c r="AK54" i="100"/>
  <c r="AF69" i="100"/>
  <c r="AN69" i="100"/>
  <c r="AA82" i="100"/>
  <c r="AE134" i="100"/>
  <c r="T48" i="117"/>
  <c r="T70" i="117"/>
  <c r="K97" i="98"/>
  <c r="Z7" i="100"/>
  <c r="AC9" i="100"/>
  <c r="AK9" i="100"/>
  <c r="Z10" i="100"/>
  <c r="AD10" i="100"/>
  <c r="AC17" i="100"/>
  <c r="AK17" i="100"/>
  <c r="Z18" i="100"/>
  <c r="AJ20" i="100"/>
  <c r="AN22" i="100"/>
  <c r="AD29" i="100"/>
  <c r="AH36" i="100"/>
  <c r="AA39" i="100"/>
  <c r="AE53" i="100"/>
  <c r="AM53" i="100"/>
  <c r="AD61" i="100"/>
  <c r="AC62" i="100"/>
  <c r="AK62" i="100"/>
  <c r="AB100" i="100"/>
  <c r="AI100" i="100"/>
  <c r="AI97" i="100"/>
  <c r="D32" i="117"/>
  <c r="L97" i="98"/>
  <c r="F98" i="98"/>
  <c r="Q98" i="98"/>
  <c r="AB111" i="98"/>
  <c r="AK111" i="98"/>
  <c r="W113" i="98"/>
  <c r="AF113" i="98"/>
  <c r="Y114" i="98"/>
  <c r="AI114" i="98"/>
  <c r="AN8" i="100"/>
  <c r="AD9" i="100"/>
  <c r="AL9" i="100"/>
  <c r="AF12" i="100"/>
  <c r="AB14" i="100"/>
  <c r="AN16" i="100"/>
  <c r="AD20" i="100"/>
  <c r="AL17" i="100"/>
  <c r="Y22" i="100"/>
  <c r="AG22" i="100"/>
  <c r="AO22" i="100"/>
  <c r="AE23" i="100"/>
  <c r="AM23" i="100"/>
  <c r="AC24" i="100"/>
  <c r="AK24" i="100"/>
  <c r="AE27" i="100"/>
  <c r="AM27" i="100"/>
  <c r="AF30" i="100"/>
  <c r="AB36" i="100"/>
  <c r="Z33" i="100"/>
  <c r="AF34" i="100"/>
  <c r="Z37" i="100"/>
  <c r="AH41" i="100"/>
  <c r="AD40" i="100"/>
  <c r="AL39" i="100"/>
  <c r="AN47" i="100"/>
  <c r="AL48" i="100"/>
  <c r="AL51" i="100"/>
  <c r="Y52" i="100"/>
  <c r="AG52" i="100"/>
  <c r="AO52" i="100"/>
  <c r="Y59" i="100"/>
  <c r="AG59" i="100"/>
  <c r="Z69" i="100"/>
  <c r="AD69" i="100"/>
  <c r="AJ100" i="100"/>
  <c r="AA98" i="100"/>
  <c r="AO59" i="100"/>
  <c r="AF60" i="100"/>
  <c r="Z63" i="100"/>
  <c r="AE64" i="100"/>
  <c r="AM64" i="100"/>
  <c r="Z66" i="100"/>
  <c r="AH66" i="100"/>
  <c r="AB68" i="100"/>
  <c r="AJ68" i="100"/>
  <c r="AE69" i="100"/>
  <c r="AM69" i="100"/>
  <c r="AF79" i="100"/>
  <c r="AB82" i="100"/>
  <c r="AH83" i="100"/>
  <c r="AK98" i="100"/>
  <c r="Z102" i="100"/>
  <c r="AL108" i="100"/>
  <c r="AC111" i="100"/>
  <c r="AL124" i="100"/>
  <c r="AE124" i="100"/>
  <c r="AE155" i="100"/>
  <c r="AM161" i="100"/>
  <c r="AI173" i="100"/>
  <c r="AE177" i="100"/>
  <c r="AL178" i="100"/>
  <c r="AN182" i="100"/>
  <c r="AJ194" i="100"/>
  <c r="AC211" i="100"/>
  <c r="AC14" i="111"/>
  <c r="AH14" i="111"/>
  <c r="AA28" i="111"/>
  <c r="AI28" i="111"/>
  <c r="AC81" i="100"/>
  <c r="AC86" i="100"/>
  <c r="AD87" i="100"/>
  <c r="AA88" i="100"/>
  <c r="AN107" i="100"/>
  <c r="AN122" i="100"/>
  <c r="AG139" i="100"/>
  <c r="AC152" i="100"/>
  <c r="Z154" i="100"/>
  <c r="AH154" i="100"/>
  <c r="AO160" i="100"/>
  <c r="AB193" i="100"/>
  <c r="AJ193" i="100"/>
  <c r="AJ210" i="100"/>
  <c r="Y48" i="111"/>
  <c r="AG48" i="111"/>
  <c r="W67" i="111"/>
  <c r="Y67" i="111"/>
  <c r="AF50" i="100"/>
  <c r="AN48" i="100"/>
  <c r="Z51" i="100"/>
  <c r="AH51" i="100"/>
  <c r="AN52" i="100"/>
  <c r="AD53" i="100"/>
  <c r="AH54" i="100"/>
  <c r="AN59" i="100"/>
  <c r="AB63" i="100"/>
  <c r="AJ62" i="100"/>
  <c r="AB66" i="100"/>
  <c r="Z67" i="100"/>
  <c r="AH78" i="100"/>
  <c r="AJ80" i="100"/>
  <c r="Z84" i="100"/>
  <c r="AE87" i="100"/>
  <c r="AI88" i="100"/>
  <c r="AI93" i="100"/>
  <c r="AE97" i="100"/>
  <c r="AL106" i="100"/>
  <c r="AJ117" i="100"/>
  <c r="AI122" i="100"/>
  <c r="AH132" i="100"/>
  <c r="AA147" i="100"/>
  <c r="AI147" i="100"/>
  <c r="Z147" i="100"/>
  <c r="AH151" i="100"/>
  <c r="AC160" i="100"/>
  <c r="AK160" i="100"/>
  <c r="AM163" i="100"/>
  <c r="Z168" i="100"/>
  <c r="AH168" i="100"/>
  <c r="AD172" i="100"/>
  <c r="Y33" i="100"/>
  <c r="AG33" i="100"/>
  <c r="AO33" i="100"/>
  <c r="AB35" i="100"/>
  <c r="Z36" i="100"/>
  <c r="AF41" i="100"/>
  <c r="AN41" i="100"/>
  <c r="AB38" i="100"/>
  <c r="AJ38" i="100"/>
  <c r="Z48" i="100"/>
  <c r="AN49" i="100"/>
  <c r="AD54" i="100"/>
  <c r="AL54" i="100"/>
  <c r="AE58" i="100"/>
  <c r="AM58" i="100"/>
  <c r="AA64" i="100"/>
  <c r="AI64" i="100"/>
  <c r="AN71" i="100"/>
  <c r="AK81" i="100"/>
  <c r="AD83" i="100"/>
  <c r="AG90" i="100"/>
  <c r="AA93" i="100"/>
  <c r="Z97" i="100"/>
  <c r="AM104" i="100"/>
  <c r="AF111" i="100"/>
  <c r="AA113" i="100"/>
  <c r="AN113" i="100"/>
  <c r="Y119" i="100"/>
  <c r="Z120" i="100"/>
  <c r="AD123" i="100"/>
  <c r="AJ136" i="100"/>
  <c r="AB134" i="100"/>
  <c r="AH141" i="100"/>
  <c r="AF156" i="100"/>
  <c r="AF152" i="100"/>
  <c r="AI46" i="111"/>
  <c r="AG46" i="111"/>
  <c r="AB48" i="111"/>
  <c r="AA49" i="111"/>
  <c r="AI49" i="111"/>
  <c r="AI39" i="100"/>
  <c r="Z40" i="100"/>
  <c r="AH40" i="100"/>
  <c r="Y41" i="100"/>
  <c r="AG41" i="100"/>
  <c r="AO41" i="100"/>
  <c r="AD49" i="100"/>
  <c r="AL50" i="100"/>
  <c r="AA48" i="100"/>
  <c r="AI48" i="100"/>
  <c r="AA57" i="100"/>
  <c r="AI57" i="100"/>
  <c r="AD59" i="100"/>
  <c r="AL59" i="100"/>
  <c r="AC60" i="100"/>
  <c r="AK60" i="100"/>
  <c r="Y62" i="100"/>
  <c r="AG62" i="100"/>
  <c r="AO62" i="100"/>
  <c r="AC67" i="100"/>
  <c r="AK67" i="100"/>
  <c r="AD71" i="100"/>
  <c r="AL71" i="100"/>
  <c r="AK79" i="100"/>
  <c r="AE83" i="100"/>
  <c r="Z88" i="100"/>
  <c r="AO104" i="100"/>
  <c r="AK105" i="100"/>
  <c r="AB109" i="100"/>
  <c r="AF117" i="100"/>
  <c r="AD133" i="100"/>
  <c r="AN134" i="100"/>
  <c r="AD147" i="100"/>
  <c r="AL150" i="100"/>
  <c r="Z161" i="100"/>
  <c r="AH157" i="100"/>
  <c r="AL181" i="100"/>
  <c r="Z185" i="100"/>
  <c r="AH185" i="100"/>
  <c r="Z198" i="100"/>
  <c r="AA14" i="111"/>
  <c r="AI14" i="111"/>
  <c r="AE47" i="100"/>
  <c r="AM47" i="100"/>
  <c r="AJ48" i="100"/>
  <c r="Z49" i="100"/>
  <c r="AN50" i="100"/>
  <c r="AN53" i="100"/>
  <c r="AD56" i="100"/>
  <c r="AB59" i="100"/>
  <c r="AJ60" i="100"/>
  <c r="Z62" i="100"/>
  <c r="AH62" i="100"/>
  <c r="AF63" i="100"/>
  <c r="AN63" i="100"/>
  <c r="Z65" i="100"/>
  <c r="AH63" i="100"/>
  <c r="AH65" i="100"/>
  <c r="AL67" i="100"/>
  <c r="Z68" i="100"/>
  <c r="Z70" i="100"/>
  <c r="AH70" i="100"/>
  <c r="AJ82" i="100"/>
  <c r="AN92" i="100"/>
  <c r="Y94" i="100"/>
  <c r="AF94" i="100"/>
  <c r="AC98" i="100"/>
  <c r="AC104" i="100"/>
  <c r="Y112" i="100"/>
  <c r="AH115" i="100"/>
  <c r="AH119" i="100"/>
  <c r="AE123" i="100"/>
  <c r="AL133" i="100"/>
  <c r="AA134" i="100"/>
  <c r="AN152" i="100"/>
  <c r="AF153" i="100"/>
  <c r="AN156" i="100"/>
  <c r="Y172" i="100"/>
  <c r="AC178" i="100"/>
  <c r="AD182" i="100"/>
  <c r="AL182" i="100"/>
  <c r="AO189" i="100"/>
  <c r="Z48" i="111"/>
  <c r="AE48" i="111"/>
  <c r="AC186" i="100"/>
  <c r="AF189" i="100"/>
  <c r="Z195" i="100"/>
  <c r="AH192" i="100"/>
  <c r="Y207" i="100"/>
  <c r="AG207" i="100"/>
  <c r="AO207" i="100"/>
  <c r="AE209" i="100"/>
  <c r="Y8" i="111"/>
  <c r="AG8" i="111"/>
  <c r="W11" i="111"/>
  <c r="Y17" i="111"/>
  <c r="AF28" i="111"/>
  <c r="W29" i="111"/>
  <c r="W46" i="111"/>
  <c r="AE46" i="111"/>
  <c r="X63" i="111"/>
  <c r="AF63" i="111"/>
  <c r="AI64" i="111"/>
  <c r="X67" i="111"/>
  <c r="AE111" i="100"/>
  <c r="AG114" i="100"/>
  <c r="AC113" i="100"/>
  <c r="AK114" i="100"/>
  <c r="AB116" i="100"/>
  <c r="AO116" i="100"/>
  <c r="AN117" i="100"/>
  <c r="AB121" i="100"/>
  <c r="AM118" i="100"/>
  <c r="AM124" i="100"/>
  <c r="Z132" i="100"/>
  <c r="AF132" i="100"/>
  <c r="AB149" i="100"/>
  <c r="AL153" i="100"/>
  <c r="AC155" i="100"/>
  <c r="AM173" i="100"/>
  <c r="AC172" i="100"/>
  <c r="AK174" i="100"/>
  <c r="AM178" i="100"/>
  <c r="AD179" i="100"/>
  <c r="AI7" i="111"/>
  <c r="Z8" i="111"/>
  <c r="AJ9" i="111"/>
  <c r="AG14" i="111"/>
  <c r="Z17" i="111"/>
  <c r="AH17" i="111"/>
  <c r="AK18" i="111"/>
  <c r="X29" i="111"/>
  <c r="AF29" i="111"/>
  <c r="W41" i="111"/>
  <c r="AE41" i="111"/>
  <c r="X46" i="111"/>
  <c r="AF46" i="111"/>
  <c r="AF50" i="111"/>
  <c r="Z59" i="111"/>
  <c r="AE61" i="111"/>
  <c r="Z126" i="100"/>
  <c r="AH126" i="100"/>
  <c r="AE137" i="100"/>
  <c r="AC158" i="100"/>
  <c r="AK159" i="100"/>
  <c r="AJ160" i="100"/>
  <c r="AN164" i="100"/>
  <c r="AB168" i="100"/>
  <c r="AH170" i="100"/>
  <c r="AK190" i="100"/>
  <c r="AB188" i="100"/>
  <c r="AJ188" i="100"/>
  <c r="AF190" i="100"/>
  <c r="AN190" i="100"/>
  <c r="Z194" i="100"/>
  <c r="Z200" i="100"/>
  <c r="W7" i="111"/>
  <c r="AE7" i="111"/>
  <c r="AA8" i="111"/>
  <c r="AI8" i="111"/>
  <c r="Y11" i="111"/>
  <c r="AG11" i="111"/>
  <c r="AA13" i="111"/>
  <c r="AI13" i="111"/>
  <c r="AB26" i="111"/>
  <c r="AH28" i="111"/>
  <c r="Y29" i="111"/>
  <c r="W44" i="111"/>
  <c r="AE44" i="111"/>
  <c r="AI47" i="111"/>
  <c r="AA59" i="111"/>
  <c r="AI59" i="111"/>
  <c r="X61" i="111"/>
  <c r="AF61" i="111"/>
  <c r="AH68" i="111"/>
  <c r="AG111" i="100"/>
  <c r="AO118" i="100"/>
  <c r="AD121" i="100"/>
  <c r="AB137" i="100"/>
  <c r="AM138" i="100"/>
  <c r="AE147" i="100"/>
  <c r="AC151" i="100"/>
  <c r="AB154" i="100"/>
  <c r="Y153" i="100"/>
  <c r="AG153" i="100"/>
  <c r="AO153" i="100"/>
  <c r="AM167" i="100"/>
  <c r="Z172" i="100"/>
  <c r="AF173" i="100"/>
  <c r="AK176" i="100"/>
  <c r="AJ177" i="100"/>
  <c r="AJ182" i="100"/>
  <c r="AO185" i="100"/>
  <c r="AL188" i="100"/>
  <c r="AG7" i="111"/>
  <c r="AJ7" i="111"/>
  <c r="AC8" i="111"/>
  <c r="Y9" i="111"/>
  <c r="AA11" i="111"/>
  <c r="AI11" i="111"/>
  <c r="X23" i="111"/>
  <c r="AF23" i="111"/>
  <c r="X26" i="111"/>
  <c r="AF26" i="111"/>
  <c r="AB28" i="111"/>
  <c r="AA29" i="111"/>
  <c r="AI29" i="111"/>
  <c r="AF30" i="111"/>
  <c r="X34" i="111"/>
  <c r="AF34" i="111"/>
  <c r="Z61" i="111"/>
  <c r="AH61" i="111"/>
  <c r="AB67" i="111"/>
  <c r="AJ67" i="111"/>
  <c r="Y68" i="111"/>
  <c r="AG68" i="111"/>
  <c r="AB46" i="111"/>
  <c r="AJ46" i="111"/>
  <c r="AF48" i="111"/>
  <c r="AG96" i="108"/>
  <c r="W28" i="111"/>
  <c r="AC29" i="111"/>
  <c r="AK29" i="111"/>
  <c r="Y34" i="111"/>
  <c r="AG34" i="111"/>
  <c r="Z41" i="111"/>
  <c r="AH41" i="111"/>
  <c r="Y44" i="111"/>
  <c r="AG44" i="111"/>
  <c r="Y46" i="111"/>
  <c r="AA48" i="111"/>
  <c r="AI48" i="111"/>
  <c r="W59" i="111"/>
  <c r="AE59" i="111"/>
  <c r="AA61" i="111"/>
  <c r="AI61" i="111"/>
  <c r="AA67" i="111"/>
  <c r="AA162" i="100"/>
  <c r="AI162" i="100"/>
  <c r="Z171" i="100"/>
  <c r="AO172" i="100"/>
  <c r="AB174" i="100"/>
  <c r="Y189" i="100"/>
  <c r="AO199" i="100"/>
  <c r="AB7" i="111"/>
  <c r="AB11" i="111"/>
  <c r="AJ11" i="111"/>
  <c r="Y12" i="111"/>
  <c r="AG12" i="111"/>
  <c r="AC16" i="111"/>
  <c r="AK16" i="111"/>
  <c r="W23" i="111"/>
  <c r="AB24" i="111"/>
  <c r="X25" i="111"/>
  <c r="AF25" i="111"/>
  <c r="AC26" i="111"/>
  <c r="AK26" i="111"/>
  <c r="Y28" i="111"/>
  <c r="AG28" i="111"/>
  <c r="AE29" i="111"/>
  <c r="X32" i="111"/>
  <c r="AK33" i="111"/>
  <c r="AB41" i="111"/>
  <c r="AJ41" i="111"/>
  <c r="AA46" i="111"/>
  <c r="AC48" i="111"/>
  <c r="AK48" i="111"/>
  <c r="Y50" i="111"/>
  <c r="AG50" i="111"/>
  <c r="AJ52" i="111"/>
  <c r="X57" i="111"/>
  <c r="AF57" i="111"/>
  <c r="Y59" i="111"/>
  <c r="AG59" i="111"/>
  <c r="Y60" i="111"/>
  <c r="AK61" i="111"/>
  <c r="W63" i="111"/>
  <c r="AB64" i="111"/>
  <c r="AJ64" i="111"/>
  <c r="AC67" i="111"/>
  <c r="AK67" i="111"/>
  <c r="AD104" i="98"/>
  <c r="W105" i="98"/>
  <c r="AF105" i="98"/>
  <c r="Y106" i="98"/>
  <c r="AH106" i="98"/>
  <c r="AA107" i="98"/>
  <c r="AK107" i="98"/>
  <c r="AC112" i="98"/>
  <c r="AD113" i="98"/>
  <c r="W114" i="98"/>
  <c r="AF114" i="98"/>
  <c r="AL8" i="100"/>
  <c r="AL7" i="100"/>
  <c r="AB7" i="100"/>
  <c r="AJ9" i="100"/>
  <c r="Z13" i="100"/>
  <c r="AN14" i="100"/>
  <c r="AN12" i="100"/>
  <c r="AD15" i="100"/>
  <c r="Z17" i="100"/>
  <c r="AJ19" i="100"/>
  <c r="E30" i="115"/>
  <c r="D20" i="117"/>
  <c r="C26" i="117"/>
  <c r="P96" i="98"/>
  <c r="X105" i="98"/>
  <c r="AG105" i="98"/>
  <c r="Z106" i="98"/>
  <c r="AI106" i="98"/>
  <c r="AC107" i="98"/>
  <c r="AD112" i="98"/>
  <c r="V113" i="98"/>
  <c r="AE113" i="98"/>
  <c r="X114" i="98"/>
  <c r="AG114" i="98"/>
  <c r="AD14" i="100"/>
  <c r="AL12" i="100"/>
  <c r="AH20" i="100"/>
  <c r="AH17" i="100"/>
  <c r="AD12" i="100"/>
  <c r="AD16" i="100"/>
  <c r="AL16" i="100"/>
  <c r="AL15" i="100"/>
  <c r="AL13" i="100"/>
  <c r="I96" i="101"/>
  <c r="V107" i="98"/>
  <c r="AE107" i="98"/>
  <c r="AE111" i="98"/>
  <c r="W112" i="98"/>
  <c r="AF112" i="98"/>
  <c r="AJ10" i="100"/>
  <c r="AJ8" i="100"/>
  <c r="AB11" i="100"/>
  <c r="F26" i="117"/>
  <c r="E32" i="117"/>
  <c r="E95" i="98"/>
  <c r="C97" i="98"/>
  <c r="M97" i="98"/>
  <c r="R98" i="98"/>
  <c r="Y104" i="98"/>
  <c r="AH104" i="98"/>
  <c r="AA105" i="98"/>
  <c r="AK105" i="98"/>
  <c r="AD106" i="98"/>
  <c r="AD13" i="100"/>
  <c r="Z15" i="100"/>
  <c r="Z21" i="100"/>
  <c r="AH21" i="100"/>
  <c r="AF22" i="100"/>
  <c r="AF26" i="100"/>
  <c r="F95" i="98"/>
  <c r="K96" i="98"/>
  <c r="D97" i="98"/>
  <c r="L98" i="98"/>
  <c r="Z104" i="98"/>
  <c r="AI104" i="98"/>
  <c r="AC105" i="98"/>
  <c r="V106" i="98"/>
  <c r="AE106" i="98"/>
  <c r="X107" i="98"/>
  <c r="AG107" i="98"/>
  <c r="X111" i="98"/>
  <c r="AG111" i="98"/>
  <c r="AJ11" i="100"/>
  <c r="AH12" i="100"/>
  <c r="AH15" i="100"/>
  <c r="AD23" i="100"/>
  <c r="AL26" i="100"/>
  <c r="E20" i="117"/>
  <c r="E97" i="98"/>
  <c r="AA104" i="98"/>
  <c r="AK104" i="98"/>
  <c r="AD105" i="98"/>
  <c r="AB8" i="100"/>
  <c r="AN34" i="100"/>
  <c r="AN32" i="100"/>
  <c r="E18" i="115"/>
  <c r="I97" i="101"/>
  <c r="L97" i="101"/>
  <c r="M96" i="98"/>
  <c r="R97" i="98"/>
  <c r="AC104" i="98"/>
  <c r="V105" i="98"/>
  <c r="AE105" i="98"/>
  <c r="V114" i="98"/>
  <c r="AE114" i="98"/>
  <c r="AL22" i="100"/>
  <c r="AF23" i="100"/>
  <c r="AD24" i="100"/>
  <c r="AL24" i="100"/>
  <c r="AL23" i="100"/>
  <c r="X106" i="98"/>
  <c r="AG106" i="98"/>
  <c r="Z107" i="98"/>
  <c r="AI107" i="98"/>
  <c r="AA111" i="98"/>
  <c r="AJ111" i="98"/>
  <c r="AB112" i="98"/>
  <c r="AK112" i="98"/>
  <c r="AC113" i="98"/>
  <c r="AD114" i="98"/>
  <c r="AC118" i="98"/>
  <c r="V119" i="98"/>
  <c r="AE119" i="98"/>
  <c r="Y120" i="98"/>
  <c r="AH120" i="98"/>
  <c r="AA121" i="98"/>
  <c r="AJ121" i="98"/>
  <c r="AB125" i="98"/>
  <c r="Y126" i="98"/>
  <c r="AJ126" i="98"/>
  <c r="AE128" i="98"/>
  <c r="AC7" i="100"/>
  <c r="AK7" i="100"/>
  <c r="AF7" i="100"/>
  <c r="AA9" i="100"/>
  <c r="AI9" i="100"/>
  <c r="AB9" i="100"/>
  <c r="Y11" i="100"/>
  <c r="AG11" i="100"/>
  <c r="AO11" i="100"/>
  <c r="AN11" i="100"/>
  <c r="AC15" i="100"/>
  <c r="AK15" i="100"/>
  <c r="AA17" i="100"/>
  <c r="AI17" i="100"/>
  <c r="AB17" i="100"/>
  <c r="Y19" i="100"/>
  <c r="AG19" i="100"/>
  <c r="AO19" i="100"/>
  <c r="AE21" i="100"/>
  <c r="AM21" i="100"/>
  <c r="AH22" i="100"/>
  <c r="AC23" i="100"/>
  <c r="AK23" i="100"/>
  <c r="AB24" i="100"/>
  <c r="AF33" i="100"/>
  <c r="AD47" i="100"/>
  <c r="AD48" i="100"/>
  <c r="W119" i="98"/>
  <c r="AG119" i="98"/>
  <c r="Z120" i="98"/>
  <c r="AI120" i="98"/>
  <c r="AB121" i="98"/>
  <c r="AK121" i="98"/>
  <c r="Z126" i="98"/>
  <c r="W127" i="98"/>
  <c r="AI127" i="98"/>
  <c r="AG128" i="98"/>
  <c r="AC8" i="100"/>
  <c r="AK8" i="100"/>
  <c r="AF8" i="100"/>
  <c r="AA10" i="100"/>
  <c r="AI10" i="100"/>
  <c r="Y12" i="100"/>
  <c r="AG12" i="100"/>
  <c r="AO12" i="100"/>
  <c r="AE14" i="100"/>
  <c r="AM14" i="100"/>
  <c r="AJ14" i="100"/>
  <c r="AC16" i="100"/>
  <c r="AK16" i="100"/>
  <c r="AF16" i="100"/>
  <c r="AD17" i="100"/>
  <c r="AA18" i="100"/>
  <c r="AI18" i="100"/>
  <c r="Y20" i="100"/>
  <c r="AG20" i="100"/>
  <c r="AO20" i="100"/>
  <c r="AL21" i="100"/>
  <c r="AE22" i="100"/>
  <c r="AM22" i="100"/>
  <c r="AH23" i="100"/>
  <c r="AH24" i="100"/>
  <c r="AC25" i="100"/>
  <c r="AK25" i="100"/>
  <c r="AC26" i="100"/>
  <c r="AK26" i="100"/>
  <c r="AL31" i="100"/>
  <c r="AL29" i="100"/>
  <c r="AL27" i="100"/>
  <c r="AD31" i="100"/>
  <c r="Z39" i="100"/>
  <c r="AH39" i="100"/>
  <c r="AB39" i="100"/>
  <c r="AF44" i="100"/>
  <c r="AF42" i="100"/>
  <c r="AN44" i="100"/>
  <c r="AN42" i="100"/>
  <c r="AL45" i="100"/>
  <c r="AE52" i="100"/>
  <c r="AM52" i="100"/>
  <c r="Z55" i="100"/>
  <c r="AD121" i="98"/>
  <c r="AH127" i="98"/>
  <c r="AE8" i="100"/>
  <c r="AM8" i="100"/>
  <c r="AC10" i="100"/>
  <c r="AK10" i="100"/>
  <c r="AF10" i="100"/>
  <c r="AD11" i="100"/>
  <c r="AH127" i="100"/>
  <c r="Y14" i="100"/>
  <c r="AG14" i="100"/>
  <c r="AO14" i="100"/>
  <c r="AE16" i="100"/>
  <c r="AM16" i="100"/>
  <c r="AJ16" i="100"/>
  <c r="AC18" i="100"/>
  <c r="AK18" i="100"/>
  <c r="AD19" i="100"/>
  <c r="AA20" i="100"/>
  <c r="AI20" i="100"/>
  <c r="AB20" i="100"/>
  <c r="AE24" i="100"/>
  <c r="AM24" i="100"/>
  <c r="AE25" i="100"/>
  <c r="AM25" i="100"/>
  <c r="AE26" i="100"/>
  <c r="AM26" i="100"/>
  <c r="Y118" i="98"/>
  <c r="AH118" i="98"/>
  <c r="AA119" i="98"/>
  <c r="AJ119" i="98"/>
  <c r="AC120" i="98"/>
  <c r="V121" i="98"/>
  <c r="AE121" i="98"/>
  <c r="W125" i="98"/>
  <c r="AI125" i="98"/>
  <c r="AE126" i="98"/>
  <c r="AA127" i="98"/>
  <c r="Y128" i="98"/>
  <c r="AJ128" i="98"/>
  <c r="AN7" i="100"/>
  <c r="AE9" i="100"/>
  <c r="AM9" i="100"/>
  <c r="AC11" i="100"/>
  <c r="AK11" i="100"/>
  <c r="AA13" i="100"/>
  <c r="AB13" i="100"/>
  <c r="Y15" i="100"/>
  <c r="AG15" i="100"/>
  <c r="AO15" i="100"/>
  <c r="AH18" i="100"/>
  <c r="AC19" i="100"/>
  <c r="AK19" i="100"/>
  <c r="AA21" i="100"/>
  <c r="AI21" i="100"/>
  <c r="Y23" i="100"/>
  <c r="AG23" i="100"/>
  <c r="AO23" i="100"/>
  <c r="AN26" i="100"/>
  <c r="Y27" i="100"/>
  <c r="AG27" i="100"/>
  <c r="AA28" i="100"/>
  <c r="AI28" i="100"/>
  <c r="AJ30" i="100"/>
  <c r="AF45" i="100"/>
  <c r="AN45" i="100"/>
  <c r="AH52" i="100"/>
  <c r="Z57" i="100"/>
  <c r="W107" i="98"/>
  <c r="AF107" i="98"/>
  <c r="W111" i="98"/>
  <c r="AF111" i="98"/>
  <c r="X112" i="98"/>
  <c r="AG112" i="98"/>
  <c r="Y113" i="98"/>
  <c r="AI113" i="98"/>
  <c r="AA114" i="98"/>
  <c r="AJ114" i="98"/>
  <c r="Z118" i="98"/>
  <c r="AI118" i="98"/>
  <c r="AB119" i="98"/>
  <c r="AK119" i="98"/>
  <c r="AD120" i="98"/>
  <c r="W121" i="98"/>
  <c r="AG121" i="98"/>
  <c r="Y125" i="98"/>
  <c r="AJ125" i="98"/>
  <c r="AG126" i="98"/>
  <c r="AB127" i="98"/>
  <c r="Z128" i="98"/>
  <c r="Y8" i="100"/>
  <c r="AG8" i="100"/>
  <c r="AO8" i="100"/>
  <c r="AE10" i="100"/>
  <c r="AM10" i="100"/>
  <c r="AC12" i="100"/>
  <c r="AK12" i="100"/>
  <c r="AA14" i="100"/>
  <c r="AI14" i="100"/>
  <c r="Y16" i="100"/>
  <c r="AG16" i="100"/>
  <c r="AO16" i="100"/>
  <c r="AE18" i="100"/>
  <c r="AM18" i="100"/>
  <c r="AC20" i="100"/>
  <c r="AK20" i="100"/>
  <c r="AA22" i="100"/>
  <c r="AI22" i="100"/>
  <c r="AB22" i="100"/>
  <c r="Y24" i="100"/>
  <c r="AG24" i="100"/>
  <c r="AO24" i="100"/>
  <c r="Y25" i="100"/>
  <c r="AG25" i="100"/>
  <c r="AO25" i="100"/>
  <c r="AJ28" i="100"/>
  <c r="AH28" i="100"/>
  <c r="Z31" i="100"/>
  <c r="AH31" i="100"/>
  <c r="AF35" i="100"/>
  <c r="AN35" i="100"/>
  <c r="AL36" i="100"/>
  <c r="AL33" i="100"/>
  <c r="AB37" i="100"/>
  <c r="AJ41" i="100"/>
  <c r="AB40" i="100"/>
  <c r="Z41" i="100"/>
  <c r="AD43" i="100"/>
  <c r="AL43" i="100"/>
  <c r="Z45" i="100"/>
  <c r="AH45" i="100"/>
  <c r="AF46" i="100"/>
  <c r="AN46" i="100"/>
  <c r="AC51" i="100"/>
  <c r="AK51" i="100"/>
  <c r="Z61" i="100"/>
  <c r="AH61" i="100"/>
  <c r="Y112" i="98"/>
  <c r="AI112" i="98"/>
  <c r="AB114" i="98"/>
  <c r="AK114" i="98"/>
  <c r="AA118" i="98"/>
  <c r="AJ118" i="98"/>
  <c r="AC119" i="98"/>
  <c r="V120" i="98"/>
  <c r="AE120" i="98"/>
  <c r="Y121" i="98"/>
  <c r="AH121" i="98"/>
  <c r="Z125" i="98"/>
  <c r="AH125" i="98"/>
  <c r="AH126" i="98"/>
  <c r="AE127" i="98"/>
  <c r="AA128" i="98"/>
  <c r="AA7" i="100"/>
  <c r="AI7" i="100"/>
  <c r="Y9" i="100"/>
  <c r="AG9" i="100"/>
  <c r="AO9" i="100"/>
  <c r="AE11" i="100"/>
  <c r="AM11" i="100"/>
  <c r="AA15" i="100"/>
  <c r="AI15" i="100"/>
  <c r="Y17" i="100"/>
  <c r="AG17" i="100"/>
  <c r="AO17" i="100"/>
  <c r="AE19" i="100"/>
  <c r="AM19" i="100"/>
  <c r="AC21" i="100"/>
  <c r="AK21" i="100"/>
  <c r="AD22" i="100"/>
  <c r="AB23" i="100"/>
  <c r="Z25" i="100"/>
  <c r="AH26" i="100"/>
  <c r="AA27" i="100"/>
  <c r="AD27" i="100"/>
  <c r="AC28" i="100"/>
  <c r="AK28" i="100"/>
  <c r="AL30" i="100"/>
  <c r="AA31" i="100"/>
  <c r="AI31" i="100"/>
  <c r="AH43" i="100"/>
  <c r="AH42" i="100"/>
  <c r="AH46" i="100"/>
  <c r="Z53" i="100"/>
  <c r="AH53" i="100"/>
  <c r="AF53" i="100"/>
  <c r="AF52" i="100"/>
  <c r="AF54" i="100"/>
  <c r="AN56" i="100"/>
  <c r="AN54" i="100"/>
  <c r="W106" i="98"/>
  <c r="AF106" i="98"/>
  <c r="Y107" i="98"/>
  <c r="AH107" i="98"/>
  <c r="Y111" i="98"/>
  <c r="AI111" i="98"/>
  <c r="AA112" i="98"/>
  <c r="AJ112" i="98"/>
  <c r="AB113" i="98"/>
  <c r="AK113" i="98"/>
  <c r="AC114" i="98"/>
  <c r="AB118" i="98"/>
  <c r="AK118" i="98"/>
  <c r="AD119" i="98"/>
  <c r="W120" i="98"/>
  <c r="AG120" i="98"/>
  <c r="Z121" i="98"/>
  <c r="AI121" i="98"/>
  <c r="AA125" i="98"/>
  <c r="W126" i="98"/>
  <c r="AI126" i="98"/>
  <c r="AG127" i="98"/>
  <c r="AB128" i="98"/>
  <c r="AA8" i="100"/>
  <c r="AI8" i="100"/>
  <c r="Y10" i="100"/>
  <c r="AG10" i="100"/>
  <c r="AO10" i="100"/>
  <c r="AE12" i="100"/>
  <c r="AM12" i="100"/>
  <c r="AH13" i="100"/>
  <c r="AC14" i="100"/>
  <c r="AK14" i="100"/>
  <c r="AA16" i="100"/>
  <c r="AI16" i="100"/>
  <c r="Y18" i="100"/>
  <c r="AG18" i="100"/>
  <c r="AO18" i="100"/>
  <c r="AE20" i="100"/>
  <c r="AM20" i="100"/>
  <c r="AC22" i="100"/>
  <c r="AK22" i="100"/>
  <c r="AA24" i="100"/>
  <c r="AA25" i="100"/>
  <c r="AI25" i="100"/>
  <c r="AA26" i="100"/>
  <c r="AI26" i="100"/>
  <c r="AB27" i="100"/>
  <c r="AJ31" i="100"/>
  <c r="AH27" i="100"/>
  <c r="AD28" i="100"/>
  <c r="AL28" i="100"/>
  <c r="Z29" i="100"/>
  <c r="AH29" i="100"/>
  <c r="AH33" i="100"/>
  <c r="AH32" i="100"/>
  <c r="AH35" i="100"/>
  <c r="Z35" i="100"/>
  <c r="AN36" i="100"/>
  <c r="Z38" i="100"/>
  <c r="AB41" i="100"/>
  <c r="AF43" i="100"/>
  <c r="AD44" i="100"/>
  <c r="Z46" i="100"/>
  <c r="AF55" i="100"/>
  <c r="Z58" i="100"/>
  <c r="AC27" i="100"/>
  <c r="AK27" i="100"/>
  <c r="AA29" i="100"/>
  <c r="AI29" i="100"/>
  <c r="Y31" i="100"/>
  <c r="AG31" i="100"/>
  <c r="AO31" i="100"/>
  <c r="AE33" i="100"/>
  <c r="AM33" i="100"/>
  <c r="AC35" i="100"/>
  <c r="AK35" i="100"/>
  <c r="AA37" i="100"/>
  <c r="AI37" i="100"/>
  <c r="Y39" i="100"/>
  <c r="AG39" i="100"/>
  <c r="AO39" i="100"/>
  <c r="AE41" i="100"/>
  <c r="AM41" i="100"/>
  <c r="AE43" i="100"/>
  <c r="AM43" i="100"/>
  <c r="AC45" i="100"/>
  <c r="AK45" i="100"/>
  <c r="AC47" i="100"/>
  <c r="AK47" i="100"/>
  <c r="AF47" i="100"/>
  <c r="AA49" i="100"/>
  <c r="AI49" i="100"/>
  <c r="AA50" i="100"/>
  <c r="AI50" i="100"/>
  <c r="AB50" i="100"/>
  <c r="AC52" i="100"/>
  <c r="AK52" i="100"/>
  <c r="AC53" i="100"/>
  <c r="AK53" i="100"/>
  <c r="AE55" i="100"/>
  <c r="AM55" i="100"/>
  <c r="AL55" i="100"/>
  <c r="AB57" i="100"/>
  <c r="AN58" i="100"/>
  <c r="AF59" i="100"/>
  <c r="AB60" i="100"/>
  <c r="AN60" i="100"/>
  <c r="AC66" i="100"/>
  <c r="AK66" i="100"/>
  <c r="AB70" i="100"/>
  <c r="AJ70" i="100"/>
  <c r="AB79" i="100"/>
  <c r="AH79" i="100"/>
  <c r="AN81" i="100"/>
  <c r="AB85" i="100"/>
  <c r="AC91" i="100"/>
  <c r="AN87" i="100"/>
  <c r="AA92" i="100"/>
  <c r="Y32" i="100"/>
  <c r="AG32" i="100"/>
  <c r="AO32" i="100"/>
  <c r="AE34" i="100"/>
  <c r="AM34" i="100"/>
  <c r="AC36" i="100"/>
  <c r="AK36" i="100"/>
  <c r="AF36" i="100"/>
  <c r="AA38" i="100"/>
  <c r="AI38" i="100"/>
  <c r="Y40" i="100"/>
  <c r="AG40" i="100"/>
  <c r="AO40" i="100"/>
  <c r="AN40" i="100"/>
  <c r="Y42" i="100"/>
  <c r="AG42" i="100"/>
  <c r="AO42" i="100"/>
  <c r="AE44" i="100"/>
  <c r="AM44" i="100"/>
  <c r="AC46" i="100"/>
  <c r="AK46" i="100"/>
  <c r="AC48" i="100"/>
  <c r="AK48" i="100"/>
  <c r="AF48" i="100"/>
  <c r="AJ52" i="100"/>
  <c r="AL53" i="100"/>
  <c r="AJ53" i="100"/>
  <c r="AN55" i="100"/>
  <c r="Y56" i="100"/>
  <c r="AG56" i="100"/>
  <c r="AO56" i="100"/>
  <c r="AB77" i="100"/>
  <c r="AB78" i="100"/>
  <c r="AI81" i="100"/>
  <c r="AI24" i="100"/>
  <c r="Y26" i="100"/>
  <c r="AG26" i="100"/>
  <c r="AO26" i="100"/>
  <c r="AE28" i="100"/>
  <c r="AM28" i="100"/>
  <c r="AC30" i="100"/>
  <c r="AK30" i="100"/>
  <c r="AA32" i="100"/>
  <c r="AI32" i="100"/>
  <c r="AB32" i="100"/>
  <c r="Y34" i="100"/>
  <c r="AG34" i="100"/>
  <c r="AO34" i="100"/>
  <c r="AE36" i="100"/>
  <c r="AM36" i="100"/>
  <c r="AH37" i="100"/>
  <c r="AC38" i="100"/>
  <c r="AK38" i="100"/>
  <c r="AA40" i="100"/>
  <c r="AI40" i="100"/>
  <c r="AA42" i="100"/>
  <c r="AI42" i="100"/>
  <c r="AB42" i="100"/>
  <c r="Y44" i="100"/>
  <c r="AG44" i="100"/>
  <c r="AO44" i="100"/>
  <c r="AE46" i="100"/>
  <c r="AM46" i="100"/>
  <c r="AL47" i="100"/>
  <c r="AE48" i="100"/>
  <c r="AM48" i="100"/>
  <c r="AD50" i="100"/>
  <c r="AJ50" i="100"/>
  <c r="AD51" i="100"/>
  <c r="AF56" i="100"/>
  <c r="Y54" i="100"/>
  <c r="AG54" i="100"/>
  <c r="AO54" i="100"/>
  <c r="AH55" i="100"/>
  <c r="AA56" i="100"/>
  <c r="AI56" i="100"/>
  <c r="AL57" i="100"/>
  <c r="AL61" i="100"/>
  <c r="AF65" i="100"/>
  <c r="AF66" i="100"/>
  <c r="AF64" i="100"/>
  <c r="AL63" i="100"/>
  <c r="AN64" i="100"/>
  <c r="AB65" i="100"/>
  <c r="AJ65" i="100"/>
  <c r="AB71" i="100"/>
  <c r="AB67" i="100"/>
  <c r="AJ71" i="100"/>
  <c r="AJ67" i="100"/>
  <c r="AE70" i="100"/>
  <c r="AM70" i="100"/>
  <c r="AI78" i="100"/>
  <c r="AD82" i="100"/>
  <c r="AC94" i="100"/>
  <c r="AG115" i="100"/>
  <c r="AI113" i="100"/>
  <c r="AE29" i="100"/>
  <c r="AM29" i="100"/>
  <c r="AC31" i="100"/>
  <c r="AK31" i="100"/>
  <c r="AD32" i="100"/>
  <c r="Y35" i="100"/>
  <c r="AG35" i="100"/>
  <c r="AO35" i="100"/>
  <c r="AJ37" i="100"/>
  <c r="AH38" i="100"/>
  <c r="AC39" i="100"/>
  <c r="AK39" i="100"/>
  <c r="AA41" i="100"/>
  <c r="AI41" i="100"/>
  <c r="AD42" i="100"/>
  <c r="Y45" i="100"/>
  <c r="AG45" i="100"/>
  <c r="AO45" i="100"/>
  <c r="AE49" i="100"/>
  <c r="AM49" i="100"/>
  <c r="AL49" i="100"/>
  <c r="AE50" i="100"/>
  <c r="AM50" i="100"/>
  <c r="AE51" i="100"/>
  <c r="AM51" i="100"/>
  <c r="Y53" i="100"/>
  <c r="AG53" i="100"/>
  <c r="AO53" i="100"/>
  <c r="Z54" i="100"/>
  <c r="AB54" i="100"/>
  <c r="AA55" i="100"/>
  <c r="AI55" i="100"/>
  <c r="AJ56" i="100"/>
  <c r="AE57" i="100"/>
  <c r="AM57" i="100"/>
  <c r="Y58" i="100"/>
  <c r="AG58" i="100"/>
  <c r="AO58" i="100"/>
  <c r="AJ59" i="100"/>
  <c r="AB61" i="100"/>
  <c r="AJ61" i="100"/>
  <c r="AC65" i="100"/>
  <c r="AK65" i="100"/>
  <c r="AF68" i="100"/>
  <c r="AF67" i="100"/>
  <c r="AN70" i="100"/>
  <c r="AM77" i="100"/>
  <c r="AF80" i="100"/>
  <c r="AG95" i="100"/>
  <c r="AK108" i="100"/>
  <c r="AN28" i="100"/>
  <c r="AE30" i="100"/>
  <c r="AM30" i="100"/>
  <c r="AF32" i="100"/>
  <c r="AA34" i="100"/>
  <c r="AI34" i="100"/>
  <c r="AB34" i="100"/>
  <c r="Y36" i="100"/>
  <c r="AG36" i="100"/>
  <c r="AO36" i="100"/>
  <c r="AE38" i="100"/>
  <c r="AM38" i="100"/>
  <c r="AC40" i="100"/>
  <c r="AK40" i="100"/>
  <c r="AF40" i="100"/>
  <c r="AA44" i="100"/>
  <c r="AI44" i="100"/>
  <c r="AB44" i="100"/>
  <c r="Y46" i="100"/>
  <c r="AG46" i="100"/>
  <c r="AO46" i="100"/>
  <c r="Y48" i="100"/>
  <c r="AG48" i="100"/>
  <c r="AO48" i="100"/>
  <c r="AF49" i="100"/>
  <c r="Z56" i="100"/>
  <c r="AH56" i="100"/>
  <c r="Z52" i="100"/>
  <c r="AD55" i="100"/>
  <c r="AF61" i="100"/>
  <c r="AF58" i="100"/>
  <c r="AF57" i="100"/>
  <c r="AN61" i="100"/>
  <c r="AN57" i="100"/>
  <c r="AH58" i="100"/>
  <c r="Y60" i="100"/>
  <c r="AG60" i="100"/>
  <c r="AO60" i="100"/>
  <c r="AF62" i="100"/>
  <c r="AD62" i="100"/>
  <c r="AD65" i="100"/>
  <c r="AL65" i="100"/>
  <c r="AB69" i="100"/>
  <c r="AJ69" i="100"/>
  <c r="AN84" i="100"/>
  <c r="AN82" i="100"/>
  <c r="AF92" i="100"/>
  <c r="AM92" i="100"/>
  <c r="AI27" i="100"/>
  <c r="Y29" i="100"/>
  <c r="AG29" i="100"/>
  <c r="AO29" i="100"/>
  <c r="AE31" i="100"/>
  <c r="AM31" i="100"/>
  <c r="AC33" i="100"/>
  <c r="AK33" i="100"/>
  <c r="AA35" i="100"/>
  <c r="AI35" i="100"/>
  <c r="Y37" i="100"/>
  <c r="AG37" i="100"/>
  <c r="AO37" i="100"/>
  <c r="AN37" i="100"/>
  <c r="AL38" i="100"/>
  <c r="AE39" i="100"/>
  <c r="AM39" i="100"/>
  <c r="AJ39" i="100"/>
  <c r="AC41" i="100"/>
  <c r="AK41" i="100"/>
  <c r="AD46" i="100"/>
  <c r="AL46" i="100"/>
  <c r="AC43" i="100"/>
  <c r="AK43" i="100"/>
  <c r="AA45" i="100"/>
  <c r="AI45" i="100"/>
  <c r="AA47" i="100"/>
  <c r="AI47" i="100"/>
  <c r="AB47" i="100"/>
  <c r="Y49" i="100"/>
  <c r="AG49" i="100"/>
  <c r="AO49" i="100"/>
  <c r="Y50" i="100"/>
  <c r="AG50" i="100"/>
  <c r="AO50" i="100"/>
  <c r="Y51" i="100"/>
  <c r="AG51" i="100"/>
  <c r="AO51" i="100"/>
  <c r="AA52" i="100"/>
  <c r="AI52" i="100"/>
  <c r="AB52" i="100"/>
  <c r="AJ54" i="100"/>
  <c r="AC55" i="100"/>
  <c r="AK55" i="100"/>
  <c r="AA58" i="100"/>
  <c r="AI58" i="100"/>
  <c r="AB58" i="100"/>
  <c r="Z60" i="100"/>
  <c r="AH60" i="100"/>
  <c r="AL62" i="100"/>
  <c r="AE63" i="100"/>
  <c r="AM63" i="100"/>
  <c r="AH64" i="100"/>
  <c r="AE67" i="100"/>
  <c r="AM67" i="100"/>
  <c r="AE71" i="100"/>
  <c r="AM71" i="100"/>
  <c r="AE77" i="100"/>
  <c r="AL79" i="100"/>
  <c r="AM88" i="100"/>
  <c r="AI89" i="100"/>
  <c r="AL92" i="100"/>
  <c r="AC96" i="100"/>
  <c r="Y30" i="100"/>
  <c r="AG30" i="100"/>
  <c r="AO30" i="100"/>
  <c r="AE32" i="100"/>
  <c r="AM32" i="100"/>
  <c r="AC34" i="100"/>
  <c r="AK34" i="100"/>
  <c r="AA36" i="100"/>
  <c r="AI36" i="100"/>
  <c r="Y38" i="100"/>
  <c r="AG38" i="100"/>
  <c r="AO38" i="100"/>
  <c r="AN38" i="100"/>
  <c r="AE40" i="100"/>
  <c r="AM40" i="100"/>
  <c r="AJ40" i="100"/>
  <c r="AE42" i="100"/>
  <c r="AM42" i="100"/>
  <c r="AC44" i="100"/>
  <c r="AK44" i="100"/>
  <c r="AD45" i="100"/>
  <c r="AA46" i="100"/>
  <c r="AI46" i="100"/>
  <c r="AB48" i="100"/>
  <c r="AE56" i="100"/>
  <c r="AM56" i="100"/>
  <c r="AH57" i="100"/>
  <c r="AE61" i="100"/>
  <c r="AM61" i="100"/>
  <c r="AN65" i="100"/>
  <c r="AJ77" i="100"/>
  <c r="AA80" i="100"/>
  <c r="AM81" i="100"/>
  <c r="AH100" i="100"/>
  <c r="AE103" i="100"/>
  <c r="AC49" i="100"/>
  <c r="AK49" i="100"/>
  <c r="AA51" i="100"/>
  <c r="AI51" i="100"/>
  <c r="AA53" i="100"/>
  <c r="AI53" i="100"/>
  <c r="Y55" i="100"/>
  <c r="AG55" i="100"/>
  <c r="AO55" i="100"/>
  <c r="Y57" i="100"/>
  <c r="AG57" i="100"/>
  <c r="AO57" i="100"/>
  <c r="AE59" i="100"/>
  <c r="AM59" i="100"/>
  <c r="AC61" i="100"/>
  <c r="AK61" i="100"/>
  <c r="AD66" i="100"/>
  <c r="AL66" i="100"/>
  <c r="AC63" i="100"/>
  <c r="AK63" i="100"/>
  <c r="AA65" i="100"/>
  <c r="AI65" i="100"/>
  <c r="AA66" i="100"/>
  <c r="AI66" i="100"/>
  <c r="AC68" i="100"/>
  <c r="AK68" i="100"/>
  <c r="AC69" i="100"/>
  <c r="AK69" i="100"/>
  <c r="AC71" i="100"/>
  <c r="AK71" i="100"/>
  <c r="AJ78" i="100"/>
  <c r="AF77" i="100"/>
  <c r="AJ83" i="100"/>
  <c r="AE84" i="100"/>
  <c r="AK84" i="100"/>
  <c r="Y90" i="100"/>
  <c r="AF87" i="100"/>
  <c r="AA87" i="100"/>
  <c r="AN89" i="100"/>
  <c r="AN93" i="100"/>
  <c r="AM97" i="100"/>
  <c r="AM101" i="100"/>
  <c r="AH98" i="100"/>
  <c r="AM100" i="100"/>
  <c r="AD103" i="100"/>
  <c r="AI106" i="100"/>
  <c r="AO105" i="100"/>
  <c r="AJ108" i="100"/>
  <c r="AE110" i="100"/>
  <c r="AE112" i="100"/>
  <c r="AC114" i="100"/>
  <c r="Y115" i="100"/>
  <c r="AA116" i="100"/>
  <c r="AG116" i="100"/>
  <c r="AM119" i="100"/>
  <c r="AM121" i="100"/>
  <c r="AI133" i="100"/>
  <c r="AE60" i="100"/>
  <c r="AM60" i="100"/>
  <c r="AE62" i="100"/>
  <c r="AM62" i="100"/>
  <c r="AC64" i="100"/>
  <c r="AK64" i="100"/>
  <c r="AK78" i="100"/>
  <c r="AG79" i="100"/>
  <c r="AH85" i="100"/>
  <c r="AL82" i="100"/>
  <c r="Y84" i="100"/>
  <c r="AL84" i="100"/>
  <c r="AL87" i="100"/>
  <c r="AG88" i="100"/>
  <c r="AB89" i="100"/>
  <c r="AD90" i="100"/>
  <c r="AF91" i="100"/>
  <c r="AO92" i="100"/>
  <c r="AI96" i="100"/>
  <c r="AA99" i="100"/>
  <c r="AN97" i="100"/>
  <c r="AI98" i="100"/>
  <c r="AO98" i="100"/>
  <c r="AA100" i="100"/>
  <c r="AD102" i="100"/>
  <c r="AK102" i="100"/>
  <c r="Z104" i="100"/>
  <c r="AI103" i="100"/>
  <c r="AH104" i="100"/>
  <c r="AH106" i="100"/>
  <c r="Z113" i="100"/>
  <c r="AF115" i="100"/>
  <c r="AB113" i="100"/>
  <c r="AJ114" i="100"/>
  <c r="AL115" i="100"/>
  <c r="AH116" i="100"/>
  <c r="AM117" i="100"/>
  <c r="AA119" i="100"/>
  <c r="AG120" i="100"/>
  <c r="AG122" i="100"/>
  <c r="AC124" i="100"/>
  <c r="AF70" i="100"/>
  <c r="AF71" i="100"/>
  <c r="Y78" i="100"/>
  <c r="AK77" i="100"/>
  <c r="AO78" i="100"/>
  <c r="AC79" i="100"/>
  <c r="Y81" i="100"/>
  <c r="AO81" i="100"/>
  <c r="AF83" i="100"/>
  <c r="AA84" i="100"/>
  <c r="AG86" i="100"/>
  <c r="AB88" i="100"/>
  <c r="AO88" i="100"/>
  <c r="AJ89" i="100"/>
  <c r="AL90" i="100"/>
  <c r="AB93" i="100"/>
  <c r="AF93" i="100"/>
  <c r="Z94" i="100"/>
  <c r="AM94" i="100"/>
  <c r="AF96" i="100"/>
  <c r="AD98" i="100"/>
  <c r="AL102" i="100"/>
  <c r="Z106" i="100"/>
  <c r="AC108" i="100"/>
  <c r="AH113" i="100"/>
  <c r="AN115" i="100"/>
  <c r="AJ113" i="100"/>
  <c r="Y114" i="100"/>
  <c r="AC116" i="100"/>
  <c r="AI117" i="100"/>
  <c r="AA121" i="100"/>
  <c r="AC57" i="100"/>
  <c r="AK57" i="100"/>
  <c r="AD58" i="100"/>
  <c r="AA59" i="100"/>
  <c r="AI59" i="100"/>
  <c r="Y61" i="100"/>
  <c r="AG61" i="100"/>
  <c r="AO61" i="100"/>
  <c r="Y63" i="100"/>
  <c r="AG63" i="100"/>
  <c r="AO63" i="100"/>
  <c r="AE65" i="100"/>
  <c r="AM65" i="100"/>
  <c r="AE66" i="100"/>
  <c r="Y68" i="100"/>
  <c r="AG68" i="100"/>
  <c r="AO68" i="100"/>
  <c r="Y69" i="100"/>
  <c r="AG69" i="100"/>
  <c r="AO69" i="100"/>
  <c r="Y70" i="100"/>
  <c r="AG70" i="100"/>
  <c r="AO70" i="100"/>
  <c r="Y71" i="100"/>
  <c r="AG71" i="100"/>
  <c r="AO71" i="100"/>
  <c r="AC77" i="100"/>
  <c r="AD79" i="100"/>
  <c r="AI79" i="100"/>
  <c r="AN77" i="100"/>
  <c r="AB80" i="100"/>
  <c r="AE81" i="100"/>
  <c r="AG83" i="100"/>
  <c r="AM83" i="100"/>
  <c r="AH86" i="100"/>
  <c r="AH88" i="100"/>
  <c r="AO91" i="100"/>
  <c r="AC88" i="100"/>
  <c r="AA94" i="100"/>
  <c r="AN94" i="100"/>
  <c r="AO95" i="100"/>
  <c r="AE98" i="100"/>
  <c r="AE99" i="100"/>
  <c r="Y105" i="100"/>
  <c r="AL105" i="100"/>
  <c r="AJ109" i="100"/>
  <c r="AJ107" i="100"/>
  <c r="AA110" i="100"/>
  <c r="AB112" i="100"/>
  <c r="AD113" i="100"/>
  <c r="AK113" i="100"/>
  <c r="Z114" i="100"/>
  <c r="AF114" i="100"/>
  <c r="AM114" i="100"/>
  <c r="AB115" i="100"/>
  <c r="AO115" i="100"/>
  <c r="AN118" i="100"/>
  <c r="AI119" i="100"/>
  <c r="AE178" i="100"/>
  <c r="AE179" i="100"/>
  <c r="AM183" i="100"/>
  <c r="AM185" i="100"/>
  <c r="AE54" i="100"/>
  <c r="AM54" i="100"/>
  <c r="AC56" i="100"/>
  <c r="AK56" i="100"/>
  <c r="AC58" i="100"/>
  <c r="AK58" i="100"/>
  <c r="AA60" i="100"/>
  <c r="AI60" i="100"/>
  <c r="AA62" i="100"/>
  <c r="AI62" i="100"/>
  <c r="Y64" i="100"/>
  <c r="AG64" i="100"/>
  <c r="AO64" i="100"/>
  <c r="AN66" i="100"/>
  <c r="AH69" i="100"/>
  <c r="Z80" i="100"/>
  <c r="AD77" i="100"/>
  <c r="AH80" i="100"/>
  <c r="AL80" i="100"/>
  <c r="Y79" i="100"/>
  <c r="AO79" i="100"/>
  <c r="AA83" i="100"/>
  <c r="AN83" i="100"/>
  <c r="AI84" i="100"/>
  <c r="AO84" i="100"/>
  <c r="AK85" i="100"/>
  <c r="AI87" i="100"/>
  <c r="Y93" i="100"/>
  <c r="AO93" i="100"/>
  <c r="AB94" i="100"/>
  <c r="Y98" i="100"/>
  <c r="AL98" i="100"/>
  <c r="AC103" i="100"/>
  <c r="AK104" i="100"/>
  <c r="Z105" i="100"/>
  <c r="AM103" i="100"/>
  <c r="AM109" i="100"/>
  <c r="AA111" i="100"/>
  <c r="AC112" i="100"/>
  <c r="AE114" i="100"/>
  <c r="AA114" i="100"/>
  <c r="AC115" i="100"/>
  <c r="AE116" i="100"/>
  <c r="AK116" i="100"/>
  <c r="Z117" i="100"/>
  <c r="Y118" i="100"/>
  <c r="AD118" i="100"/>
  <c r="AJ119" i="100"/>
  <c r="AC59" i="100"/>
  <c r="AK59" i="100"/>
  <c r="AA61" i="100"/>
  <c r="AI61" i="100"/>
  <c r="AA63" i="100"/>
  <c r="AI63" i="100"/>
  <c r="Y65" i="100"/>
  <c r="AG65" i="100"/>
  <c r="AO65" i="100"/>
  <c r="Y66" i="100"/>
  <c r="AG66" i="100"/>
  <c r="AO66" i="100"/>
  <c r="AA68" i="100"/>
  <c r="AI68" i="100"/>
  <c r="AA69" i="100"/>
  <c r="AI69" i="100"/>
  <c r="AA70" i="100"/>
  <c r="AI70" i="100"/>
  <c r="AA71" i="100"/>
  <c r="AI71" i="100"/>
  <c r="Z79" i="100"/>
  <c r="AE79" i="100"/>
  <c r="AJ79" i="100"/>
  <c r="AA81" i="100"/>
  <c r="AB83" i="100"/>
  <c r="AO83" i="100"/>
  <c r="AC84" i="100"/>
  <c r="AA86" i="100"/>
  <c r="AE88" i="100"/>
  <c r="AK88" i="100"/>
  <c r="AJ91" i="100"/>
  <c r="AI94" i="100"/>
  <c r="Z98" i="100"/>
  <c r="AF98" i="100"/>
  <c r="AM98" i="100"/>
  <c r="AE100" i="100"/>
  <c r="AL103" i="100"/>
  <c r="Y104" i="100"/>
  <c r="AL104" i="100"/>
  <c r="AA105" i="100"/>
  <c r="AG105" i="100"/>
  <c r="AC110" i="100"/>
  <c r="AD116" i="100"/>
  <c r="AJ112" i="100"/>
  <c r="AF113" i="100"/>
  <c r="AH114" i="100"/>
  <c r="AN114" i="100"/>
  <c r="AJ115" i="100"/>
  <c r="Y116" i="100"/>
  <c r="Z118" i="100"/>
  <c r="AJ121" i="100"/>
  <c r="AJ118" i="100"/>
  <c r="AE118" i="100"/>
  <c r="AF150" i="100"/>
  <c r="AF149" i="100"/>
  <c r="AG81" i="100"/>
  <c r="Y86" i="100"/>
  <c r="AK83" i="100"/>
  <c r="AO82" i="100"/>
  <c r="AI83" i="100"/>
  <c r="AD84" i="100"/>
  <c r="AF85" i="100"/>
  <c r="AK89" i="100"/>
  <c r="Y88" i="100"/>
  <c r="AM87" i="100"/>
  <c r="AJ94" i="100"/>
  <c r="AG98" i="100"/>
  <c r="AH105" i="100"/>
  <c r="AE109" i="100"/>
  <c r="AO111" i="100"/>
  <c r="AK112" i="100"/>
  <c r="AM115" i="100"/>
  <c r="AM113" i="100"/>
  <c r="AB114" i="100"/>
  <c r="AI114" i="100"/>
  <c r="AO114" i="100"/>
  <c r="AK115" i="100"/>
  <c r="Z116" i="100"/>
  <c r="AM116" i="100"/>
  <c r="AA117" i="100"/>
  <c r="AL120" i="100"/>
  <c r="AK124" i="100"/>
  <c r="AK126" i="100"/>
  <c r="AG140" i="100"/>
  <c r="Y110" i="100"/>
  <c r="AF110" i="100"/>
  <c r="AN111" i="100"/>
  <c r="AO112" i="100"/>
  <c r="AG117" i="100"/>
  <c r="AH118" i="100"/>
  <c r="AB119" i="100"/>
  <c r="AI121" i="100"/>
  <c r="AO117" i="100"/>
  <c r="AB124" i="100"/>
  <c r="AJ124" i="100"/>
  <c r="AC126" i="100"/>
  <c r="AI126" i="100"/>
  <c r="AE126" i="100"/>
  <c r="AI132" i="100"/>
  <c r="AL134" i="100"/>
  <c r="AA135" i="100"/>
  <c r="Y137" i="100"/>
  <c r="AF140" i="100"/>
  <c r="AF137" i="100"/>
  <c r="AF138" i="100"/>
  <c r="AL137" i="100"/>
  <c r="AL139" i="100"/>
  <c r="Z139" i="100"/>
  <c r="AK139" i="100"/>
  <c r="AG119" i="100"/>
  <c r="AO120" i="100"/>
  <c r="AC119" i="100"/>
  <c r="AA124" i="100"/>
  <c r="AI125" i="100"/>
  <c r="AM123" i="100"/>
  <c r="AH125" i="100"/>
  <c r="AJ126" i="100"/>
  <c r="AC133" i="100"/>
  <c r="Z134" i="100"/>
  <c r="AM134" i="100"/>
  <c r="AN135" i="100"/>
  <c r="Z141" i="100"/>
  <c r="AM141" i="100"/>
  <c r="AG138" i="100"/>
  <c r="AF141" i="100"/>
  <c r="AL141" i="100"/>
  <c r="Y158" i="100"/>
  <c r="AJ103" i="100"/>
  <c r="Y109" i="100"/>
  <c r="AG107" i="100"/>
  <c r="AK111" i="100"/>
  <c r="AO107" i="100"/>
  <c r="AA108" i="100"/>
  <c r="AE108" i="100"/>
  <c r="AI108" i="100"/>
  <c r="AM108" i="100"/>
  <c r="Y120" i="100"/>
  <c r="AD120" i="100"/>
  <c r="AH120" i="100"/>
  <c r="AK121" i="100"/>
  <c r="Z122" i="100"/>
  <c r="AD126" i="100"/>
  <c r="AH124" i="100"/>
  <c r="AL126" i="100"/>
  <c r="AD122" i="100"/>
  <c r="AB123" i="100"/>
  <c r="AF125" i="100"/>
  <c r="AJ123" i="100"/>
  <c r="AN125" i="100"/>
  <c r="AA125" i="100"/>
  <c r="Y126" i="100"/>
  <c r="AE132" i="100"/>
  <c r="AK133" i="100"/>
  <c r="AH134" i="100"/>
  <c r="AO134" i="100"/>
  <c r="AH137" i="100"/>
  <c r="AC138" i="100"/>
  <c r="AA141" i="100"/>
  <c r="AN141" i="100"/>
  <c r="Y148" i="100"/>
  <c r="Z153" i="100"/>
  <c r="AM159" i="100"/>
  <c r="Y164" i="100"/>
  <c r="AM66" i="100"/>
  <c r="AE68" i="100"/>
  <c r="AM68" i="100"/>
  <c r="AC70" i="100"/>
  <c r="AK70" i="100"/>
  <c r="AJ110" i="100"/>
  <c r="Y121" i="100"/>
  <c r="AL121" i="100"/>
  <c r="AF126" i="100"/>
  <c r="Y132" i="100"/>
  <c r="AI134" i="100"/>
  <c r="AD135" i="100"/>
  <c r="AJ134" i="100"/>
  <c r="AJ135" i="100"/>
  <c r="AI136" i="100"/>
  <c r="AI139" i="100"/>
  <c r="AD140" i="100"/>
  <c r="AC139" i="100"/>
  <c r="AH139" i="100"/>
  <c r="AC162" i="100"/>
  <c r="AL208" i="100"/>
  <c r="AL209" i="100"/>
  <c r="AK35" i="111"/>
  <c r="AB35" i="111"/>
  <c r="AN101" i="100"/>
  <c r="Y103" i="100"/>
  <c r="AC105" i="100"/>
  <c r="AG104" i="100"/>
  <c r="AK103" i="100"/>
  <c r="AO103" i="100"/>
  <c r="AD107" i="100"/>
  <c r="AH107" i="100"/>
  <c r="AL109" i="100"/>
  <c r="AB108" i="100"/>
  <c r="AO109" i="100"/>
  <c r="AK110" i="100"/>
  <c r="AA120" i="100"/>
  <c r="AE120" i="100"/>
  <c r="AI120" i="100"/>
  <c r="AM120" i="100"/>
  <c r="AF121" i="100"/>
  <c r="AA122" i="100"/>
  <c r="AI124" i="100"/>
  <c r="Y123" i="100"/>
  <c r="AC123" i="100"/>
  <c r="AG125" i="100"/>
  <c r="AK123" i="100"/>
  <c r="AO123" i="100"/>
  <c r="AJ125" i="100"/>
  <c r="AG126" i="100"/>
  <c r="AM126" i="100"/>
  <c r="AE135" i="100"/>
  <c r="AF151" i="100"/>
  <c r="AK107" i="100"/>
  <c r="AL110" i="100"/>
  <c r="AG121" i="100"/>
  <c r="AA126" i="100"/>
  <c r="AN126" i="100"/>
  <c r="AA132" i="100"/>
  <c r="AG132" i="100"/>
  <c r="AD134" i="100"/>
  <c r="AL135" i="100"/>
  <c r="Y139" i="100"/>
  <c r="AD139" i="100"/>
  <c r="AN140" i="100"/>
  <c r="Y106" i="100"/>
  <c r="AO106" i="100"/>
  <c r="AA107" i="100"/>
  <c r="AE107" i="100"/>
  <c r="AI107" i="100"/>
  <c r="AM107" i="100"/>
  <c r="AG108" i="100"/>
  <c r="AO108" i="100"/>
  <c r="AG109" i="100"/>
  <c r="AM110" i="100"/>
  <c r="AO119" i="100"/>
  <c r="AN121" i="100"/>
  <c r="Z123" i="100"/>
  <c r="AH123" i="100"/>
  <c r="AL123" i="100"/>
  <c r="Y125" i="100"/>
  <c r="AC125" i="100"/>
  <c r="AK125" i="100"/>
  <c r="AO125" i="100"/>
  <c r="AO126" i="100"/>
  <c r="AN132" i="100"/>
  <c r="AF135" i="100"/>
  <c r="AM135" i="100"/>
  <c r="AA136" i="100"/>
  <c r="Z138" i="100"/>
  <c r="AK138" i="100"/>
  <c r="AE157" i="100"/>
  <c r="AE158" i="100"/>
  <c r="AM157" i="100"/>
  <c r="AM158" i="100"/>
  <c r="AO138" i="100"/>
  <c r="AG147" i="100"/>
  <c r="AO149" i="100"/>
  <c r="AD148" i="100"/>
  <c r="AL149" i="100"/>
  <c r="AA151" i="100"/>
  <c r="AI151" i="100"/>
  <c r="AB153" i="100"/>
  <c r="AJ154" i="100"/>
  <c r="AN153" i="100"/>
  <c r="AF154" i="100"/>
  <c r="Y162" i="100"/>
  <c r="AG166" i="100"/>
  <c r="AO165" i="100"/>
  <c r="AC164" i="100"/>
  <c r="AK163" i="100"/>
  <c r="AF165" i="100"/>
  <c r="AN165" i="100"/>
  <c r="AE166" i="100"/>
  <c r="AE168" i="100"/>
  <c r="AM168" i="100"/>
  <c r="Z173" i="100"/>
  <c r="AH173" i="100"/>
  <c r="Z176" i="100"/>
  <c r="AH176" i="100"/>
  <c r="AL180" i="100"/>
  <c r="AC183" i="100"/>
  <c r="Z184" i="100"/>
  <c r="AO188" i="100"/>
  <c r="AL193" i="100"/>
  <c r="AH209" i="100"/>
  <c r="AC17" i="111"/>
  <c r="AK17" i="111"/>
  <c r="AI32" i="111"/>
  <c r="X50" i="111"/>
  <c r="AB60" i="111"/>
  <c r="W62" i="111"/>
  <c r="AA149" i="100"/>
  <c r="AB151" i="100"/>
  <c r="AC153" i="100"/>
  <c r="AK153" i="100"/>
  <c r="AD155" i="100"/>
  <c r="AL155" i="100"/>
  <c r="Z156" i="100"/>
  <c r="AH155" i="100"/>
  <c r="Z158" i="100"/>
  <c r="AH158" i="100"/>
  <c r="AC161" i="100"/>
  <c r="AK161" i="100"/>
  <c r="AD165" i="100"/>
  <c r="AL162" i="100"/>
  <c r="AB166" i="100"/>
  <c r="AJ165" i="100"/>
  <c r="Y165" i="100"/>
  <c r="AG165" i="100"/>
  <c r="AF166" i="100"/>
  <c r="AN166" i="100"/>
  <c r="AD169" i="100"/>
  <c r="AC175" i="100"/>
  <c r="AK175" i="100"/>
  <c r="AD178" i="100"/>
  <c r="Z179" i="100"/>
  <c r="AH179" i="100"/>
  <c r="Z182" i="100"/>
  <c r="AD183" i="100"/>
  <c r="AA184" i="100"/>
  <c r="AI184" i="100"/>
  <c r="AG186" i="100"/>
  <c r="AG185" i="100"/>
  <c r="AB190" i="100"/>
  <c r="AH191" i="100"/>
  <c r="Y188" i="100"/>
  <c r="AA193" i="100"/>
  <c r="AI193" i="100"/>
  <c r="AG194" i="100"/>
  <c r="AO194" i="100"/>
  <c r="F204" i="100"/>
  <c r="Y202" i="100"/>
  <c r="F203" i="100"/>
  <c r="Y206" i="100"/>
  <c r="AF208" i="100"/>
  <c r="AN208" i="100"/>
  <c r="X60" i="111"/>
  <c r="AF60" i="111"/>
  <c r="AE133" i="100"/>
  <c r="Y140" i="100"/>
  <c r="AB147" i="100"/>
  <c r="AJ150" i="100"/>
  <c r="AC149" i="100"/>
  <c r="AK149" i="100"/>
  <c r="Z150" i="100"/>
  <c r="AH150" i="100"/>
  <c r="AD151" i="100"/>
  <c r="AF155" i="100"/>
  <c r="AJ156" i="100"/>
  <c r="AF161" i="100"/>
  <c r="AN161" i="100"/>
  <c r="AD159" i="100"/>
  <c r="AL159" i="100"/>
  <c r="AF164" i="100"/>
  <c r="AN162" i="100"/>
  <c r="AD164" i="100"/>
  <c r="AL164" i="100"/>
  <c r="AJ170" i="100"/>
  <c r="AH171" i="100"/>
  <c r="AC176" i="100"/>
  <c r="AA177" i="100"/>
  <c r="AC184" i="100"/>
  <c r="AB49" i="111"/>
  <c r="AJ49" i="111"/>
  <c r="AO137" i="100"/>
  <c r="Z140" i="100"/>
  <c r="AH140" i="100"/>
  <c r="AC147" i="100"/>
  <c r="AK150" i="100"/>
  <c r="AE151" i="100"/>
  <c r="AC154" i="100"/>
  <c r="AK152" i="100"/>
  <c r="AC156" i="100"/>
  <c r="AE159" i="100"/>
  <c r="Y167" i="100"/>
  <c r="AG167" i="100"/>
  <c r="AO167" i="100"/>
  <c r="AF169" i="100"/>
  <c r="AN169" i="100"/>
  <c r="AF172" i="100"/>
  <c r="AN175" i="100"/>
  <c r="AC179" i="100"/>
  <c r="AL184" i="100"/>
  <c r="AB185" i="100"/>
  <c r="AM190" i="100"/>
  <c r="AM189" i="100"/>
  <c r="K198" i="100"/>
  <c r="AF198" i="100" s="1"/>
  <c r="H203" i="100"/>
  <c r="N204" i="100"/>
  <c r="AI205" i="100" s="1"/>
  <c r="AG9" i="111"/>
  <c r="AE9" i="111"/>
  <c r="W32" i="111"/>
  <c r="AE32" i="111"/>
  <c r="AJ65" i="111"/>
  <c r="Y141" i="100"/>
  <c r="AG141" i="100"/>
  <c r="AK141" i="100"/>
  <c r="AO141" i="100"/>
  <c r="AI149" i="100"/>
  <c r="AD156" i="100"/>
  <c r="AD158" i="100"/>
  <c r="AL157" i="100"/>
  <c r="Y161" i="100"/>
  <c r="AG160" i="100"/>
  <c r="AO161" i="100"/>
  <c r="Y169" i="100"/>
  <c r="AG169" i="100"/>
  <c r="AO169" i="100"/>
  <c r="AE176" i="100"/>
  <c r="Z178" i="100"/>
  <c r="AH178" i="100"/>
  <c r="AH182" i="100"/>
  <c r="Z186" i="100"/>
  <c r="AC191" i="100"/>
  <c r="AK191" i="100"/>
  <c r="Z192" i="100"/>
  <c r="AH195" i="100"/>
  <c r="S198" i="100"/>
  <c r="AN198" i="100" s="1"/>
  <c r="AD205" i="100"/>
  <c r="AO136" i="100"/>
  <c r="AN138" i="100"/>
  <c r="AA139" i="100"/>
  <c r="AM139" i="100"/>
  <c r="AB139" i="100"/>
  <c r="AJ138" i="100"/>
  <c r="AM147" i="100"/>
  <c r="AB148" i="100"/>
  <c r="AJ147" i="100"/>
  <c r="AJ148" i="100"/>
  <c r="AF148" i="100"/>
  <c r="AN149" i="100"/>
  <c r="AE152" i="100"/>
  <c r="AM152" i="100"/>
  <c r="AH153" i="100"/>
  <c r="AD154" i="100"/>
  <c r="AL154" i="100"/>
  <c r="AE163" i="100"/>
  <c r="AM162" i="100"/>
  <c r="AD167" i="100"/>
  <c r="AH169" i="100"/>
  <c r="AA172" i="100"/>
  <c r="AC174" i="100"/>
  <c r="AL177" i="100"/>
  <c r="AA178" i="100"/>
  <c r="AI178" i="100"/>
  <c r="Y187" i="100"/>
  <c r="AG187" i="100"/>
  <c r="AO187" i="100"/>
  <c r="AO190" i="100"/>
  <c r="AL192" i="100"/>
  <c r="AF193" i="100"/>
  <c r="AL194" i="100"/>
  <c r="AB195" i="100"/>
  <c r="AJ195" i="100"/>
  <c r="AH196" i="100"/>
  <c r="AD202" i="100"/>
  <c r="AL202" i="100"/>
  <c r="AL203" i="100"/>
  <c r="AB207" i="100"/>
  <c r="Z207" i="100"/>
  <c r="AH207" i="100"/>
  <c r="AH208" i="100"/>
  <c r="X9" i="111"/>
  <c r="AF9" i="111"/>
  <c r="AA18" i="111"/>
  <c r="Y32" i="111"/>
  <c r="AC50" i="111"/>
  <c r="AC60" i="111"/>
  <c r="AK60" i="111"/>
  <c r="AG133" i="100"/>
  <c r="AC140" i="100"/>
  <c r="AF147" i="100"/>
  <c r="AN148" i="100"/>
  <c r="AK148" i="100"/>
  <c r="AG149" i="100"/>
  <c r="AD150" i="100"/>
  <c r="AA153" i="100"/>
  <c r="AI153" i="100"/>
  <c r="AE154" i="100"/>
  <c r="AB156" i="100"/>
  <c r="AJ155" i="100"/>
  <c r="AB160" i="100"/>
  <c r="AJ158" i="100"/>
  <c r="AF158" i="100"/>
  <c r="AD160" i="100"/>
  <c r="AL160" i="100"/>
  <c r="AA161" i="100"/>
  <c r="AI159" i="100"/>
  <c r="Z164" i="100"/>
  <c r="AH166" i="100"/>
  <c r="AM165" i="100"/>
  <c r="AB170" i="100"/>
  <c r="AJ167" i="100"/>
  <c r="AN170" i="100"/>
  <c r="AB172" i="100"/>
  <c r="AJ176" i="100"/>
  <c r="AK180" i="100"/>
  <c r="AH181" i="100"/>
  <c r="AB183" i="100"/>
  <c r="AJ185" i="100"/>
  <c r="AE185" i="100"/>
  <c r="AM182" i="100"/>
  <c r="AJ186" i="100"/>
  <c r="AH187" i="100"/>
  <c r="AB187" i="100"/>
  <c r="Y190" i="100"/>
  <c r="AB194" i="100"/>
  <c r="AB192" i="100"/>
  <c r="AJ192" i="100"/>
  <c r="AC192" i="100"/>
  <c r="AK195" i="100"/>
  <c r="AJ196" i="100"/>
  <c r="M199" i="100"/>
  <c r="AF197" i="100"/>
  <c r="L204" i="100"/>
  <c r="L203" i="100"/>
  <c r="Y204" i="100"/>
  <c r="AI208" i="100"/>
  <c r="AF18" i="111"/>
  <c r="AA35" i="111"/>
  <c r="AI35" i="111"/>
  <c r="X49" i="111"/>
  <c r="AF49" i="111"/>
  <c r="Z50" i="111"/>
  <c r="AI50" i="111"/>
  <c r="AJ62" i="111"/>
  <c r="AN191" i="100"/>
  <c r="AK192" i="100"/>
  <c r="AO193" i="100"/>
  <c r="Y205" i="100"/>
  <c r="AO205" i="100"/>
  <c r="AC207" i="100"/>
  <c r="AA208" i="100"/>
  <c r="AC210" i="100"/>
  <c r="AA211" i="100"/>
  <c r="AA9" i="111"/>
  <c r="AI9" i="111"/>
  <c r="AB12" i="111"/>
  <c r="AB14" i="111"/>
  <c r="AJ14" i="111"/>
  <c r="AI18" i="111"/>
  <c r="AB32" i="111"/>
  <c r="AJ32" i="111"/>
  <c r="AJ35" i="111"/>
  <c r="AA42" i="111"/>
  <c r="W43" i="111"/>
  <c r="AE43" i="111"/>
  <c r="Y49" i="111"/>
  <c r="AB50" i="111"/>
  <c r="AJ50" i="111"/>
  <c r="Y62" i="111"/>
  <c r="AG62" i="111"/>
  <c r="AE65" i="111"/>
  <c r="AM166" i="100"/>
  <c r="Z170" i="100"/>
  <c r="Z169" i="100"/>
  <c r="AD170" i="100"/>
  <c r="Y174" i="100"/>
  <c r="AG174" i="100"/>
  <c r="AO174" i="100"/>
  <c r="Y181" i="100"/>
  <c r="AG177" i="100"/>
  <c r="AO177" i="100"/>
  <c r="AK179" i="100"/>
  <c r="Z177" i="100"/>
  <c r="AH180" i="100"/>
  <c r="Z180" i="100"/>
  <c r="AH183" i="100"/>
  <c r="AA183" i="100"/>
  <c r="AI185" i="100"/>
  <c r="AA185" i="100"/>
  <c r="AM186" i="100"/>
  <c r="AA187" i="100"/>
  <c r="AI187" i="100"/>
  <c r="AE194" i="100"/>
  <c r="AM194" i="100"/>
  <c r="Y196" i="100"/>
  <c r="H198" i="100"/>
  <c r="AC198" i="100" s="1"/>
  <c r="AB9" i="111"/>
  <c r="AC12" i="111"/>
  <c r="AK12" i="111"/>
  <c r="AK14" i="111"/>
  <c r="AF15" i="111"/>
  <c r="AB17" i="111"/>
  <c r="AE26" i="111"/>
  <c r="AC28" i="111"/>
  <c r="AK28" i="111"/>
  <c r="AB42" i="111"/>
  <c r="AJ42" i="111"/>
  <c r="AF43" i="111"/>
  <c r="AB45" i="111"/>
  <c r="AJ45" i="111"/>
  <c r="W48" i="111"/>
  <c r="Z49" i="111"/>
  <c r="AH49" i="111"/>
  <c r="AK50" i="111"/>
  <c r="AC52" i="111"/>
  <c r="AK52" i="111"/>
  <c r="AJ56" i="111"/>
  <c r="X65" i="111"/>
  <c r="AF65" i="111"/>
  <c r="AF67" i="111"/>
  <c r="AE67" i="111"/>
  <c r="AG168" i="100"/>
  <c r="AC169" i="100"/>
  <c r="AK169" i="100"/>
  <c r="AO170" i="100"/>
  <c r="AL176" i="100"/>
  <c r="AC180" i="100"/>
  <c r="AF181" i="100"/>
  <c r="AN177" i="100"/>
  <c r="AD186" i="100"/>
  <c r="AL186" i="100"/>
  <c r="AH184" i="100"/>
  <c r="AH186" i="100"/>
  <c r="AD187" i="100"/>
  <c r="AL187" i="100"/>
  <c r="AG190" i="100"/>
  <c r="Y192" i="100"/>
  <c r="AG192" i="100"/>
  <c r="AO192" i="100"/>
  <c r="AH194" i="100"/>
  <c r="AD193" i="100"/>
  <c r="AL195" i="100"/>
  <c r="AB196" i="100"/>
  <c r="N198" i="100"/>
  <c r="AI199" i="100" s="1"/>
  <c r="AJ209" i="100"/>
  <c r="AE207" i="100"/>
  <c r="AM211" i="100"/>
  <c r="X14" i="111"/>
  <c r="AF14" i="111"/>
  <c r="Y15" i="111"/>
  <c r="AG15" i="111"/>
  <c r="AE17" i="111"/>
  <c r="W18" i="111"/>
  <c r="AE18" i="111"/>
  <c r="AJ24" i="111"/>
  <c r="Y25" i="111"/>
  <c r="AG25" i="111"/>
  <c r="Z26" i="111"/>
  <c r="Z29" i="111"/>
  <c r="AH29" i="111"/>
  <c r="AG31" i="111"/>
  <c r="Y33" i="111"/>
  <c r="AG33" i="111"/>
  <c r="AH48" i="111"/>
  <c r="X52" i="111"/>
  <c r="AF52" i="111"/>
  <c r="AA56" i="111"/>
  <c r="AA65" i="111"/>
  <c r="AI65" i="111"/>
  <c r="AA68" i="111"/>
  <c r="AI68" i="111"/>
  <c r="AI171" i="100"/>
  <c r="AA170" i="100"/>
  <c r="AI170" i="100"/>
  <c r="AK172" i="100"/>
  <c r="Y176" i="100"/>
  <c r="AG173" i="100"/>
  <c r="AO173" i="100"/>
  <c r="AA175" i="100"/>
  <c r="AI175" i="100"/>
  <c r="AB179" i="100"/>
  <c r="AJ181" i="100"/>
  <c r="Z181" i="100"/>
  <c r="AB184" i="100"/>
  <c r="AJ184" i="100"/>
  <c r="AC188" i="100"/>
  <c r="AK188" i="100"/>
  <c r="AF188" i="100"/>
  <c r="AN187" i="100"/>
  <c r="AD190" i="100"/>
  <c r="AD191" i="100"/>
  <c r="AM193" i="100"/>
  <c r="AF195" i="100"/>
  <c r="AN195" i="100"/>
  <c r="AD196" i="100"/>
  <c r="AO201" i="100"/>
  <c r="Z203" i="100"/>
  <c r="X7" i="111"/>
  <c r="AF7" i="111"/>
  <c r="X8" i="111"/>
  <c r="AF8" i="111"/>
  <c r="X11" i="111"/>
  <c r="Z12" i="111"/>
  <c r="AH12" i="111"/>
  <c r="AB13" i="111"/>
  <c r="AJ13" i="111"/>
  <c r="Z14" i="111"/>
  <c r="AA15" i="111"/>
  <c r="AI15" i="111"/>
  <c r="AF16" i="111"/>
  <c r="AG17" i="111"/>
  <c r="Y18" i="111"/>
  <c r="AG18" i="111"/>
  <c r="X24" i="111"/>
  <c r="AF24" i="111"/>
  <c r="AJ26" i="111"/>
  <c r="Z28" i="111"/>
  <c r="AB29" i="111"/>
  <c r="Z32" i="111"/>
  <c r="AH32" i="111"/>
  <c r="AA33" i="111"/>
  <c r="AI33" i="111"/>
  <c r="AA34" i="111"/>
  <c r="AK43" i="111"/>
  <c r="AJ48" i="111"/>
  <c r="AE49" i="111"/>
  <c r="AH50" i="111"/>
  <c r="AF59" i="111"/>
  <c r="AH59" i="111"/>
  <c r="AG60" i="111"/>
  <c r="X64" i="111"/>
  <c r="AH64" i="111"/>
  <c r="AC68" i="111"/>
  <c r="AK68" i="111"/>
  <c r="W57" i="111"/>
  <c r="AE57" i="111"/>
  <c r="AC59" i="111"/>
  <c r="AK59" i="111"/>
  <c r="W60" i="111"/>
  <c r="AE60" i="111"/>
  <c r="AK65" i="111"/>
  <c r="Z67" i="111"/>
  <c r="AH67" i="111"/>
  <c r="Z68" i="111"/>
  <c r="AO198" i="100"/>
  <c r="AK200" i="100"/>
  <c r="AD210" i="100"/>
  <c r="Z9" i="111"/>
  <c r="X12" i="111"/>
  <c r="AF12" i="111"/>
  <c r="Y13" i="111"/>
  <c r="AG13" i="111"/>
  <c r="W14" i="111"/>
  <c r="AE14" i="111"/>
  <c r="Y16" i="111"/>
  <c r="AG16" i="111"/>
  <c r="AI17" i="111"/>
  <c r="AJ23" i="111"/>
  <c r="AA25" i="111"/>
  <c r="AI25" i="111"/>
  <c r="AA26" i="111"/>
  <c r="AI26" i="111"/>
  <c r="AG29" i="111"/>
  <c r="AC32" i="111"/>
  <c r="AC33" i="111"/>
  <c r="AB34" i="111"/>
  <c r="Z35" i="111"/>
  <c r="AH35" i="111"/>
  <c r="AH40" i="111"/>
  <c r="X41" i="111"/>
  <c r="AF41" i="111"/>
  <c r="AC44" i="111"/>
  <c r="AK44" i="111"/>
  <c r="Z46" i="111"/>
  <c r="AH46" i="111"/>
  <c r="AG49" i="111"/>
  <c r="Z52" i="111"/>
  <c r="AH52" i="111"/>
  <c r="AH56" i="111"/>
  <c r="AJ60" i="111"/>
  <c r="AC61" i="111"/>
  <c r="X62" i="111"/>
  <c r="AF62" i="111"/>
  <c r="Z65" i="111"/>
  <c r="AH65" i="111"/>
  <c r="W68" i="111"/>
  <c r="AC49" i="111"/>
  <c r="AK49" i="111"/>
  <c r="W50" i="111"/>
  <c r="AE50" i="111"/>
  <c r="AI56" i="111"/>
  <c r="AJ57" i="111"/>
  <c r="AA60" i="111"/>
  <c r="AI60" i="111"/>
  <c r="AC62" i="111"/>
  <c r="AK62" i="111"/>
  <c r="AC65" i="111"/>
  <c r="AC66" i="111"/>
  <c r="AK66" i="111"/>
  <c r="AG67" i="111"/>
  <c r="X68" i="111"/>
  <c r="AF68" i="111"/>
  <c r="AF76" i="108"/>
  <c r="P83" i="108"/>
  <c r="D97" i="108"/>
  <c r="P88" i="108"/>
  <c r="W83" i="108"/>
  <c r="H90" i="110"/>
  <c r="N11" i="117"/>
  <c r="T61" i="117"/>
  <c r="T51" i="117"/>
  <c r="T52" i="117"/>
  <c r="T66" i="117"/>
  <c r="L13" i="117"/>
  <c r="T42" i="117"/>
  <c r="T67" i="117"/>
  <c r="T40" i="115"/>
  <c r="F18" i="115"/>
  <c r="E24" i="115"/>
  <c r="C18" i="115"/>
  <c r="I11" i="115"/>
  <c r="M11" i="115"/>
  <c r="T65" i="115"/>
  <c r="K11" i="115"/>
  <c r="H28" i="101"/>
  <c r="H30" i="101" s="1"/>
  <c r="O97" i="101"/>
  <c r="L87" i="101"/>
  <c r="E88" i="101"/>
  <c r="P88" i="101"/>
  <c r="J89" i="101"/>
  <c r="J96" i="101" s="1"/>
  <c r="C90" i="101"/>
  <c r="C97" i="101" s="1"/>
  <c r="N90" i="101"/>
  <c r="N97" i="101" s="1"/>
  <c r="M115" i="101"/>
  <c r="M116" i="101"/>
  <c r="K117" i="101"/>
  <c r="C118" i="101"/>
  <c r="N118" i="101"/>
  <c r="K125" i="101"/>
  <c r="E21" i="101"/>
  <c r="D28" i="101"/>
  <c r="G36" i="101"/>
  <c r="G37" i="101" s="1"/>
  <c r="C87" i="101"/>
  <c r="M87" i="101"/>
  <c r="F88" i="101"/>
  <c r="R88" i="101"/>
  <c r="K89" i="101"/>
  <c r="K96" i="101" s="1"/>
  <c r="D90" i="101"/>
  <c r="D97" i="101" s="1"/>
  <c r="P90" i="101"/>
  <c r="P97" i="101" s="1"/>
  <c r="H101" i="101"/>
  <c r="R101" i="101"/>
  <c r="K102" i="101"/>
  <c r="D103" i="101"/>
  <c r="N103" i="101"/>
  <c r="E104" i="101"/>
  <c r="Q104" i="101"/>
  <c r="G108" i="101"/>
  <c r="Q108" i="101"/>
  <c r="I109" i="101"/>
  <c r="J110" i="101"/>
  <c r="AC109" i="101" s="1"/>
  <c r="L111" i="101"/>
  <c r="C115" i="101"/>
  <c r="N115" i="101"/>
  <c r="C116" i="101"/>
  <c r="N116" i="101"/>
  <c r="M117" i="101"/>
  <c r="E118" i="101"/>
  <c r="O118" i="101"/>
  <c r="L125" i="101"/>
  <c r="D87" i="101"/>
  <c r="N87" i="101"/>
  <c r="H88" i="101"/>
  <c r="S88" i="101"/>
  <c r="D95" i="101" s="1"/>
  <c r="L89" i="101"/>
  <c r="L96" i="101" s="1"/>
  <c r="F90" i="101"/>
  <c r="F97" i="101" s="1"/>
  <c r="Q90" i="101"/>
  <c r="Q97" i="101" s="1"/>
  <c r="J101" i="101"/>
  <c r="C102" i="101"/>
  <c r="V102" i="101" s="1"/>
  <c r="L102" i="101"/>
  <c r="E103" i="101"/>
  <c r="O103" i="101"/>
  <c r="G104" i="101"/>
  <c r="R104" i="101"/>
  <c r="AK104" i="101" s="1"/>
  <c r="H108" i="101"/>
  <c r="J109" i="101"/>
  <c r="K110" i="101"/>
  <c r="C111" i="101"/>
  <c r="O111" i="101"/>
  <c r="E115" i="101"/>
  <c r="O115" i="101"/>
  <c r="E116" i="101"/>
  <c r="O116" i="101"/>
  <c r="AH116" i="101" s="1"/>
  <c r="C117" i="101"/>
  <c r="N117" i="101"/>
  <c r="AG117" i="101" s="1"/>
  <c r="F118" i="101"/>
  <c r="P118" i="101"/>
  <c r="C125" i="101"/>
  <c r="M125" i="101"/>
  <c r="I28" i="101"/>
  <c r="E87" i="101"/>
  <c r="O87" i="101"/>
  <c r="J88" i="101"/>
  <c r="J95" i="101" s="1"/>
  <c r="C89" i="101"/>
  <c r="C96" i="101" s="1"/>
  <c r="M89" i="101"/>
  <c r="M96" i="101" s="1"/>
  <c r="H90" i="101"/>
  <c r="H97" i="101" s="1"/>
  <c r="R90" i="101"/>
  <c r="R97" i="101" s="1"/>
  <c r="K101" i="101"/>
  <c r="D102" i="101"/>
  <c r="M102" i="101"/>
  <c r="F103" i="101"/>
  <c r="Q103" i="101"/>
  <c r="I104" i="101"/>
  <c r="J108" i="101"/>
  <c r="K109" i="101"/>
  <c r="L110" i="101"/>
  <c r="E111" i="101"/>
  <c r="P111" i="101"/>
  <c r="F115" i="101"/>
  <c r="Q115" i="101"/>
  <c r="F116" i="101"/>
  <c r="P116" i="101"/>
  <c r="E117" i="101"/>
  <c r="O117" i="101"/>
  <c r="G118" i="101"/>
  <c r="Q118" i="101"/>
  <c r="D125" i="101"/>
  <c r="N125" i="101"/>
  <c r="O96" i="101"/>
  <c r="K108" i="101"/>
  <c r="L109" i="101"/>
  <c r="AE109" i="101" s="1"/>
  <c r="C110" i="101"/>
  <c r="M110" i="101"/>
  <c r="G111" i="101"/>
  <c r="Z111" i="101" s="1"/>
  <c r="Q111" i="101"/>
  <c r="H115" i="101"/>
  <c r="R115" i="101"/>
  <c r="G116" i="101"/>
  <c r="Q116" i="101"/>
  <c r="F117" i="101"/>
  <c r="Q117" i="101"/>
  <c r="H118" i="101"/>
  <c r="R118" i="101"/>
  <c r="E125" i="101"/>
  <c r="O125" i="101"/>
  <c r="J15" i="101"/>
  <c r="J17" i="101" s="1"/>
  <c r="G87" i="101"/>
  <c r="S87" i="101"/>
  <c r="N94" i="101" s="1"/>
  <c r="L88" i="101"/>
  <c r="L95" i="101" s="1"/>
  <c r="E89" i="101"/>
  <c r="E96" i="101" s="1"/>
  <c r="Q89" i="101"/>
  <c r="Q96" i="101" s="1"/>
  <c r="J90" i="101"/>
  <c r="J97" i="101" s="1"/>
  <c r="D101" i="101"/>
  <c r="M101" i="101"/>
  <c r="F102" i="101"/>
  <c r="O102" i="101"/>
  <c r="I103" i="101"/>
  <c r="V103" i="101"/>
  <c r="K104" i="101"/>
  <c r="L108" i="101"/>
  <c r="C109" i="101"/>
  <c r="O109" i="101"/>
  <c r="D110" i="101"/>
  <c r="O110" i="101"/>
  <c r="H111" i="101"/>
  <c r="R111" i="101"/>
  <c r="I115" i="101"/>
  <c r="H116" i="101"/>
  <c r="R116" i="101"/>
  <c r="H117" i="101"/>
  <c r="R117" i="101"/>
  <c r="I118" i="101"/>
  <c r="F125" i="101"/>
  <c r="P125" i="101"/>
  <c r="I87" i="101"/>
  <c r="C88" i="101"/>
  <c r="C95" i="101" s="1"/>
  <c r="M88" i="101"/>
  <c r="M95" i="101" s="1"/>
  <c r="G89" i="101"/>
  <c r="G96" i="101" s="1"/>
  <c r="R89" i="101"/>
  <c r="R96" i="101" s="1"/>
  <c r="K90" i="101"/>
  <c r="K97" i="101" s="1"/>
  <c r="E101" i="101"/>
  <c r="X101" i="101" s="1"/>
  <c r="N101" i="101"/>
  <c r="AG101" i="101" s="1"/>
  <c r="G102" i="101"/>
  <c r="Z102" i="101" s="1"/>
  <c r="P102" i="101"/>
  <c r="J103" i="101"/>
  <c r="AC103" i="101" s="1"/>
  <c r="L104" i="101"/>
  <c r="AE101" i="101" s="1"/>
  <c r="C108" i="101"/>
  <c r="M108" i="101"/>
  <c r="E109" i="101"/>
  <c r="P109" i="101"/>
  <c r="E110" i="101"/>
  <c r="P110" i="101"/>
  <c r="I111" i="101"/>
  <c r="J115" i="101"/>
  <c r="I116" i="101"/>
  <c r="I117" i="101"/>
  <c r="J118" i="101"/>
  <c r="D11" i="115"/>
  <c r="T56" i="115"/>
  <c r="T66" i="115"/>
  <c r="D18" i="115"/>
  <c r="T67" i="115"/>
  <c r="N9" i="115"/>
  <c r="T36" i="115"/>
  <c r="T37" i="115"/>
  <c r="T47" i="115"/>
  <c r="T58" i="115"/>
  <c r="T48" i="115"/>
  <c r="T38" i="115"/>
  <c r="T63" i="115"/>
  <c r="F21" i="101"/>
  <c r="F94" i="101"/>
  <c r="V115" i="101"/>
  <c r="AF115" i="101"/>
  <c r="V117" i="101"/>
  <c r="G122" i="101"/>
  <c r="P122" i="101"/>
  <c r="C123" i="101"/>
  <c r="L123" i="101"/>
  <c r="G124" i="101"/>
  <c r="P124" i="101"/>
  <c r="D24" i="115"/>
  <c r="L96" i="98"/>
  <c r="D96" i="98"/>
  <c r="N96" i="98"/>
  <c r="F96" i="98"/>
  <c r="H30" i="114"/>
  <c r="AF101" i="101"/>
  <c r="AK103" i="101"/>
  <c r="H122" i="101"/>
  <c r="Q122" i="101"/>
  <c r="D123" i="101"/>
  <c r="M123" i="101"/>
  <c r="H124" i="101"/>
  <c r="Q124" i="101"/>
  <c r="T45" i="115"/>
  <c r="T64" i="115"/>
  <c r="J17" i="98"/>
  <c r="J96" i="98"/>
  <c r="D14" i="82"/>
  <c r="C14" i="82" s="1"/>
  <c r="B14" i="82" s="1"/>
  <c r="D10" i="82"/>
  <c r="C10" i="82" s="1"/>
  <c r="B10" i="82" s="1"/>
  <c r="D6" i="82"/>
  <c r="C6" i="82" s="1"/>
  <c r="B6" i="82" s="1"/>
  <c r="D11" i="82"/>
  <c r="C11" i="82" s="1"/>
  <c r="B11" i="82" s="1"/>
  <c r="D8" i="82"/>
  <c r="C8" i="82" s="1"/>
  <c r="B8" i="82" s="1"/>
  <c r="D13" i="82"/>
  <c r="C13" i="82" s="1"/>
  <c r="B13" i="82" s="1"/>
  <c r="D15" i="82"/>
  <c r="C15" i="82" s="1"/>
  <c r="B15" i="82" s="1"/>
  <c r="D9" i="82"/>
  <c r="C9" i="82" s="1"/>
  <c r="B9" i="82" s="1"/>
  <c r="D12" i="82"/>
  <c r="C12" i="82" s="1"/>
  <c r="B12" i="82" s="1"/>
  <c r="D7" i="82"/>
  <c r="C7" i="82" s="1"/>
  <c r="B7" i="82" s="1"/>
  <c r="J28" i="101"/>
  <c r="K28" i="101" s="1"/>
  <c r="K30" i="101" s="1"/>
  <c r="X104" i="101"/>
  <c r="AG104" i="101"/>
  <c r="AJ108" i="101"/>
  <c r="I122" i="101"/>
  <c r="E123" i="101"/>
  <c r="N123" i="101"/>
  <c r="I124" i="101"/>
  <c r="T46" i="115"/>
  <c r="T54" i="115"/>
  <c r="T55" i="115"/>
  <c r="T43" i="117"/>
  <c r="H12" i="82"/>
  <c r="G12" i="82" s="1"/>
  <c r="F12" i="82" s="1"/>
  <c r="H9" i="82"/>
  <c r="G9" i="82" s="1"/>
  <c r="F9" i="82" s="1"/>
  <c r="H6" i="82"/>
  <c r="G6" i="82" s="1"/>
  <c r="F6" i="82" s="1"/>
  <c r="H15" i="82"/>
  <c r="G15" i="82" s="1"/>
  <c r="F15" i="82" s="1"/>
  <c r="H10" i="82"/>
  <c r="G10" i="82" s="1"/>
  <c r="F10" i="82" s="1"/>
  <c r="H7" i="82"/>
  <c r="G7" i="82" s="1"/>
  <c r="F7" i="82" s="1"/>
  <c r="H11" i="82"/>
  <c r="G11" i="82" s="1"/>
  <c r="F11" i="82" s="1"/>
  <c r="H14" i="82"/>
  <c r="G14" i="82" s="1"/>
  <c r="F14" i="82" s="1"/>
  <c r="H13" i="82"/>
  <c r="G13" i="82" s="1"/>
  <c r="F13" i="82" s="1"/>
  <c r="H8" i="82"/>
  <c r="G8" i="82" s="1"/>
  <c r="F8" i="82" s="1"/>
  <c r="E6" i="106"/>
  <c r="C28" i="101"/>
  <c r="E28" i="101" s="1"/>
  <c r="E30" i="101" s="1"/>
  <c r="K122" i="101"/>
  <c r="F123" i="101"/>
  <c r="O123" i="101"/>
  <c r="K124" i="101"/>
  <c r="G23" i="114"/>
  <c r="C122" i="101"/>
  <c r="L122" i="101"/>
  <c r="G123" i="101"/>
  <c r="Z123" i="101" s="1"/>
  <c r="P123" i="101"/>
  <c r="C124" i="101"/>
  <c r="L124" i="101"/>
  <c r="E26" i="117"/>
  <c r="S2" i="79"/>
  <c r="H29" i="82"/>
  <c r="L26" i="82"/>
  <c r="H21" i="82"/>
  <c r="L25" i="82"/>
  <c r="L24" i="82"/>
  <c r="L23" i="82"/>
  <c r="L22" i="82"/>
  <c r="L21" i="82"/>
  <c r="L20" i="82"/>
  <c r="H28" i="82"/>
  <c r="H27" i="82"/>
  <c r="H26" i="82"/>
  <c r="H25" i="82"/>
  <c r="H24" i="82"/>
  <c r="H23" i="82"/>
  <c r="H22" i="82"/>
  <c r="L27" i="82"/>
  <c r="H20" i="82"/>
  <c r="L29" i="82"/>
  <c r="L28" i="82"/>
  <c r="H87" i="101"/>
  <c r="P87" i="101"/>
  <c r="G88" i="101"/>
  <c r="G95" i="101" s="1"/>
  <c r="O88" i="101"/>
  <c r="O95" i="101" s="1"/>
  <c r="F89" i="101"/>
  <c r="F96" i="101" s="1"/>
  <c r="N89" i="101"/>
  <c r="N96" i="101" s="1"/>
  <c r="E90" i="101"/>
  <c r="E97" i="101" s="1"/>
  <c r="M90" i="101"/>
  <c r="M97" i="101" s="1"/>
  <c r="R125" i="101"/>
  <c r="J125" i="101"/>
  <c r="L118" i="101"/>
  <c r="D118" i="101"/>
  <c r="L117" i="101"/>
  <c r="D117" i="101"/>
  <c r="L116" i="101"/>
  <c r="D116" i="101"/>
  <c r="L115" i="101"/>
  <c r="D115" i="101"/>
  <c r="N111" i="101"/>
  <c r="F111" i="101"/>
  <c r="N110" i="101"/>
  <c r="F110" i="101"/>
  <c r="N109" i="101"/>
  <c r="F109" i="101"/>
  <c r="N108" i="101"/>
  <c r="F108" i="101"/>
  <c r="P104" i="101"/>
  <c r="H104" i="101"/>
  <c r="P103" i="101"/>
  <c r="AI103" i="101" s="1"/>
  <c r="H103" i="101"/>
  <c r="I101" i="101"/>
  <c r="Q101" i="101"/>
  <c r="I102" i="101"/>
  <c r="Q102" i="101"/>
  <c r="K103" i="101"/>
  <c r="F104" i="101"/>
  <c r="O104" i="101"/>
  <c r="I108" i="101"/>
  <c r="R108" i="101"/>
  <c r="D109" i="101"/>
  <c r="M109" i="101"/>
  <c r="I110" i="101"/>
  <c r="R110" i="101"/>
  <c r="D111" i="101"/>
  <c r="M111" i="101"/>
  <c r="G115" i="101"/>
  <c r="P115" i="101"/>
  <c r="K116" i="101"/>
  <c r="G117" i="101"/>
  <c r="P117" i="101"/>
  <c r="K118" i="101"/>
  <c r="D122" i="101"/>
  <c r="M122" i="101"/>
  <c r="H123" i="101"/>
  <c r="Q123" i="101"/>
  <c r="D124" i="101"/>
  <c r="H125" i="101"/>
  <c r="Q125" i="101"/>
  <c r="J11" i="115"/>
  <c r="D30" i="115"/>
  <c r="T57" i="115"/>
  <c r="T49" i="117"/>
  <c r="T57" i="117"/>
  <c r="R124" i="101"/>
  <c r="J124" i="101"/>
  <c r="R123" i="101"/>
  <c r="J123" i="101"/>
  <c r="R122" i="101"/>
  <c r="J122" i="101"/>
  <c r="AE108" i="101"/>
  <c r="AA109" i="101"/>
  <c r="AJ109" i="101"/>
  <c r="E122" i="101"/>
  <c r="N122" i="101"/>
  <c r="I123" i="101"/>
  <c r="E124" i="101"/>
  <c r="N124" i="101"/>
  <c r="N10" i="115"/>
  <c r="N12" i="117" s="1"/>
  <c r="T39" i="115"/>
  <c r="F32" i="117"/>
  <c r="T39" i="117"/>
  <c r="T40" i="117"/>
  <c r="T50" i="117"/>
  <c r="T58" i="117"/>
  <c r="T59" i="117"/>
  <c r="T68" i="117"/>
  <c r="D42" i="82"/>
  <c r="D38" i="82"/>
  <c r="D44" i="82"/>
  <c r="H42" i="82"/>
  <c r="D41" i="82"/>
  <c r="H39" i="82"/>
  <c r="H41" i="82"/>
  <c r="D39" i="82"/>
  <c r="H36" i="82"/>
  <c r="H43" i="82"/>
  <c r="H38" i="82"/>
  <c r="D36" i="82"/>
  <c r="D43" i="82"/>
  <c r="H40" i="82"/>
  <c r="D40" i="82"/>
  <c r="H37" i="82"/>
  <c r="H44" i="82"/>
  <c r="D35" i="82"/>
  <c r="D37" i="82"/>
  <c r="H35" i="82"/>
  <c r="H55" i="106"/>
  <c r="I14" i="106" s="1"/>
  <c r="J87" i="101"/>
  <c r="R87" i="101"/>
  <c r="I88" i="101"/>
  <c r="I95" i="101" s="1"/>
  <c r="Q88" i="101"/>
  <c r="Q95" i="101" s="1"/>
  <c r="H89" i="101"/>
  <c r="H96" i="101" s="1"/>
  <c r="P89" i="101"/>
  <c r="P96" i="101" s="1"/>
  <c r="G90" i="101"/>
  <c r="G97" i="101" s="1"/>
  <c r="F122" i="101"/>
  <c r="O122" i="101"/>
  <c r="K123" i="101"/>
  <c r="AD123" i="101" s="1"/>
  <c r="F124" i="101"/>
  <c r="O124" i="101"/>
  <c r="AH124" i="101" s="1"/>
  <c r="L11" i="115"/>
  <c r="F30" i="115"/>
  <c r="T49" i="115"/>
  <c r="T41" i="117"/>
  <c r="T60" i="117"/>
  <c r="T69" i="117"/>
  <c r="R96" i="98"/>
  <c r="Y131" i="100"/>
  <c r="Y130" i="100"/>
  <c r="AG131" i="100"/>
  <c r="AG129" i="100"/>
  <c r="Y77" i="100"/>
  <c r="AG77" i="100"/>
  <c r="AO77" i="100"/>
  <c r="AD78" i="100"/>
  <c r="AC80" i="100"/>
  <c r="AN80" i="100"/>
  <c r="AF81" i="100"/>
  <c r="AI82" i="100"/>
  <c r="Z83" i="100"/>
  <c r="AJ85" i="100"/>
  <c r="Z86" i="100"/>
  <c r="AK86" i="100"/>
  <c r="AG87" i="100"/>
  <c r="AF90" i="100"/>
  <c r="Z91" i="100"/>
  <c r="AH91" i="100"/>
  <c r="AA91" i="100"/>
  <c r="AD93" i="100"/>
  <c r="AD96" i="100"/>
  <c r="AD94" i="100"/>
  <c r="AH96" i="100"/>
  <c r="AH92" i="100"/>
  <c r="AD95" i="100"/>
  <c r="AH95" i="100"/>
  <c r="Z95" i="100"/>
  <c r="AB97" i="100"/>
  <c r="AB101" i="100"/>
  <c r="AF101" i="100"/>
  <c r="AF99" i="100"/>
  <c r="AJ99" i="100"/>
  <c r="AJ97" i="100"/>
  <c r="AJ101" i="100"/>
  <c r="AB106" i="100"/>
  <c r="AB103" i="100"/>
  <c r="AF104" i="100"/>
  <c r="AF103" i="100"/>
  <c r="AF102" i="100"/>
  <c r="AN106" i="100"/>
  <c r="AN104" i="100"/>
  <c r="AN103" i="100"/>
  <c r="AB105" i="100"/>
  <c r="AD109" i="100"/>
  <c r="AH109" i="100"/>
  <c r="AB128" i="100"/>
  <c r="AF128" i="100"/>
  <c r="AN128" i="100"/>
  <c r="Z130" i="100"/>
  <c r="AD130" i="100"/>
  <c r="AH130" i="100"/>
  <c r="AL130" i="100"/>
  <c r="AO131" i="100"/>
  <c r="Z131" i="100"/>
  <c r="Z129" i="100"/>
  <c r="Z127" i="100"/>
  <c r="Y13" i="100"/>
  <c r="AG13" i="100"/>
  <c r="Z77" i="100"/>
  <c r="AH77" i="100"/>
  <c r="AF78" i="100"/>
  <c r="AN79" i="100"/>
  <c r="AD80" i="100"/>
  <c r="Y82" i="100"/>
  <c r="AK82" i="100"/>
  <c r="Y85" i="100"/>
  <c r="AG85" i="100"/>
  <c r="AO85" i="100"/>
  <c r="AE86" i="100"/>
  <c r="AM86" i="100"/>
  <c r="AO86" i="100"/>
  <c r="AH87" i="100"/>
  <c r="AD88" i="100"/>
  <c r="Z92" i="100"/>
  <c r="AL96" i="100"/>
  <c r="AD92" i="100"/>
  <c r="AC93" i="100"/>
  <c r="AC95" i="100"/>
  <c r="AA96" i="100"/>
  <c r="AE96" i="100"/>
  <c r="AM96" i="100"/>
  <c r="AN100" i="100"/>
  <c r="AM102" i="100"/>
  <c r="H98" i="98"/>
  <c r="P98" i="98"/>
  <c r="AI131" i="100"/>
  <c r="AA77" i="100"/>
  <c r="AI77" i="100"/>
  <c r="AH81" i="100"/>
  <c r="Z85" i="100"/>
  <c r="AL83" i="100"/>
  <c r="AB84" i="100"/>
  <c r="AJ84" i="100"/>
  <c r="AF84" i="100"/>
  <c r="AL85" i="100"/>
  <c r="AB86" i="100"/>
  <c r="AC87" i="100"/>
  <c r="AG91" i="100"/>
  <c r="AK91" i="100"/>
  <c r="AK87" i="100"/>
  <c r="Z89" i="100"/>
  <c r="AD89" i="100"/>
  <c r="AH89" i="100"/>
  <c r="AL89" i="100"/>
  <c r="Y89" i="100"/>
  <c r="AO89" i="100"/>
  <c r="AH90" i="100"/>
  <c r="AE91" i="100"/>
  <c r="AI91" i="100"/>
  <c r="AM91" i="100"/>
  <c r="AD91" i="100"/>
  <c r="AE94" i="100"/>
  <c r="AE92" i="100"/>
  <c r="AA95" i="100"/>
  <c r="AE95" i="100"/>
  <c r="AM95" i="100"/>
  <c r="Y100" i="100"/>
  <c r="Y97" i="100"/>
  <c r="AC97" i="100"/>
  <c r="AG100" i="100"/>
  <c r="AK97" i="100"/>
  <c r="AO97" i="100"/>
  <c r="AC99" i="100"/>
  <c r="AK99" i="100"/>
  <c r="Y101" i="100"/>
  <c r="AC101" i="100"/>
  <c r="AG101" i="100"/>
  <c r="AK101" i="100"/>
  <c r="AO101" i="100"/>
  <c r="Z108" i="100"/>
  <c r="AD108" i="100"/>
  <c r="AH108" i="100"/>
  <c r="Y128" i="100"/>
  <c r="AC128" i="100"/>
  <c r="AG128" i="100"/>
  <c r="AK128" i="100"/>
  <c r="AO128" i="100"/>
  <c r="AB129" i="100"/>
  <c r="AF129" i="100"/>
  <c r="AA130" i="100"/>
  <c r="AE130" i="100"/>
  <c r="AI130" i="100"/>
  <c r="AM130" i="100"/>
  <c r="AD131" i="100"/>
  <c r="AH131" i="100"/>
  <c r="AB131" i="100"/>
  <c r="AB127" i="100"/>
  <c r="AJ131" i="100"/>
  <c r="AJ130" i="100"/>
  <c r="AJ129" i="100"/>
  <c r="AJ128" i="100"/>
  <c r="AI13" i="100"/>
  <c r="Y80" i="100"/>
  <c r="AG80" i="100"/>
  <c r="AO80" i="100"/>
  <c r="AD81" i="100"/>
  <c r="AL81" i="100"/>
  <c r="AC82" i="100"/>
  <c r="AM82" i="100"/>
  <c r="AC83" i="100"/>
  <c r="AG84" i="100"/>
  <c r="AM85" i="100"/>
  <c r="AF86" i="100"/>
  <c r="AN86" i="100"/>
  <c r="Y87" i="100"/>
  <c r="AF88" i="100"/>
  <c r="AA89" i="100"/>
  <c r="AC90" i="100"/>
  <c r="AK90" i="100"/>
  <c r="AI92" i="100"/>
  <c r="AM93" i="100"/>
  <c r="AJ92" i="100"/>
  <c r="AJ93" i="100"/>
  <c r="AH94" i="100"/>
  <c r="AI95" i="100"/>
  <c r="AN96" i="100"/>
  <c r="AA106" i="100"/>
  <c r="AH110" i="100"/>
  <c r="J125" i="98"/>
  <c r="R125" i="98"/>
  <c r="J126" i="98"/>
  <c r="R126" i="98"/>
  <c r="J127" i="98"/>
  <c r="R127" i="98"/>
  <c r="J128" i="98"/>
  <c r="R128" i="98"/>
  <c r="AC130" i="100"/>
  <c r="AC129" i="100"/>
  <c r="AC127" i="100"/>
  <c r="AK130" i="100"/>
  <c r="AK129" i="100"/>
  <c r="AK127" i="100"/>
  <c r="AI80" i="100"/>
  <c r="Z81" i="100"/>
  <c r="AH84" i="100"/>
  <c r="AC85" i="100"/>
  <c r="AN85" i="100"/>
  <c r="Z87" i="100"/>
  <c r="AB90" i="100"/>
  <c r="AB87" i="100"/>
  <c r="AJ90" i="100"/>
  <c r="AJ87" i="100"/>
  <c r="AJ88" i="100"/>
  <c r="AE90" i="100"/>
  <c r="AE89" i="100"/>
  <c r="AM90" i="100"/>
  <c r="AM89" i="100"/>
  <c r="AN90" i="100"/>
  <c r="AB91" i="100"/>
  <c r="AN91" i="100"/>
  <c r="AL93" i="100"/>
  <c r="AF95" i="100"/>
  <c r="AL95" i="100"/>
  <c r="Z100" i="100"/>
  <c r="Z99" i="100"/>
  <c r="AD99" i="100"/>
  <c r="AD97" i="100"/>
  <c r="AH99" i="100"/>
  <c r="AH97" i="100"/>
  <c r="AL99" i="100"/>
  <c r="AL97" i="100"/>
  <c r="AG97" i="100"/>
  <c r="AN98" i="100"/>
  <c r="Z101" i="100"/>
  <c r="AH101" i="100"/>
  <c r="AL101" i="100"/>
  <c r="AD101" i="100"/>
  <c r="AB102" i="100"/>
  <c r="AF106" i="100"/>
  <c r="AJ106" i="100"/>
  <c r="AN102" i="100"/>
  <c r="AB104" i="100"/>
  <c r="AJ104" i="100"/>
  <c r="Z128" i="100"/>
  <c r="AH128" i="100"/>
  <c r="Y129" i="100"/>
  <c r="AO129" i="100"/>
  <c r="AB130" i="100"/>
  <c r="AA131" i="100"/>
  <c r="AE131" i="100"/>
  <c r="AM131" i="100"/>
  <c r="H88" i="98"/>
  <c r="H95" i="98" s="1"/>
  <c r="P88" i="98"/>
  <c r="P95" i="98" s="1"/>
  <c r="G89" i="98"/>
  <c r="G96" i="98" s="1"/>
  <c r="O89" i="98"/>
  <c r="O96" i="98" s="1"/>
  <c r="F90" i="98"/>
  <c r="F97" i="98" s="1"/>
  <c r="N90" i="98"/>
  <c r="N97" i="98" s="1"/>
  <c r="E91" i="98"/>
  <c r="E98" i="98" s="1"/>
  <c r="M91" i="98"/>
  <c r="M98" i="98" s="1"/>
  <c r="I104" i="98"/>
  <c r="Q104" i="98"/>
  <c r="I105" i="98"/>
  <c r="Q105" i="98"/>
  <c r="I106" i="98"/>
  <c r="Q106" i="98"/>
  <c r="I107" i="98"/>
  <c r="Q107" i="98"/>
  <c r="G111" i="98"/>
  <c r="O111" i="98"/>
  <c r="G112" i="98"/>
  <c r="O112" i="98"/>
  <c r="G113" i="98"/>
  <c r="O113" i="98"/>
  <c r="G114" i="98"/>
  <c r="O114" i="98"/>
  <c r="E118" i="98"/>
  <c r="M118" i="98"/>
  <c r="E119" i="98"/>
  <c r="M119" i="98"/>
  <c r="E120" i="98"/>
  <c r="M120" i="98"/>
  <c r="E121" i="98"/>
  <c r="C125" i="98"/>
  <c r="K125" i="98"/>
  <c r="C126" i="98"/>
  <c r="K126" i="98"/>
  <c r="C127" i="98"/>
  <c r="K127" i="98"/>
  <c r="C128" i="98"/>
  <c r="K128" i="98"/>
  <c r="AD129" i="100"/>
  <c r="AD127" i="100"/>
  <c r="AL131" i="100"/>
  <c r="AL129" i="100"/>
  <c r="AL127" i="100"/>
  <c r="AC13" i="100"/>
  <c r="AK13" i="100"/>
  <c r="AL77" i="100"/>
  <c r="AE78" i="100"/>
  <c r="AM78" i="100"/>
  <c r="AE82" i="100"/>
  <c r="AA85" i="100"/>
  <c r="AI85" i="100"/>
  <c r="AD85" i="100"/>
  <c r="AO87" i="100"/>
  <c r="AL88" i="100"/>
  <c r="AC89" i="100"/>
  <c r="AO90" i="100"/>
  <c r="AL91" i="100"/>
  <c r="AB96" i="100"/>
  <c r="AJ96" i="100"/>
  <c r="AL94" i="100"/>
  <c r="Y96" i="100"/>
  <c r="Y95" i="100"/>
  <c r="Y92" i="100"/>
  <c r="AG96" i="100"/>
  <c r="AG93" i="100"/>
  <c r="AK96" i="100"/>
  <c r="AK95" i="100"/>
  <c r="AK94" i="100"/>
  <c r="AK93" i="100"/>
  <c r="AO96" i="100"/>
  <c r="AO94" i="100"/>
  <c r="AN99" i="100"/>
  <c r="AJ105" i="100"/>
  <c r="AA127" i="100"/>
  <c r="AI127" i="100"/>
  <c r="D98" i="98"/>
  <c r="AE129" i="100"/>
  <c r="AE127" i="100"/>
  <c r="AM129" i="100"/>
  <c r="AM127" i="100"/>
  <c r="AA79" i="100"/>
  <c r="AM84" i="100"/>
  <c r="AE85" i="100"/>
  <c r="AI86" i="100"/>
  <c r="AF89" i="100"/>
  <c r="AG89" i="100"/>
  <c r="Z90" i="100"/>
  <c r="Y91" i="100"/>
  <c r="AC100" i="100"/>
  <c r="AK100" i="100"/>
  <c r="AO100" i="100"/>
  <c r="AE106" i="100"/>
  <c r="AE105" i="100"/>
  <c r="AE104" i="100"/>
  <c r="AI102" i="100"/>
  <c r="AI105" i="100"/>
  <c r="AM106" i="100"/>
  <c r="AM105" i="100"/>
  <c r="Z111" i="100"/>
  <c r="Z110" i="100"/>
  <c r="Z109" i="100"/>
  <c r="Z107" i="100"/>
  <c r="AA128" i="100"/>
  <c r="AE128" i="100"/>
  <c r="AI128" i="100"/>
  <c r="AM128" i="100"/>
  <c r="AH129" i="100"/>
  <c r="AG130" i="100"/>
  <c r="AO130" i="100"/>
  <c r="J88" i="98"/>
  <c r="J95" i="98" s="1"/>
  <c r="R88" i="98"/>
  <c r="R95" i="98" s="1"/>
  <c r="I89" i="98"/>
  <c r="I96" i="98" s="1"/>
  <c r="Q89" i="98"/>
  <c r="Q96" i="98" s="1"/>
  <c r="H90" i="98"/>
  <c r="H97" i="98" s="1"/>
  <c r="P90" i="98"/>
  <c r="P97" i="98" s="1"/>
  <c r="G91" i="98"/>
  <c r="G98" i="98" s="1"/>
  <c r="E125" i="98"/>
  <c r="M125" i="98"/>
  <c r="E126" i="98"/>
  <c r="M126" i="98"/>
  <c r="E127" i="98"/>
  <c r="M127" i="98"/>
  <c r="E128" i="98"/>
  <c r="AF127" i="100"/>
  <c r="AF131" i="100"/>
  <c r="AN129" i="100"/>
  <c r="AN131" i="100"/>
  <c r="AE13" i="100"/>
  <c r="AM13" i="100"/>
  <c r="AL78" i="100"/>
  <c r="AE80" i="100"/>
  <c r="AM80" i="100"/>
  <c r="AB81" i="100"/>
  <c r="AJ81" i="100"/>
  <c r="AD86" i="100"/>
  <c r="AL86" i="100"/>
  <c r="AJ86" i="100"/>
  <c r="AN88" i="100"/>
  <c r="AA90" i="100"/>
  <c r="AI90" i="100"/>
  <c r="AG94" i="100"/>
  <c r="Z96" i="100"/>
  <c r="AD110" i="100"/>
  <c r="AH111" i="100"/>
  <c r="AJ127" i="100"/>
  <c r="AN127" i="100"/>
  <c r="Z82" i="100"/>
  <c r="AH82" i="100"/>
  <c r="AC92" i="100"/>
  <c r="AK92" i="100"/>
  <c r="AG92" i="100"/>
  <c r="AB95" i="100"/>
  <c r="AJ95" i="100"/>
  <c r="AB99" i="100"/>
  <c r="AA102" i="100"/>
  <c r="AJ102" i="100"/>
  <c r="Z103" i="100"/>
  <c r="AC106" i="100"/>
  <c r="AK106" i="100"/>
  <c r="AF107" i="100"/>
  <c r="AB110" i="100"/>
  <c r="AJ111" i="100"/>
  <c r="AA112" i="100"/>
  <c r="AF118" i="100"/>
  <c r="AD119" i="100"/>
  <c r="AC121" i="100"/>
  <c r="AE122" i="100"/>
  <c r="AM122" i="100"/>
  <c r="AJ122" i="100"/>
  <c r="AI123" i="100"/>
  <c r="Z124" i="100"/>
  <c r="AD125" i="100"/>
  <c r="AL125" i="100"/>
  <c r="Y127" i="100"/>
  <c r="AG127" i="100"/>
  <c r="AO127" i="100"/>
  <c r="AD132" i="100"/>
  <c r="AF133" i="100"/>
  <c r="AN133" i="100"/>
  <c r="AO133" i="100"/>
  <c r="AG136" i="100"/>
  <c r="AI137" i="100"/>
  <c r="AB138" i="100"/>
  <c r="AL138" i="100"/>
  <c r="AO140" i="100"/>
  <c r="AI141" i="100"/>
  <c r="AL147" i="100"/>
  <c r="Z149" i="100"/>
  <c r="AM149" i="100"/>
  <c r="AE150" i="100"/>
  <c r="Y152" i="100"/>
  <c r="AO152" i="100"/>
  <c r="AJ152" i="100"/>
  <c r="AE153" i="100"/>
  <c r="Y155" i="100"/>
  <c r="AG155" i="100"/>
  <c r="AO155" i="100"/>
  <c r="AL156" i="100"/>
  <c r="AI157" i="100"/>
  <c r="AA157" i="100"/>
  <c r="AN157" i="100"/>
  <c r="AA159" i="100"/>
  <c r="AB159" i="100"/>
  <c r="Y160" i="100"/>
  <c r="AG161" i="100"/>
  <c r="AD162" i="100"/>
  <c r="Y163" i="100"/>
  <c r="AG163" i="100"/>
  <c r="AO163" i="100"/>
  <c r="AE164" i="100"/>
  <c r="AM164" i="100"/>
  <c r="AG164" i="100"/>
  <c r="AB165" i="100"/>
  <c r="AL167" i="100"/>
  <c r="AL170" i="100"/>
  <c r="AJ168" i="100"/>
  <c r="AD168" i="100"/>
  <c r="AM171" i="100"/>
  <c r="AJ171" i="100"/>
  <c r="AI172" i="100"/>
  <c r="AF174" i="100"/>
  <c r="AB175" i="100"/>
  <c r="AD175" i="100"/>
  <c r="AA176" i="100"/>
  <c r="AI176" i="100"/>
  <c r="AH177" i="100"/>
  <c r="Y177" i="100"/>
  <c r="AF178" i="100"/>
  <c r="AK178" i="100"/>
  <c r="AM179" i="100"/>
  <c r="AJ179" i="100"/>
  <c r="AA181" i="100"/>
  <c r="AG182" i="100"/>
  <c r="AE183" i="100"/>
  <c r="AI183" i="100"/>
  <c r="AK187" i="100"/>
  <c r="AD188" i="100"/>
  <c r="AI189" i="100"/>
  <c r="AA189" i="100"/>
  <c r="AD194" i="100"/>
  <c r="AC195" i="100"/>
  <c r="Z196" i="100"/>
  <c r="Z193" i="100"/>
  <c r="F198" i="100"/>
  <c r="AA200" i="100" s="1"/>
  <c r="Y201" i="100"/>
  <c r="AO197" i="100"/>
  <c r="Y200" i="100"/>
  <c r="AG204" i="100"/>
  <c r="AD209" i="100"/>
  <c r="AD208" i="100"/>
  <c r="AL207" i="100"/>
  <c r="AL210" i="100"/>
  <c r="Z210" i="100"/>
  <c r="AB211" i="100"/>
  <c r="AE211" i="100"/>
  <c r="X13" i="111"/>
  <c r="AK13" i="111"/>
  <c r="AF13" i="111"/>
  <c r="AG30" i="111"/>
  <c r="AJ31" i="111"/>
  <c r="AK31" i="111"/>
  <c r="AC31" i="111"/>
  <c r="Y31" i="111"/>
  <c r="AF13" i="102"/>
  <c r="X13" i="102"/>
  <c r="AF12" i="102"/>
  <c r="X12" i="102"/>
  <c r="AF11" i="102"/>
  <c r="X11" i="102"/>
  <c r="AF10" i="102"/>
  <c r="X10" i="102"/>
  <c r="AB13" i="102"/>
  <c r="AG12" i="102"/>
  <c r="W12" i="102"/>
  <c r="AB11" i="102"/>
  <c r="AG10" i="102"/>
  <c r="W10" i="102"/>
  <c r="AA13" i="102"/>
  <c r="AB12" i="102"/>
  <c r="AC11" i="102"/>
  <c r="AC10" i="102"/>
  <c r="AI13" i="102"/>
  <c r="Y13" i="102"/>
  <c r="AJ12" i="102"/>
  <c r="Z12" i="102"/>
  <c r="AJ11" i="102"/>
  <c r="Z11" i="102"/>
  <c r="AA10" i="102"/>
  <c r="AE13" i="102"/>
  <c r="AI12" i="102"/>
  <c r="U12" i="102"/>
  <c r="Y11" i="102"/>
  <c r="AD10" i="102"/>
  <c r="W13" i="102"/>
  <c r="AC12" i="102"/>
  <c r="AG11" i="102"/>
  <c r="AJ10" i="102"/>
  <c r="V10" i="102"/>
  <c r="AH13" i="102"/>
  <c r="U13" i="102"/>
  <c r="Y12" i="102"/>
  <c r="AD11" i="102"/>
  <c r="AH10" i="102"/>
  <c r="AH8" i="102"/>
  <c r="AA12" i="102"/>
  <c r="AI11" i="102"/>
  <c r="Y10" i="102"/>
  <c r="AG13" i="102"/>
  <c r="AE11" i="102"/>
  <c r="AD13" i="102"/>
  <c r="AA11" i="102"/>
  <c r="Z13" i="102"/>
  <c r="AH12" i="102"/>
  <c r="V11" i="102"/>
  <c r="AE10" i="102"/>
  <c r="AB10" i="102"/>
  <c r="AH11" i="102"/>
  <c r="AD12" i="102"/>
  <c r="AC13" i="102"/>
  <c r="W19" i="102"/>
  <c r="AC20" i="102"/>
  <c r="AN95" i="100"/>
  <c r="AB98" i="100"/>
  <c r="AJ98" i="100"/>
  <c r="AA101" i="100"/>
  <c r="AI101" i="100"/>
  <c r="AN109" i="100"/>
  <c r="AB111" i="100"/>
  <c r="AL112" i="100"/>
  <c r="Z115" i="100"/>
  <c r="Y117" i="100"/>
  <c r="AH117" i="100"/>
  <c r="AG118" i="100"/>
  <c r="AE119" i="100"/>
  <c r="AN120" i="100"/>
  <c r="AB122" i="100"/>
  <c r="AK122" i="100"/>
  <c r="AA123" i="100"/>
  <c r="Z125" i="100"/>
  <c r="AD128" i="100"/>
  <c r="AL128" i="100"/>
  <c r="AJ132" i="100"/>
  <c r="AO132" i="100"/>
  <c r="AC134" i="100"/>
  <c r="AG134" i="100"/>
  <c r="AK134" i="100"/>
  <c r="AF134" i="100"/>
  <c r="AO135" i="100"/>
  <c r="AG135" i="100"/>
  <c r="AH136" i="100"/>
  <c r="Z137" i="100"/>
  <c r="AJ137" i="100"/>
  <c r="AA138" i="100"/>
  <c r="AE138" i="100"/>
  <c r="AI138" i="100"/>
  <c r="AN139" i="100"/>
  <c r="AF139" i="100"/>
  <c r="AI140" i="100"/>
  <c r="AN147" i="100"/>
  <c r="AH148" i="100"/>
  <c r="AN150" i="100"/>
  <c r="Z155" i="100"/>
  <c r="AH152" i="100"/>
  <c r="Z152" i="100"/>
  <c r="AA155" i="100"/>
  <c r="AM155" i="100"/>
  <c r="AE156" i="100"/>
  <c r="AM156" i="100"/>
  <c r="AH156" i="100"/>
  <c r="AB157" i="100"/>
  <c r="AO157" i="100"/>
  <c r="AH160" i="100"/>
  <c r="Z160" i="100"/>
  <c r="AN160" i="100"/>
  <c r="AI161" i="100"/>
  <c r="AK162" i="100"/>
  <c r="AK166" i="100"/>
  <c r="AE162" i="100"/>
  <c r="AA163" i="100"/>
  <c r="AN163" i="100"/>
  <c r="AH164" i="100"/>
  <c r="Z166" i="100"/>
  <c r="Y166" i="100"/>
  <c r="AE167" i="100"/>
  <c r="AI167" i="100"/>
  <c r="AC168" i="100"/>
  <c r="AK168" i="100"/>
  <c r="AF168" i="100"/>
  <c r="AA169" i="100"/>
  <c r="Y170" i="100"/>
  <c r="AG170" i="100"/>
  <c r="AF171" i="100"/>
  <c r="AN171" i="100"/>
  <c r="AL171" i="100"/>
  <c r="AJ172" i="100"/>
  <c r="AL174" i="100"/>
  <c r="AF175" i="100"/>
  <c r="AB176" i="100"/>
  <c r="AD180" i="100"/>
  <c r="AD177" i="100"/>
  <c r="AF180" i="100"/>
  <c r="AB181" i="100"/>
  <c r="AO182" i="100"/>
  <c r="AN183" i="100"/>
  <c r="AJ183" i="100"/>
  <c r="AD184" i="100"/>
  <c r="AG184" i="100"/>
  <c r="AN186" i="100"/>
  <c r="AF187" i="100"/>
  <c r="AE188" i="100"/>
  <c r="AM188" i="100"/>
  <c r="AH188" i="100"/>
  <c r="AB189" i="100"/>
  <c r="AD189" i="100"/>
  <c r="Z190" i="100"/>
  <c r="AF191" i="100"/>
  <c r="AM191" i="100"/>
  <c r="AE192" i="100"/>
  <c r="AM192" i="100"/>
  <c r="AI192" i="100"/>
  <c r="AC193" i="100"/>
  <c r="AK193" i="100"/>
  <c r="AA195" i="100"/>
  <c r="AI195" i="100"/>
  <c r="AD195" i="100"/>
  <c r="AI196" i="100"/>
  <c r="AA196" i="100"/>
  <c r="G198" i="100"/>
  <c r="AB198" i="100" s="1"/>
  <c r="Z197" i="100"/>
  <c r="Z199" i="100"/>
  <c r="O198" i="100"/>
  <c r="O199" i="100"/>
  <c r="Y197" i="100"/>
  <c r="Y198" i="100"/>
  <c r="L199" i="100"/>
  <c r="AG199" i="100" s="1"/>
  <c r="AI200" i="100"/>
  <c r="AO200" i="100"/>
  <c r="M203" i="100"/>
  <c r="M204" i="100"/>
  <c r="AI203" i="100"/>
  <c r="AM207" i="100"/>
  <c r="AN207" i="100"/>
  <c r="Z209" i="100"/>
  <c r="Y209" i="100"/>
  <c r="AA210" i="100"/>
  <c r="AI210" i="100"/>
  <c r="AF210" i="100"/>
  <c r="AK211" i="100"/>
  <c r="AH211" i="100"/>
  <c r="AF27" i="111"/>
  <c r="AI27" i="111"/>
  <c r="X27" i="111"/>
  <c r="AG27" i="111"/>
  <c r="AH27" i="111"/>
  <c r="AA27" i="111"/>
  <c r="AE31" i="111"/>
  <c r="W31" i="111"/>
  <c r="AI10" i="102"/>
  <c r="AE12" i="102"/>
  <c r="AJ13" i="102"/>
  <c r="U17" i="102"/>
  <c r="V18" i="102"/>
  <c r="AG19" i="102"/>
  <c r="AF20" i="102"/>
  <c r="AF41" i="102"/>
  <c r="X41" i="102"/>
  <c r="AF40" i="102"/>
  <c r="X40" i="102"/>
  <c r="AF39" i="102"/>
  <c r="X39" i="102"/>
  <c r="AF38" i="102"/>
  <c r="X38" i="102"/>
  <c r="AD41" i="102"/>
  <c r="U41" i="102"/>
  <c r="AI40" i="102"/>
  <c r="Z40" i="102"/>
  <c r="AD39" i="102"/>
  <c r="U39" i="102"/>
  <c r="AI38" i="102"/>
  <c r="Z38" i="102"/>
  <c r="AE41" i="102"/>
  <c r="AE40" i="102"/>
  <c r="U40" i="102"/>
  <c r="AG39" i="102"/>
  <c r="V39" i="102"/>
  <c r="AG38" i="102"/>
  <c r="V38" i="102"/>
  <c r="AB41" i="102"/>
  <c r="AC40" i="102"/>
  <c r="AC39" i="102"/>
  <c r="AD38" i="102"/>
  <c r="AI41" i="102"/>
  <c r="V41" i="102"/>
  <c r="Y40" i="102"/>
  <c r="AB39" i="102"/>
  <c r="AH38" i="102"/>
  <c r="AA41" i="102"/>
  <c r="AG40" i="102"/>
  <c r="AJ39" i="102"/>
  <c r="W39" i="102"/>
  <c r="AA38" i="102"/>
  <c r="Y41" i="102"/>
  <c r="AB40" i="102"/>
  <c r="AH39" i="102"/>
  <c r="W38" i="102"/>
  <c r="AJ41" i="102"/>
  <c r="W40" i="102"/>
  <c r="AI39" i="102"/>
  <c r="U38" i="102"/>
  <c r="AG41" i="102"/>
  <c r="AA39" i="102"/>
  <c r="AC41" i="102"/>
  <c r="Z39" i="102"/>
  <c r="AJ38" i="102"/>
  <c r="W41" i="102"/>
  <c r="AH40" i="102"/>
  <c r="AC38" i="102"/>
  <c r="AB38" i="102"/>
  <c r="AE39" i="102"/>
  <c r="AA40" i="102"/>
  <c r="Z41" i="102"/>
  <c r="R104" i="102"/>
  <c r="J104" i="102"/>
  <c r="R103" i="102"/>
  <c r="J103" i="102"/>
  <c r="R102" i="102"/>
  <c r="J102" i="102"/>
  <c r="R101" i="102"/>
  <c r="J101" i="102"/>
  <c r="R76" i="102"/>
  <c r="J76" i="102"/>
  <c r="R75" i="102"/>
  <c r="J75" i="102"/>
  <c r="R74" i="102"/>
  <c r="J74" i="102"/>
  <c r="R73" i="102"/>
  <c r="J73" i="102"/>
  <c r="K104" i="102"/>
  <c r="O103" i="102"/>
  <c r="F103" i="102"/>
  <c r="K102" i="102"/>
  <c r="O101" i="102"/>
  <c r="F101" i="102"/>
  <c r="Q76" i="102"/>
  <c r="H76" i="102"/>
  <c r="M75" i="102"/>
  <c r="D75" i="102"/>
  <c r="Q74" i="102"/>
  <c r="H74" i="102"/>
  <c r="M73" i="102"/>
  <c r="D73" i="102"/>
  <c r="Q104" i="102"/>
  <c r="G104" i="102"/>
  <c r="H103" i="102"/>
  <c r="H102" i="102"/>
  <c r="I101" i="102"/>
  <c r="N76" i="102"/>
  <c r="D76" i="102"/>
  <c r="O75" i="102"/>
  <c r="E75" i="102"/>
  <c r="O74" i="102"/>
  <c r="E74" i="102"/>
  <c r="P73" i="102"/>
  <c r="F73" i="102"/>
  <c r="O104" i="102"/>
  <c r="E104" i="102"/>
  <c r="P103" i="102"/>
  <c r="E103" i="102"/>
  <c r="P102" i="102"/>
  <c r="F102" i="102"/>
  <c r="Q101" i="102"/>
  <c r="G101" i="102"/>
  <c r="L76" i="102"/>
  <c r="L75" i="102"/>
  <c r="M74" i="102"/>
  <c r="C74" i="102"/>
  <c r="N73" i="102"/>
  <c r="C73" i="102"/>
  <c r="P104" i="102"/>
  <c r="C104" i="102"/>
  <c r="G103" i="102"/>
  <c r="L102" i="102"/>
  <c r="N101" i="102"/>
  <c r="F76" i="102"/>
  <c r="I75" i="102"/>
  <c r="N74" i="102"/>
  <c r="E73" i="102"/>
  <c r="I104" i="102"/>
  <c r="M103" i="102"/>
  <c r="Q102" i="102"/>
  <c r="D102" i="102"/>
  <c r="H101" i="102"/>
  <c r="M76" i="102"/>
  <c r="Q75" i="102"/>
  <c r="C75" i="102"/>
  <c r="G74" i="102"/>
  <c r="K73" i="102"/>
  <c r="F104" i="102"/>
  <c r="K103" i="102"/>
  <c r="N102" i="102"/>
  <c r="D101" i="102"/>
  <c r="I76" i="102"/>
  <c r="N75" i="102"/>
  <c r="D74" i="102"/>
  <c r="H73" i="102"/>
  <c r="M104" i="102"/>
  <c r="D103" i="102"/>
  <c r="P101" i="102"/>
  <c r="G76" i="102"/>
  <c r="F74" i="102"/>
  <c r="O73" i="102"/>
  <c r="L104" i="102"/>
  <c r="C103" i="102"/>
  <c r="M101" i="102"/>
  <c r="E76" i="102"/>
  <c r="P75" i="102"/>
  <c r="L73" i="102"/>
  <c r="H104" i="102"/>
  <c r="O102" i="102"/>
  <c r="L101" i="102"/>
  <c r="C76" i="102"/>
  <c r="K75" i="102"/>
  <c r="I73" i="102"/>
  <c r="D104" i="102"/>
  <c r="M102" i="102"/>
  <c r="K101" i="102"/>
  <c r="H75" i="102"/>
  <c r="G73" i="102"/>
  <c r="Q103" i="102"/>
  <c r="I102" i="102"/>
  <c r="E101" i="102"/>
  <c r="N103" i="102"/>
  <c r="G102" i="102"/>
  <c r="C101" i="102"/>
  <c r="P76" i="102"/>
  <c r="F75" i="102"/>
  <c r="L74" i="102"/>
  <c r="P71" i="102"/>
  <c r="N104" i="102"/>
  <c r="I103" i="102"/>
  <c r="C102" i="102"/>
  <c r="K76" i="102"/>
  <c r="I74" i="102"/>
  <c r="Q73" i="102"/>
  <c r="Z93" i="100"/>
  <c r="AH93" i="100"/>
  <c r="AF97" i="100"/>
  <c r="AA104" i="100"/>
  <c r="AI104" i="100"/>
  <c r="Y107" i="100"/>
  <c r="AC109" i="100"/>
  <c r="AK109" i="100"/>
  <c r="AF109" i="100"/>
  <c r="AD112" i="100"/>
  <c r="AM112" i="100"/>
  <c r="AL113" i="100"/>
  <c r="AA115" i="100"/>
  <c r="AI115" i="100"/>
  <c r="AI116" i="100"/>
  <c r="AD117" i="100"/>
  <c r="AL117" i="100"/>
  <c r="AC120" i="100"/>
  <c r="AK120" i="100"/>
  <c r="AF120" i="100"/>
  <c r="AC122" i="100"/>
  <c r="AL122" i="100"/>
  <c r="AC131" i="100"/>
  <c r="AK131" i="100"/>
  <c r="Y133" i="100"/>
  <c r="AD136" i="100"/>
  <c r="Y136" i="100"/>
  <c r="AA137" i="100"/>
  <c r="AD138" i="100"/>
  <c r="AJ140" i="100"/>
  <c r="AE141" i="100"/>
  <c r="AG148" i="100"/>
  <c r="AI148" i="100"/>
  <c r="AJ149" i="100"/>
  <c r="AG150" i="100"/>
  <c r="AA156" i="100"/>
  <c r="AA152" i="100"/>
  <c r="AJ153" i="100"/>
  <c r="AI155" i="100"/>
  <c r="AB155" i="100"/>
  <c r="AC157" i="100"/>
  <c r="AK157" i="100"/>
  <c r="AD157" i="100"/>
  <c r="AL158" i="100"/>
  <c r="AC159" i="100"/>
  <c r="AA160" i="100"/>
  <c r="AI160" i="100"/>
  <c r="AL161" i="100"/>
  <c r="AL165" i="100"/>
  <c r="AF162" i="100"/>
  <c r="AI163" i="100"/>
  <c r="AC163" i="100"/>
  <c r="AO166" i="100"/>
  <c r="AK167" i="100"/>
  <c r="AL168" i="100"/>
  <c r="AJ169" i="100"/>
  <c r="AB169" i="100"/>
  <c r="Y171" i="100"/>
  <c r="AG171" i="100"/>
  <c r="AO171" i="100"/>
  <c r="AF176" i="100"/>
  <c r="AN173" i="100"/>
  <c r="AN172" i="100"/>
  <c r="AN176" i="100"/>
  <c r="AJ173" i="100"/>
  <c r="AE174" i="100"/>
  <c r="AJ174" i="100"/>
  <c r="AL175" i="100"/>
  <c r="AD176" i="100"/>
  <c r="AB178" i="100"/>
  <c r="AB177" i="100"/>
  <c r="AJ178" i="100"/>
  <c r="Y178" i="100"/>
  <c r="Y179" i="100"/>
  <c r="AG179" i="100"/>
  <c r="AO179" i="100"/>
  <c r="AL179" i="100"/>
  <c r="AC181" i="100"/>
  <c r="AK181" i="100"/>
  <c r="AD181" i="100"/>
  <c r="AA182" i="100"/>
  <c r="AI182" i="100"/>
  <c r="AB182" i="100"/>
  <c r="AL183" i="100"/>
  <c r="AE184" i="100"/>
  <c r="AM184" i="100"/>
  <c r="AA186" i="100"/>
  <c r="AI186" i="100"/>
  <c r="AB186" i="100"/>
  <c r="AC189" i="100"/>
  <c r="AK189" i="100"/>
  <c r="AE189" i="100"/>
  <c r="AC194" i="100"/>
  <c r="AK194" i="100"/>
  <c r="AE195" i="100"/>
  <c r="AC199" i="100"/>
  <c r="AA204" i="100"/>
  <c r="AG202" i="100"/>
  <c r="AI204" i="100"/>
  <c r="Y208" i="100"/>
  <c r="AG208" i="100"/>
  <c r="AO208" i="100"/>
  <c r="AB209" i="100"/>
  <c r="AH210" i="100"/>
  <c r="AL211" i="100"/>
  <c r="Y27" i="111"/>
  <c r="AA30" i="111"/>
  <c r="AI30" i="111"/>
  <c r="AF31" i="111"/>
  <c r="AB31" i="111"/>
  <c r="AC51" i="111"/>
  <c r="AB58" i="111"/>
  <c r="AJ58" i="111"/>
  <c r="Y17" i="102"/>
  <c r="Y18" i="102"/>
  <c r="N27" i="102"/>
  <c r="F27" i="102"/>
  <c r="N26" i="102"/>
  <c r="F26" i="102"/>
  <c r="N25" i="102"/>
  <c r="F25" i="102"/>
  <c r="N24" i="102"/>
  <c r="F24" i="102"/>
  <c r="R27" i="102"/>
  <c r="I27" i="102"/>
  <c r="M26" i="102"/>
  <c r="D26" i="102"/>
  <c r="R25" i="102"/>
  <c r="I25" i="102"/>
  <c r="M24" i="102"/>
  <c r="D24" i="102"/>
  <c r="K27" i="102"/>
  <c r="K26" i="102"/>
  <c r="L25" i="102"/>
  <c r="L24" i="102"/>
  <c r="H27" i="102"/>
  <c r="I26" i="102"/>
  <c r="J25" i="102"/>
  <c r="J24" i="102"/>
  <c r="P22" i="102"/>
  <c r="Q27" i="102"/>
  <c r="D27" i="102"/>
  <c r="H26" i="102"/>
  <c r="M25" i="102"/>
  <c r="Q24" i="102"/>
  <c r="C24" i="102"/>
  <c r="L27" i="102"/>
  <c r="P26" i="102"/>
  <c r="E25" i="102"/>
  <c r="I24" i="102"/>
  <c r="G27" i="102"/>
  <c r="L26" i="102"/>
  <c r="P25" i="102"/>
  <c r="C25" i="102"/>
  <c r="G24" i="102"/>
  <c r="C27" i="102"/>
  <c r="O26" i="102"/>
  <c r="K24" i="102"/>
  <c r="G26" i="102"/>
  <c r="Q25" i="102"/>
  <c r="E24" i="102"/>
  <c r="P27" i="102"/>
  <c r="E26" i="102"/>
  <c r="O25" i="102"/>
  <c r="M27" i="102"/>
  <c r="H25" i="102"/>
  <c r="R24" i="102"/>
  <c r="D25" i="102"/>
  <c r="J26" i="102"/>
  <c r="J27" i="102"/>
  <c r="AH36" i="102"/>
  <c r="AE38" i="102"/>
  <c r="AD40" i="102"/>
  <c r="AH41" i="102"/>
  <c r="W52" i="102"/>
  <c r="W53" i="102"/>
  <c r="AJ76" i="102"/>
  <c r="AB76" i="102"/>
  <c r="AJ75" i="102"/>
  <c r="AB75" i="102"/>
  <c r="AJ74" i="102"/>
  <c r="AB74" i="102"/>
  <c r="AJ73" i="102"/>
  <c r="AB73" i="102"/>
  <c r="AH71" i="102"/>
  <c r="AC76" i="102"/>
  <c r="AG75" i="102"/>
  <c r="X75" i="102"/>
  <c r="AC74" i="102"/>
  <c r="AG73" i="102"/>
  <c r="X73" i="102"/>
  <c r="Z76" i="102"/>
  <c r="AA75" i="102"/>
  <c r="AA74" i="102"/>
  <c r="AC73" i="102"/>
  <c r="AH76" i="102"/>
  <c r="X76" i="102"/>
  <c r="AI75" i="102"/>
  <c r="Y75" i="102"/>
  <c r="AI74" i="102"/>
  <c r="Y74" i="102"/>
  <c r="Z73" i="102"/>
  <c r="AI76" i="102"/>
  <c r="V76" i="102"/>
  <c r="Z75" i="102"/>
  <c r="AE74" i="102"/>
  <c r="AH73" i="102"/>
  <c r="U73" i="102"/>
  <c r="AD76" i="102"/>
  <c r="AF75" i="102"/>
  <c r="W74" i="102"/>
  <c r="AA73" i="102"/>
  <c r="Y76" i="102"/>
  <c r="AD75" i="102"/>
  <c r="AG74" i="102"/>
  <c r="U74" i="102"/>
  <c r="W73" i="102"/>
  <c r="AF76" i="102"/>
  <c r="U75" i="102"/>
  <c r="AD74" i="102"/>
  <c r="AE76" i="102"/>
  <c r="Z74" i="102"/>
  <c r="AI73" i="102"/>
  <c r="AA76" i="102"/>
  <c r="X74" i="102"/>
  <c r="AF73" i="102"/>
  <c r="W76" i="102"/>
  <c r="AH75" i="102"/>
  <c r="V74" i="102"/>
  <c r="AE73" i="102"/>
  <c r="AC75" i="102"/>
  <c r="Y73" i="102"/>
  <c r="AG76" i="102"/>
  <c r="V75" i="102"/>
  <c r="AF74" i="102"/>
  <c r="AE75" i="102"/>
  <c r="AN110" i="100"/>
  <c r="AN112" i="100"/>
  <c r="AJ116" i="100"/>
  <c r="AO121" i="100"/>
  <c r="AB125" i="100"/>
  <c r="AB126" i="100"/>
  <c r="Y134" i="100"/>
  <c r="Z135" i="100"/>
  <c r="AH135" i="100"/>
  <c r="Y135" i="100"/>
  <c r="Z136" i="100"/>
  <c r="AM137" i="100"/>
  <c r="AK140" i="100"/>
  <c r="AC141" i="100"/>
  <c r="AG154" i="100"/>
  <c r="AG156" i="100"/>
  <c r="AE165" i="100"/>
  <c r="AH165" i="100"/>
  <c r="AE169" i="100"/>
  <c r="AC170" i="100"/>
  <c r="AH175" i="100"/>
  <c r="AH172" i="100"/>
  <c r="AG176" i="100"/>
  <c r="AK196" i="100"/>
  <c r="I198" i="100"/>
  <c r="AB197" i="100"/>
  <c r="Q199" i="100"/>
  <c r="AL199" i="100" s="1"/>
  <c r="AJ201" i="100"/>
  <c r="AK199" i="100"/>
  <c r="AK198" i="100"/>
  <c r="AC200" i="100"/>
  <c r="O204" i="100"/>
  <c r="O203" i="100"/>
  <c r="AH205" i="100"/>
  <c r="Z208" i="100"/>
  <c r="AJ51" i="111"/>
  <c r="AB51" i="111"/>
  <c r="Y51" i="111"/>
  <c r="W51" i="111"/>
  <c r="AB92" i="100"/>
  <c r="Y99" i="100"/>
  <c r="AG99" i="100"/>
  <c r="AO99" i="100"/>
  <c r="AE101" i="100"/>
  <c r="AE102" i="100"/>
  <c r="AD104" i="100"/>
  <c r="AB107" i="100"/>
  <c r="AG110" i="100"/>
  <c r="AO110" i="100"/>
  <c r="AF112" i="100"/>
  <c r="AE113" i="100"/>
  <c r="AD115" i="100"/>
  <c r="AB117" i="100"/>
  <c r="AK117" i="100"/>
  <c r="AA118" i="100"/>
  <c r="AI118" i="100"/>
  <c r="AB118" i="100"/>
  <c r="AK118" i="100"/>
  <c r="Z119" i="100"/>
  <c r="AF122" i="100"/>
  <c r="AO122" i="100"/>
  <c r="AN123" i="100"/>
  <c r="AD124" i="100"/>
  <c r="AA129" i="100"/>
  <c r="AI129" i="100"/>
  <c r="AH133" i="100"/>
  <c r="Z133" i="100"/>
  <c r="AJ133" i="100"/>
  <c r="AK135" i="100"/>
  <c r="AE136" i="100"/>
  <c r="AM136" i="100"/>
  <c r="AK136" i="100"/>
  <c r="AD137" i="100"/>
  <c r="AJ139" i="100"/>
  <c r="AB140" i="100"/>
  <c r="AL140" i="100"/>
  <c r="AB141" i="100"/>
  <c r="AJ141" i="100"/>
  <c r="AD141" i="100"/>
  <c r="AH147" i="100"/>
  <c r="Z148" i="100"/>
  <c r="AA150" i="100"/>
  <c r="AI150" i="100"/>
  <c r="AM150" i="100"/>
  <c r="AJ151" i="100"/>
  <c r="AD152" i="100"/>
  <c r="AM153" i="100"/>
  <c r="AM154" i="100"/>
  <c r="Y156" i="100"/>
  <c r="AN158" i="100"/>
  <c r="AH161" i="100"/>
  <c r="AF163" i="100"/>
  <c r="AI164" i="100"/>
  <c r="AA164" i="100"/>
  <c r="AO164" i="100"/>
  <c r="AC166" i="100"/>
  <c r="AI168" i="100"/>
  <c r="AE170" i="100"/>
  <c r="AA171" i="100"/>
  <c r="AC171" i="100"/>
  <c r="Y173" i="100"/>
  <c r="AM176" i="100"/>
  <c r="AM174" i="100"/>
  <c r="AI179" i="100"/>
  <c r="AI181" i="100"/>
  <c r="AK182" i="100"/>
  <c r="AK183" i="100"/>
  <c r="AK186" i="100"/>
  <c r="AC187" i="100"/>
  <c r="Z188" i="100"/>
  <c r="Z187" i="100"/>
  <c r="Z191" i="100"/>
  <c r="AH189" i="100"/>
  <c r="AC190" i="100"/>
  <c r="AE190" i="100"/>
  <c r="AA191" i="100"/>
  <c r="AF192" i="100"/>
  <c r="AN192" i="100"/>
  <c r="AN193" i="100"/>
  <c r="AI201" i="100"/>
  <c r="AI202" i="100"/>
  <c r="P204" i="100"/>
  <c r="AK204" i="100" s="1"/>
  <c r="Z202" i="100"/>
  <c r="AA203" i="100"/>
  <c r="AO206" i="100"/>
  <c r="AI209" i="100"/>
  <c r="AI207" i="100"/>
  <c r="AI211" i="100"/>
  <c r="AK209" i="100"/>
  <c r="AK208" i="100"/>
  <c r="AG209" i="100"/>
  <c r="AN210" i="100"/>
  <c r="AN211" i="100"/>
  <c r="AJ6" i="111"/>
  <c r="AB6" i="111"/>
  <c r="Y6" i="111"/>
  <c r="AH6" i="111"/>
  <c r="AE51" i="111"/>
  <c r="AF58" i="111"/>
  <c r="X58" i="111"/>
  <c r="AI58" i="111"/>
  <c r="AG58" i="111"/>
  <c r="AA58" i="111"/>
  <c r="AJ63" i="111"/>
  <c r="AI63" i="111"/>
  <c r="AE63" i="111"/>
  <c r="AJ20" i="102"/>
  <c r="AB20" i="102"/>
  <c r="AJ19" i="102"/>
  <c r="AB19" i="102"/>
  <c r="AJ18" i="102"/>
  <c r="AB18" i="102"/>
  <c r="AJ17" i="102"/>
  <c r="AB17" i="102"/>
  <c r="AH15" i="102"/>
  <c r="AG20" i="102"/>
  <c r="X20" i="102"/>
  <c r="AC19" i="102"/>
  <c r="AG18" i="102"/>
  <c r="X18" i="102"/>
  <c r="AC17" i="102"/>
  <c r="AD20" i="102"/>
  <c r="AE19" i="102"/>
  <c r="U19" i="102"/>
  <c r="AE18" i="102"/>
  <c r="U18" i="102"/>
  <c r="AF17" i="102"/>
  <c r="V17" i="102"/>
  <c r="AA20" i="102"/>
  <c r="AA19" i="102"/>
  <c r="AC18" i="102"/>
  <c r="AD17" i="102"/>
  <c r="Z20" i="102"/>
  <c r="X19" i="102"/>
  <c r="AH18" i="102"/>
  <c r="AA17" i="102"/>
  <c r="AH20" i="102"/>
  <c r="U20" i="102"/>
  <c r="AF19" i="102"/>
  <c r="Z18" i="102"/>
  <c r="AI17" i="102"/>
  <c r="W17" i="102"/>
  <c r="AE20" i="102"/>
  <c r="Z19" i="102"/>
  <c r="W18" i="102"/>
  <c r="AG17" i="102"/>
  <c r="Y20" i="102"/>
  <c r="AH19" i="102"/>
  <c r="X17" i="102"/>
  <c r="V20" i="102"/>
  <c r="AD19" i="102"/>
  <c r="AI18" i="102"/>
  <c r="Y19" i="102"/>
  <c r="AF18" i="102"/>
  <c r="AI20" i="102"/>
  <c r="V19" i="102"/>
  <c r="AA18" i="102"/>
  <c r="AE17" i="102"/>
  <c r="AH17" i="102"/>
  <c r="AF55" i="102"/>
  <c r="X55" i="102"/>
  <c r="AF54" i="102"/>
  <c r="X54" i="102"/>
  <c r="AF53" i="102"/>
  <c r="X53" i="102"/>
  <c r="AF52" i="102"/>
  <c r="X52" i="102"/>
  <c r="AE55" i="102"/>
  <c r="V55" i="102"/>
  <c r="AJ54" i="102"/>
  <c r="AA54" i="102"/>
  <c r="AE53" i="102"/>
  <c r="V53" i="102"/>
  <c r="AJ52" i="102"/>
  <c r="AA52" i="102"/>
  <c r="AA55" i="102"/>
  <c r="AB54" i="102"/>
  <c r="AB53" i="102"/>
  <c r="AC52" i="102"/>
  <c r="AI55" i="102"/>
  <c r="Y55" i="102"/>
  <c r="AI54" i="102"/>
  <c r="Y54" i="102"/>
  <c r="AJ53" i="102"/>
  <c r="Z53" i="102"/>
  <c r="Z52" i="102"/>
  <c r="AH55" i="102"/>
  <c r="W54" i="102"/>
  <c r="AC53" i="102"/>
  <c r="AG52" i="102"/>
  <c r="AH50" i="102"/>
  <c r="AB55" i="102"/>
  <c r="AE54" i="102"/>
  <c r="AI53" i="102"/>
  <c r="U53" i="102"/>
  <c r="Y52" i="102"/>
  <c r="W55" i="102"/>
  <c r="AC54" i="102"/>
  <c r="AG53" i="102"/>
  <c r="AI52" i="102"/>
  <c r="V52" i="102"/>
  <c r="AJ55" i="102"/>
  <c r="V54" i="102"/>
  <c r="AH53" i="102"/>
  <c r="U52" i="102"/>
  <c r="AD55" i="102"/>
  <c r="AA53" i="102"/>
  <c r="AC55" i="102"/>
  <c r="Y53" i="102"/>
  <c r="AH52" i="102"/>
  <c r="U55" i="102"/>
  <c r="AG54" i="102"/>
  <c r="AD52" i="102"/>
  <c r="AE52" i="102"/>
  <c r="AD54" i="102"/>
  <c r="AG55" i="102"/>
  <c r="AF105" i="100"/>
  <c r="AN105" i="100"/>
  <c r="AL107" i="100"/>
  <c r="AI109" i="100"/>
  <c r="AG112" i="100"/>
  <c r="Y113" i="100"/>
  <c r="AG113" i="100"/>
  <c r="AO113" i="100"/>
  <c r="AE115" i="100"/>
  <c r="AF116" i="100"/>
  <c r="AN116" i="100"/>
  <c r="AC117" i="100"/>
  <c r="AC118" i="100"/>
  <c r="AL118" i="100"/>
  <c r="Z121" i="100"/>
  <c r="AH121" i="100"/>
  <c r="AF123" i="100"/>
  <c r="AN124" i="100"/>
  <c r="AK132" i="100"/>
  <c r="AA133" i="100"/>
  <c r="AB135" i="100"/>
  <c r="AB136" i="100"/>
  <c r="AL136" i="100"/>
  <c r="AH138" i="100"/>
  <c r="AL148" i="100"/>
  <c r="AE149" i="100"/>
  <c r="AH149" i="100"/>
  <c r="AB150" i="100"/>
  <c r="AK151" i="100"/>
  <c r="AL152" i="100"/>
  <c r="AK154" i="100"/>
  <c r="AO156" i="100"/>
  <c r="AO158" i="100"/>
  <c r="AN159" i="100"/>
  <c r="AF160" i="100"/>
  <c r="AD163" i="100"/>
  <c r="AH163" i="100"/>
  <c r="AB164" i="100"/>
  <c r="AB162" i="100"/>
  <c r="AJ164" i="100"/>
  <c r="AJ162" i="100"/>
  <c r="AL166" i="100"/>
  <c r="AA167" i="100"/>
  <c r="AB167" i="100"/>
  <c r="Y168" i="100"/>
  <c r="AN168" i="100"/>
  <c r="AM169" i="100"/>
  <c r="AK170" i="100"/>
  <c r="AF170" i="100"/>
  <c r="AB171" i="100"/>
  <c r="AE171" i="100"/>
  <c r="AA173" i="100"/>
  <c r="Z174" i="100"/>
  <c r="AH174" i="100"/>
  <c r="Y175" i="100"/>
  <c r="AG175" i="100"/>
  <c r="AO175" i="100"/>
  <c r="AM175" i="100"/>
  <c r="AM177" i="100"/>
  <c r="AM181" i="100"/>
  <c r="AI177" i="100"/>
  <c r="Y180" i="100"/>
  <c r="AO180" i="100"/>
  <c r="AN181" i="100"/>
  <c r="AN178" i="100"/>
  <c r="AD185" i="100"/>
  <c r="AL185" i="100"/>
  <c r="AN184" i="100"/>
  <c r="AF185" i="100"/>
  <c r="AJ190" i="100"/>
  <c r="AJ189" i="100"/>
  <c r="AI188" i="100"/>
  <c r="AA188" i="100"/>
  <c r="AN189" i="100"/>
  <c r="AL189" i="100"/>
  <c r="AH190" i="100"/>
  <c r="AJ191" i="100"/>
  <c r="Y193" i="100"/>
  <c r="AG193" i="100"/>
  <c r="AF194" i="100"/>
  <c r="AN194" i="100"/>
  <c r="AM195" i="100"/>
  <c r="G203" i="100"/>
  <c r="AB205" i="100" s="1"/>
  <c r="AO203" i="100"/>
  <c r="AO202" i="100"/>
  <c r="Z204" i="100"/>
  <c r="AO204" i="100"/>
  <c r="AA205" i="100"/>
  <c r="Z206" i="100"/>
  <c r="AA207" i="100"/>
  <c r="AK30" i="111"/>
  <c r="Z30" i="111"/>
  <c r="AC30" i="111"/>
  <c r="AF51" i="111"/>
  <c r="AG51" i="111"/>
  <c r="E102" i="102"/>
  <c r="AA97" i="100"/>
  <c r="AI99" i="100"/>
  <c r="AD100" i="100"/>
  <c r="AL100" i="100"/>
  <c r="Y102" i="100"/>
  <c r="AG102" i="100"/>
  <c r="AO102" i="100"/>
  <c r="AH102" i="100"/>
  <c r="AG103" i="100"/>
  <c r="AD105" i="100"/>
  <c r="AD106" i="100"/>
  <c r="AI110" i="100"/>
  <c r="AD111" i="100"/>
  <c r="AL111" i="100"/>
  <c r="Y111" i="100"/>
  <c r="AH112" i="100"/>
  <c r="AK119" i="100"/>
  <c r="AJ120" i="100"/>
  <c r="Y122" i="100"/>
  <c r="AH122" i="100"/>
  <c r="Y124" i="100"/>
  <c r="AG124" i="100"/>
  <c r="AO124" i="100"/>
  <c r="AF124" i="100"/>
  <c r="AB132" i="100"/>
  <c r="AL132" i="100"/>
  <c r="AB133" i="100"/>
  <c r="AC135" i="100"/>
  <c r="AN136" i="100"/>
  <c r="AC136" i="100"/>
  <c r="AG137" i="100"/>
  <c r="AE140" i="100"/>
  <c r="AM140" i="100"/>
  <c r="Y147" i="100"/>
  <c r="Y149" i="100"/>
  <c r="AO147" i="100"/>
  <c r="AO150" i="100"/>
  <c r="AO148" i="100"/>
  <c r="AC150" i="100"/>
  <c r="Z151" i="100"/>
  <c r="AL151" i="100"/>
  <c r="AG152" i="100"/>
  <c r="Y154" i="100"/>
  <c r="AO154" i="100"/>
  <c r="AG157" i="100"/>
  <c r="AK158" i="100"/>
  <c r="AE160" i="100"/>
  <c r="AM160" i="100"/>
  <c r="AE161" i="100"/>
  <c r="Z163" i="100"/>
  <c r="AH162" i="100"/>
  <c r="Z162" i="100"/>
  <c r="AJ163" i="100"/>
  <c r="AK164" i="100"/>
  <c r="Z165" i="100"/>
  <c r="AO168" i="100"/>
  <c r="AI169" i="100"/>
  <c r="AK171" i="100"/>
  <c r="AD173" i="100"/>
  <c r="Z175" i="100"/>
  <c r="AA180" i="100"/>
  <c r="AI180" i="100"/>
  <c r="AG181" i="100"/>
  <c r="Y185" i="100"/>
  <c r="Y182" i="100"/>
  <c r="AE186" i="100"/>
  <c r="Y194" i="100"/>
  <c r="AJ197" i="100"/>
  <c r="AJ200" i="100"/>
  <c r="AC201" i="100"/>
  <c r="AK201" i="100"/>
  <c r="AH202" i="100"/>
  <c r="G204" i="100"/>
  <c r="AB210" i="100"/>
  <c r="AB208" i="100"/>
  <c r="AJ207" i="100"/>
  <c r="AJ211" i="100"/>
  <c r="AE210" i="100"/>
  <c r="AM209" i="100"/>
  <c r="AO209" i="100"/>
  <c r="AF211" i="100"/>
  <c r="AF209" i="100"/>
  <c r="Z211" i="100"/>
  <c r="P74" i="102"/>
  <c r="L103" i="102"/>
  <c r="AF108" i="100"/>
  <c r="AN108" i="100"/>
  <c r="AI111" i="100"/>
  <c r="Z112" i="100"/>
  <c r="AI112" i="100"/>
  <c r="AD114" i="100"/>
  <c r="AL114" i="100"/>
  <c r="AF119" i="100"/>
  <c r="AN119" i="100"/>
  <c r="AL119" i="100"/>
  <c r="AB120" i="100"/>
  <c r="AF130" i="100"/>
  <c r="AN130" i="100"/>
  <c r="AC132" i="100"/>
  <c r="AM132" i="100"/>
  <c r="AF136" i="100"/>
  <c r="AC137" i="100"/>
  <c r="AK137" i="100"/>
  <c r="AE139" i="100"/>
  <c r="AK147" i="100"/>
  <c r="AC148" i="100"/>
  <c r="AM151" i="100"/>
  <c r="AD153" i="100"/>
  <c r="AK155" i="100"/>
  <c r="Z157" i="100"/>
  <c r="AH159" i="100"/>
  <c r="Y157" i="100"/>
  <c r="AD161" i="100"/>
  <c r="Z159" i="100"/>
  <c r="AI165" i="100"/>
  <c r="AA165" i="100"/>
  <c r="AA168" i="100"/>
  <c r="AL173" i="100"/>
  <c r="AL172" i="100"/>
  <c r="AG172" i="100"/>
  <c r="AD174" i="100"/>
  <c r="AO181" i="100"/>
  <c r="AF184" i="100"/>
  <c r="AF182" i="100"/>
  <c r="AF183" i="100"/>
  <c r="AN185" i="100"/>
  <c r="AF186" i="100"/>
  <c r="AJ187" i="100"/>
  <c r="Z189" i="100"/>
  <c r="AL190" i="100"/>
  <c r="AL191" i="100"/>
  <c r="AI191" i="100"/>
  <c r="AC196" i="100"/>
  <c r="AD192" i="100"/>
  <c r="Y195" i="100"/>
  <c r="AG195" i="100"/>
  <c r="AO195" i="100"/>
  <c r="AG196" i="100"/>
  <c r="AO196" i="100"/>
  <c r="AN196" i="100"/>
  <c r="AI198" i="100"/>
  <c r="I199" i="100"/>
  <c r="AD199" i="100" s="1"/>
  <c r="K204" i="100"/>
  <c r="AD206" i="100"/>
  <c r="K203" i="100"/>
  <c r="S204" i="100"/>
  <c r="S203" i="100"/>
  <c r="AL205" i="100"/>
  <c r="AD203" i="100"/>
  <c r="H204" i="100"/>
  <c r="AC204" i="100" s="1"/>
  <c r="AD204" i="100"/>
  <c r="AF207" i="100"/>
  <c r="AN209" i="100"/>
  <c r="Y210" i="100"/>
  <c r="AG210" i="100"/>
  <c r="AO210" i="100"/>
  <c r="M95" i="102"/>
  <c r="C96" i="102"/>
  <c r="Q97" i="102"/>
  <c r="AA24" i="105"/>
  <c r="AJ25" i="105"/>
  <c r="Z26" i="105"/>
  <c r="AG27" i="105"/>
  <c r="AD211" i="100"/>
  <c r="AC13" i="111"/>
  <c r="W30" i="111"/>
  <c r="X31" i="111"/>
  <c r="AK45" i="111"/>
  <c r="Z45" i="111"/>
  <c r="AF47" i="111"/>
  <c r="X47" i="111"/>
  <c r="AK51" i="111"/>
  <c r="AF97" i="102"/>
  <c r="X97" i="102"/>
  <c r="AF96" i="102"/>
  <c r="X96" i="102"/>
  <c r="AF95" i="102"/>
  <c r="X95" i="102"/>
  <c r="AF94" i="102"/>
  <c r="X94" i="102"/>
  <c r="AJ90" i="102"/>
  <c r="AB90" i="102"/>
  <c r="AJ89" i="102"/>
  <c r="AB89" i="102"/>
  <c r="AJ88" i="102"/>
  <c r="AB88" i="102"/>
  <c r="AJ87" i="102"/>
  <c r="AB87" i="102"/>
  <c r="AF83" i="102"/>
  <c r="X83" i="102"/>
  <c r="AF82" i="102"/>
  <c r="X82" i="102"/>
  <c r="AF81" i="102"/>
  <c r="X81" i="102"/>
  <c r="AF80" i="102"/>
  <c r="X80" i="102"/>
  <c r="AF69" i="102"/>
  <c r="X69" i="102"/>
  <c r="AF68" i="102"/>
  <c r="X68" i="102"/>
  <c r="AF67" i="102"/>
  <c r="X67" i="102"/>
  <c r="AF66" i="102"/>
  <c r="X66" i="102"/>
  <c r="AI97" i="102"/>
  <c r="Z97" i="102"/>
  <c r="AD96" i="102"/>
  <c r="U96" i="102"/>
  <c r="AI95" i="102"/>
  <c r="Z95" i="102"/>
  <c r="AD94" i="102"/>
  <c r="U94" i="102"/>
  <c r="AD90" i="102"/>
  <c r="U90" i="102"/>
  <c r="AH89" i="102"/>
  <c r="Y89" i="102"/>
  <c r="AD88" i="102"/>
  <c r="U88" i="102"/>
  <c r="AH87" i="102"/>
  <c r="Y87" i="102"/>
  <c r="AH83" i="102"/>
  <c r="Y83" i="102"/>
  <c r="AC82" i="102"/>
  <c r="AH81" i="102"/>
  <c r="Y81" i="102"/>
  <c r="AC80" i="102"/>
  <c r="AG69" i="102"/>
  <c r="W69" i="102"/>
  <c r="AB68" i="102"/>
  <c r="AG67" i="102"/>
  <c r="W67" i="102"/>
  <c r="AB66" i="102"/>
  <c r="AA97" i="102"/>
  <c r="AA96" i="102"/>
  <c r="AB95" i="102"/>
  <c r="AB94" i="102"/>
  <c r="AH90" i="102"/>
  <c r="X90" i="102"/>
  <c r="AI89" i="102"/>
  <c r="X89" i="102"/>
  <c r="AI88" i="102"/>
  <c r="Y88" i="102"/>
  <c r="Z87" i="102"/>
  <c r="AD83" i="102"/>
  <c r="AE82" i="102"/>
  <c r="U82" i="102"/>
  <c r="AE81" i="102"/>
  <c r="U81" i="102"/>
  <c r="AG80" i="102"/>
  <c r="V80" i="102"/>
  <c r="AH69" i="102"/>
  <c r="V69" i="102"/>
  <c r="AH68" i="102"/>
  <c r="W68" i="102"/>
  <c r="AI67" i="102"/>
  <c r="Y67" i="102"/>
  <c r="AI66" i="102"/>
  <c r="Y66" i="102"/>
  <c r="AH64" i="102"/>
  <c r="AH97" i="102"/>
  <c r="W97" i="102"/>
  <c r="AI96" i="102"/>
  <c r="Y96" i="102"/>
  <c r="AJ95" i="102"/>
  <c r="Y95" i="102"/>
  <c r="AJ94" i="102"/>
  <c r="Z94" i="102"/>
  <c r="AF90" i="102"/>
  <c r="V90" i="102"/>
  <c r="AF89" i="102"/>
  <c r="V89" i="102"/>
  <c r="AG88" i="102"/>
  <c r="W88" i="102"/>
  <c r="AG87" i="102"/>
  <c r="W87" i="102"/>
  <c r="AB83" i="102"/>
  <c r="AB82" i="102"/>
  <c r="AC81" i="102"/>
  <c r="AD80" i="102"/>
  <c r="AD69" i="102"/>
  <c r="AE68" i="102"/>
  <c r="U68" i="102"/>
  <c r="AE67" i="102"/>
  <c r="U67" i="102"/>
  <c r="AG66" i="102"/>
  <c r="V66" i="102"/>
  <c r="AB97" i="102"/>
  <c r="AE96" i="102"/>
  <c r="AH95" i="102"/>
  <c r="U95" i="102"/>
  <c r="Y94" i="102"/>
  <c r="AI90" i="102"/>
  <c r="Z89" i="102"/>
  <c r="AC88" i="102"/>
  <c r="AF87" i="102"/>
  <c r="AA83" i="102"/>
  <c r="AG82" i="102"/>
  <c r="AJ81" i="102"/>
  <c r="V81" i="102"/>
  <c r="Z80" i="102"/>
  <c r="AB69" i="102"/>
  <c r="Y68" i="102"/>
  <c r="AD67" i="102"/>
  <c r="Z66" i="102"/>
  <c r="AG97" i="102"/>
  <c r="W96" i="102"/>
  <c r="AC95" i="102"/>
  <c r="AG94" i="102"/>
  <c r="AA90" i="102"/>
  <c r="AE89" i="102"/>
  <c r="V88" i="102"/>
  <c r="AA87" i="102"/>
  <c r="AI83" i="102"/>
  <c r="U83" i="102"/>
  <c r="Y82" i="102"/>
  <c r="AB81" i="102"/>
  <c r="AH80" i="102"/>
  <c r="AJ69" i="102"/>
  <c r="U69" i="102"/>
  <c r="AD68" i="102"/>
  <c r="Z67" i="102"/>
  <c r="AE66" i="102"/>
  <c r="AD97" i="102"/>
  <c r="AH96" i="102"/>
  <c r="W95" i="102"/>
  <c r="AC94" i="102"/>
  <c r="Y90" i="102"/>
  <c r="AC89" i="102"/>
  <c r="AF88" i="102"/>
  <c r="V87" i="102"/>
  <c r="AE83" i="102"/>
  <c r="AI82" i="102"/>
  <c r="V82" i="102"/>
  <c r="Z81" i="102"/>
  <c r="AB80" i="102"/>
  <c r="AE69" i="102"/>
  <c r="AA68" i="102"/>
  <c r="AJ67" i="102"/>
  <c r="AC66" i="102"/>
  <c r="AD66" i="102"/>
  <c r="AA67" i="102"/>
  <c r="V68" i="102"/>
  <c r="AI80" i="102"/>
  <c r="W83" i="102"/>
  <c r="AE87" i="102"/>
  <c r="X88" i="102"/>
  <c r="Z90" i="102"/>
  <c r="G94" i="102"/>
  <c r="AE94" i="102"/>
  <c r="R95" i="102"/>
  <c r="I96" i="102"/>
  <c r="AG96" i="102"/>
  <c r="V97" i="102"/>
  <c r="N13" i="105"/>
  <c r="F13" i="105"/>
  <c r="N12" i="105"/>
  <c r="F12" i="105"/>
  <c r="N11" i="105"/>
  <c r="F11" i="105"/>
  <c r="N10" i="105"/>
  <c r="F10" i="105"/>
  <c r="P13" i="105"/>
  <c r="G13" i="105"/>
  <c r="K12" i="105"/>
  <c r="P11" i="105"/>
  <c r="G11" i="105"/>
  <c r="K10" i="105"/>
  <c r="K13" i="105"/>
  <c r="L12" i="105"/>
  <c r="L11" i="105"/>
  <c r="M10" i="105"/>
  <c r="C10" i="105"/>
  <c r="I13" i="105"/>
  <c r="I12" i="105"/>
  <c r="J11" i="105"/>
  <c r="J10" i="105"/>
  <c r="P8" i="105"/>
  <c r="J13" i="105"/>
  <c r="O12" i="105"/>
  <c r="R11" i="105"/>
  <c r="D11" i="105"/>
  <c r="H10" i="105"/>
  <c r="Q13" i="105"/>
  <c r="C13" i="105"/>
  <c r="G12" i="105"/>
  <c r="K11" i="105"/>
  <c r="P10" i="105"/>
  <c r="M13" i="105"/>
  <c r="Q12" i="105"/>
  <c r="D12" i="105"/>
  <c r="H11" i="105"/>
  <c r="L10" i="105"/>
  <c r="R10" i="105"/>
  <c r="I11" i="105"/>
  <c r="L13" i="105"/>
  <c r="R20" i="105"/>
  <c r="J20" i="105"/>
  <c r="R19" i="105"/>
  <c r="J19" i="105"/>
  <c r="R18" i="105"/>
  <c r="J18" i="105"/>
  <c r="R17" i="105"/>
  <c r="J17" i="105"/>
  <c r="L20" i="105"/>
  <c r="C20" i="105"/>
  <c r="P19" i="105"/>
  <c r="G19" i="105"/>
  <c r="L18" i="105"/>
  <c r="C18" i="105"/>
  <c r="P17" i="105"/>
  <c r="G17" i="105"/>
  <c r="O20" i="105"/>
  <c r="E20" i="105"/>
  <c r="O19" i="105"/>
  <c r="E19" i="105"/>
  <c r="P18" i="105"/>
  <c r="F18" i="105"/>
  <c r="Q17" i="105"/>
  <c r="F17" i="105"/>
  <c r="M20" i="105"/>
  <c r="M19" i="105"/>
  <c r="C19" i="105"/>
  <c r="N18" i="105"/>
  <c r="D18" i="105"/>
  <c r="N17" i="105"/>
  <c r="D17" i="105"/>
  <c r="Q20" i="105"/>
  <c r="D20" i="105"/>
  <c r="H19" i="105"/>
  <c r="K18" i="105"/>
  <c r="O17" i="105"/>
  <c r="I20" i="105"/>
  <c r="N19" i="105"/>
  <c r="E18" i="105"/>
  <c r="I17" i="105"/>
  <c r="G20" i="105"/>
  <c r="K19" i="105"/>
  <c r="O18" i="105"/>
  <c r="E17" i="105"/>
  <c r="D19" i="105"/>
  <c r="K20" i="105"/>
  <c r="AI24" i="105"/>
  <c r="AB26" i="105"/>
  <c r="AJ27" i="105"/>
  <c r="AM170" i="100"/>
  <c r="AB173" i="100"/>
  <c r="AN174" i="100"/>
  <c r="AO176" i="100"/>
  <c r="AC177" i="100"/>
  <c r="AK177" i="100"/>
  <c r="AO178" i="100"/>
  <c r="AG180" i="100"/>
  <c r="AE182" i="100"/>
  <c r="AG189" i="100"/>
  <c r="AA192" i="100"/>
  <c r="AA194" i="100"/>
  <c r="AI194" i="100"/>
  <c r="AF199" i="100"/>
  <c r="AD200" i="100"/>
  <c r="AG201" i="100"/>
  <c r="J204" i="100"/>
  <c r="AJ208" i="100"/>
  <c r="AG6" i="111"/>
  <c r="W13" i="111"/>
  <c r="Z27" i="111"/>
  <c r="Y30" i="111"/>
  <c r="Z31" i="111"/>
  <c r="AF35" i="111"/>
  <c r="X35" i="111"/>
  <c r="AK42" i="111"/>
  <c r="Z42" i="111"/>
  <c r="AF42" i="111"/>
  <c r="X45" i="111"/>
  <c r="AF45" i="111"/>
  <c r="AA47" i="111"/>
  <c r="Z58" i="111"/>
  <c r="AH58" i="111"/>
  <c r="AF27" i="102"/>
  <c r="X27" i="102"/>
  <c r="AF26" i="102"/>
  <c r="X26" i="102"/>
  <c r="AF25" i="102"/>
  <c r="X25" i="102"/>
  <c r="AF24" i="102"/>
  <c r="X24" i="102"/>
  <c r="AC27" i="102"/>
  <c r="AH26" i="102"/>
  <c r="Y26" i="102"/>
  <c r="AC25" i="102"/>
  <c r="AH24" i="102"/>
  <c r="Y24" i="102"/>
  <c r="AH27" i="102"/>
  <c r="W27" i="102"/>
  <c r="AI26" i="102"/>
  <c r="W26" i="102"/>
  <c r="AI25" i="102"/>
  <c r="Y25" i="102"/>
  <c r="AJ24" i="102"/>
  <c r="Z24" i="102"/>
  <c r="AH22" i="102"/>
  <c r="AE27" i="102"/>
  <c r="U27" i="102"/>
  <c r="AE26" i="102"/>
  <c r="U26" i="102"/>
  <c r="AG25" i="102"/>
  <c r="V25" i="102"/>
  <c r="AG24" i="102"/>
  <c r="V24" i="102"/>
  <c r="AI27" i="102"/>
  <c r="Z26" i="102"/>
  <c r="AB25" i="102"/>
  <c r="AE24" i="102"/>
  <c r="AA27" i="102"/>
  <c r="AD26" i="102"/>
  <c r="AJ25" i="102"/>
  <c r="U25" i="102"/>
  <c r="AA24" i="102"/>
  <c r="Y27" i="102"/>
  <c r="AB26" i="102"/>
  <c r="AE25" i="102"/>
  <c r="U24" i="102"/>
  <c r="AB24" i="102"/>
  <c r="AC26" i="102"/>
  <c r="AJ34" i="102"/>
  <c r="AB34" i="102"/>
  <c r="AJ33" i="102"/>
  <c r="AB33" i="102"/>
  <c r="AJ32" i="102"/>
  <c r="AB32" i="102"/>
  <c r="AJ31" i="102"/>
  <c r="AB31" i="102"/>
  <c r="AH29" i="102"/>
  <c r="AH34" i="102"/>
  <c r="Y34" i="102"/>
  <c r="AD33" i="102"/>
  <c r="U33" i="102"/>
  <c r="AH32" i="102"/>
  <c r="Y32" i="102"/>
  <c r="AD31" i="102"/>
  <c r="U31" i="102"/>
  <c r="AA34" i="102"/>
  <c r="AA33" i="102"/>
  <c r="AC32" i="102"/>
  <c r="AC31" i="102"/>
  <c r="AI34" i="102"/>
  <c r="X34" i="102"/>
  <c r="AI33" i="102"/>
  <c r="Y33" i="102"/>
  <c r="Z32" i="102"/>
  <c r="Z31" i="102"/>
  <c r="AC34" i="102"/>
  <c r="AF33" i="102"/>
  <c r="AI32" i="102"/>
  <c r="V32" i="102"/>
  <c r="Y31" i="102"/>
  <c r="AG34" i="102"/>
  <c r="U34" i="102"/>
  <c r="X33" i="102"/>
  <c r="AD32" i="102"/>
  <c r="AG31" i="102"/>
  <c r="AE34" i="102"/>
  <c r="AH33" i="102"/>
  <c r="V33" i="102"/>
  <c r="X32" i="102"/>
  <c r="AE31" i="102"/>
  <c r="V31" i="102"/>
  <c r="AE32" i="102"/>
  <c r="Z34" i="102"/>
  <c r="AJ66" i="102"/>
  <c r="AC67" i="102"/>
  <c r="AC68" i="102"/>
  <c r="Y69" i="102"/>
  <c r="Z82" i="102"/>
  <c r="AC83" i="102"/>
  <c r="O87" i="102"/>
  <c r="E88" i="102"/>
  <c r="AA88" i="102"/>
  <c r="Q89" i="102"/>
  <c r="AE90" i="102"/>
  <c r="K94" i="102"/>
  <c r="AI94" i="102"/>
  <c r="AA95" i="102"/>
  <c r="M96" i="102"/>
  <c r="G97" i="102"/>
  <c r="AC97" i="102"/>
  <c r="D10" i="105"/>
  <c r="O11" i="105"/>
  <c r="E12" i="105"/>
  <c r="R13" i="105"/>
  <c r="G18" i="105"/>
  <c r="I19" i="105"/>
  <c r="P20" i="105"/>
  <c r="Z25" i="105"/>
  <c r="AJ26" i="105"/>
  <c r="V27" i="105"/>
  <c r="Z31" i="105"/>
  <c r="AC202" i="100"/>
  <c r="AC208" i="100"/>
  <c r="AK210" i="100"/>
  <c r="Y211" i="100"/>
  <c r="AG211" i="100"/>
  <c r="AO211" i="100"/>
  <c r="Z6" i="111"/>
  <c r="AC18" i="111"/>
  <c r="Z18" i="111"/>
  <c r="AG47" i="111"/>
  <c r="AC47" i="111"/>
  <c r="X51" i="111"/>
  <c r="W64" i="111"/>
  <c r="Z64" i="111"/>
  <c r="AH67" i="102"/>
  <c r="AG68" i="102"/>
  <c r="Z69" i="102"/>
  <c r="U80" i="102"/>
  <c r="W81" i="102"/>
  <c r="AA82" i="102"/>
  <c r="AG83" i="102"/>
  <c r="AE88" i="102"/>
  <c r="U89" i="102"/>
  <c r="AG90" i="102"/>
  <c r="O94" i="102"/>
  <c r="C95" i="102"/>
  <c r="AD95" i="102"/>
  <c r="Q96" i="102"/>
  <c r="AE97" i="102"/>
  <c r="E10" i="105"/>
  <c r="Q11" i="105"/>
  <c r="H12" i="105"/>
  <c r="C17" i="105"/>
  <c r="H18" i="105"/>
  <c r="L19" i="105"/>
  <c r="AC25" i="105"/>
  <c r="AH34" i="105"/>
  <c r="Z34" i="105"/>
  <c r="AH33" i="105"/>
  <c r="AF34" i="105"/>
  <c r="W34" i="105"/>
  <c r="AB33" i="105"/>
  <c r="AJ32" i="105"/>
  <c r="AB32" i="105"/>
  <c r="AJ31" i="105"/>
  <c r="AB31" i="105"/>
  <c r="AH29" i="105"/>
  <c r="AB34" i="105"/>
  <c r="AC33" i="105"/>
  <c r="AG32" i="105"/>
  <c r="X32" i="105"/>
  <c r="AC31" i="105"/>
  <c r="AA34" i="105"/>
  <c r="AI33" i="105"/>
  <c r="X33" i="105"/>
  <c r="AI32" i="105"/>
  <c r="Y32" i="105"/>
  <c r="AI31" i="105"/>
  <c r="Y31" i="105"/>
  <c r="AJ34" i="105"/>
  <c r="X34" i="105"/>
  <c r="AF33" i="105"/>
  <c r="V33" i="105"/>
  <c r="AF32" i="105"/>
  <c r="V32" i="105"/>
  <c r="AG31" i="105"/>
  <c r="W31" i="105"/>
  <c r="AG34" i="105"/>
  <c r="W33" i="105"/>
  <c r="AD32" i="105"/>
  <c r="X31" i="105"/>
  <c r="Y34" i="105"/>
  <c r="AD33" i="105"/>
  <c r="W32" i="105"/>
  <c r="AE31" i="105"/>
  <c r="U34" i="105"/>
  <c r="Z33" i="105"/>
  <c r="AH32" i="105"/>
  <c r="AA31" i="105"/>
  <c r="AD31" i="105"/>
  <c r="Z32" i="105"/>
  <c r="U33" i="105"/>
  <c r="V34" i="105"/>
  <c r="AH48" i="105"/>
  <c r="Z48" i="105"/>
  <c r="AH47" i="105"/>
  <c r="Z47" i="105"/>
  <c r="AH46" i="105"/>
  <c r="Z46" i="105"/>
  <c r="AH45" i="105"/>
  <c r="Z45" i="105"/>
  <c r="AG48" i="105"/>
  <c r="X48" i="105"/>
  <c r="AC47" i="105"/>
  <c r="AG46" i="105"/>
  <c r="X46" i="105"/>
  <c r="AC45" i="105"/>
  <c r="AI48" i="105"/>
  <c r="W48" i="105"/>
  <c r="AI47" i="105"/>
  <c r="X47" i="105"/>
  <c r="AJ46" i="105"/>
  <c r="Y46" i="105"/>
  <c r="AJ45" i="105"/>
  <c r="Y45" i="105"/>
  <c r="AC48" i="105"/>
  <c r="AA47" i="105"/>
  <c r="W46" i="105"/>
  <c r="AG45" i="105"/>
  <c r="V45" i="105"/>
  <c r="AA48" i="105"/>
  <c r="AJ47" i="105"/>
  <c r="W47" i="105"/>
  <c r="AF46" i="105"/>
  <c r="U46" i="105"/>
  <c r="AE45" i="105"/>
  <c r="U48" i="105"/>
  <c r="AD47" i="105"/>
  <c r="AA45" i="105"/>
  <c r="AH43" i="105"/>
  <c r="AF48" i="105"/>
  <c r="Y47" i="105"/>
  <c r="AE46" i="105"/>
  <c r="W45" i="105"/>
  <c r="AE48" i="105"/>
  <c r="V47" i="105"/>
  <c r="AD46" i="105"/>
  <c r="AD48" i="105"/>
  <c r="U47" i="105"/>
  <c r="AC46" i="105"/>
  <c r="AI45" i="105"/>
  <c r="AB48" i="105"/>
  <c r="AG47" i="105"/>
  <c r="AB46" i="105"/>
  <c r="AF45" i="105"/>
  <c r="Y48" i="105"/>
  <c r="AF47" i="105"/>
  <c r="AA46" i="105"/>
  <c r="AD45" i="105"/>
  <c r="V48" i="105"/>
  <c r="AE47" i="105"/>
  <c r="V46" i="105"/>
  <c r="AB45" i="105"/>
  <c r="AB47" i="105"/>
  <c r="N97" i="102"/>
  <c r="F97" i="102"/>
  <c r="N96" i="102"/>
  <c r="F96" i="102"/>
  <c r="N95" i="102"/>
  <c r="F95" i="102"/>
  <c r="N94" i="102"/>
  <c r="F94" i="102"/>
  <c r="O97" i="102"/>
  <c r="E97" i="102"/>
  <c r="J96" i="102"/>
  <c r="O95" i="102"/>
  <c r="E95" i="102"/>
  <c r="J94" i="102"/>
  <c r="M97" i="102"/>
  <c r="C97" i="102"/>
  <c r="O96" i="102"/>
  <c r="D96" i="102"/>
  <c r="P95" i="102"/>
  <c r="D95" i="102"/>
  <c r="P94" i="102"/>
  <c r="E94" i="102"/>
  <c r="K97" i="102"/>
  <c r="L96" i="102"/>
  <c r="L95" i="102"/>
  <c r="M94" i="102"/>
  <c r="C94" i="102"/>
  <c r="J97" i="102"/>
  <c r="P96" i="102"/>
  <c r="G95" i="102"/>
  <c r="I94" i="102"/>
  <c r="R97" i="102"/>
  <c r="D97" i="102"/>
  <c r="H96" i="102"/>
  <c r="K95" i="102"/>
  <c r="Q94" i="102"/>
  <c r="P97" i="102"/>
  <c r="R96" i="102"/>
  <c r="E96" i="102"/>
  <c r="I95" i="102"/>
  <c r="L94" i="102"/>
  <c r="P92" i="102"/>
  <c r="R94" i="102"/>
  <c r="H95" i="102"/>
  <c r="I97" i="102"/>
  <c r="AF27" i="105"/>
  <c r="X27" i="105"/>
  <c r="AF26" i="105"/>
  <c r="X26" i="105"/>
  <c r="AF25" i="105"/>
  <c r="X25" i="105"/>
  <c r="AF24" i="105"/>
  <c r="X24" i="105"/>
  <c r="AB27" i="105"/>
  <c r="AG26" i="105"/>
  <c r="W26" i="105"/>
  <c r="AB25" i="105"/>
  <c r="AG24" i="105"/>
  <c r="W24" i="105"/>
  <c r="AE27" i="105"/>
  <c r="U27" i="105"/>
  <c r="AE26" i="105"/>
  <c r="U26" i="105"/>
  <c r="AG25" i="105"/>
  <c r="V25" i="105"/>
  <c r="AH24" i="105"/>
  <c r="V24" i="105"/>
  <c r="AC27" i="105"/>
  <c r="AC26" i="105"/>
  <c r="AD25" i="105"/>
  <c r="AD24" i="105"/>
  <c r="Z27" i="105"/>
  <c r="AD26" i="105"/>
  <c r="AI25" i="105"/>
  <c r="U25" i="105"/>
  <c r="Z24" i="105"/>
  <c r="AH27" i="105"/>
  <c r="Y26" i="105"/>
  <c r="AA25" i="105"/>
  <c r="AE24" i="105"/>
  <c r="AH22" i="105"/>
  <c r="AD27" i="105"/>
  <c r="AI26" i="105"/>
  <c r="Y25" i="105"/>
  <c r="AB24" i="105"/>
  <c r="U24" i="105"/>
  <c r="AE25" i="105"/>
  <c r="Y27" i="105"/>
  <c r="AN151" i="100"/>
  <c r="AB152" i="100"/>
  <c r="AA154" i="100"/>
  <c r="AI154" i="100"/>
  <c r="AI156" i="100"/>
  <c r="AG158" i="100"/>
  <c r="AJ159" i="100"/>
  <c r="AJ161" i="100"/>
  <c r="AB163" i="100"/>
  <c r="AJ166" i="100"/>
  <c r="AC167" i="100"/>
  <c r="AD171" i="100"/>
  <c r="AE173" i="100"/>
  <c r="AA174" i="100"/>
  <c r="AI174" i="100"/>
  <c r="AE175" i="100"/>
  <c r="AF177" i="100"/>
  <c r="AN180" i="100"/>
  <c r="AF179" i="100"/>
  <c r="AE181" i="100"/>
  <c r="Y184" i="100"/>
  <c r="AO184" i="100"/>
  <c r="AC185" i="100"/>
  <c r="AK185" i="100"/>
  <c r="Y186" i="100"/>
  <c r="AO186" i="100"/>
  <c r="AG188" i="100"/>
  <c r="AH193" i="100"/>
  <c r="AE196" i="100"/>
  <c r="AM196" i="100"/>
  <c r="AN197" i="100"/>
  <c r="M198" i="100"/>
  <c r="Y199" i="100"/>
  <c r="AG200" i="100"/>
  <c r="AE202" i="100"/>
  <c r="Z205" i="100"/>
  <c r="AL206" i="100"/>
  <c r="AE208" i="100"/>
  <c r="AM208" i="100"/>
  <c r="AA209" i="100"/>
  <c r="AM210" i="100"/>
  <c r="Y7" i="111"/>
  <c r="Z13" i="111"/>
  <c r="AH13" i="111"/>
  <c r="X18" i="111"/>
  <c r="AA24" i="111"/>
  <c r="AC27" i="111"/>
  <c r="AJ28" i="111"/>
  <c r="AE28" i="111"/>
  <c r="Y35" i="111"/>
  <c r="AG35" i="111"/>
  <c r="AC35" i="111"/>
  <c r="Y42" i="111"/>
  <c r="AG42" i="111"/>
  <c r="AC42" i="111"/>
  <c r="AA45" i="111"/>
  <c r="AI45" i="111"/>
  <c r="AH45" i="111"/>
  <c r="AJ47" i="111"/>
  <c r="Z51" i="111"/>
  <c r="AH51" i="111"/>
  <c r="AF64" i="111"/>
  <c r="AA64" i="111"/>
  <c r="AF66" i="111"/>
  <c r="X66" i="111"/>
  <c r="AA66" i="111"/>
  <c r="N13" i="102"/>
  <c r="F13" i="102"/>
  <c r="N12" i="102"/>
  <c r="F12" i="102"/>
  <c r="N11" i="102"/>
  <c r="F11" i="102"/>
  <c r="N10" i="102"/>
  <c r="F10" i="102"/>
  <c r="Q13" i="102"/>
  <c r="H13" i="102"/>
  <c r="L12" i="102"/>
  <c r="C12" i="102"/>
  <c r="Q11" i="102"/>
  <c r="H11" i="102"/>
  <c r="L10" i="102"/>
  <c r="C10" i="102"/>
  <c r="O13" i="102"/>
  <c r="D13" i="102"/>
  <c r="P12" i="102"/>
  <c r="E12" i="102"/>
  <c r="P11" i="102"/>
  <c r="E11" i="102"/>
  <c r="Q10" i="102"/>
  <c r="G10" i="102"/>
  <c r="L13" i="102"/>
  <c r="M12" i="102"/>
  <c r="M11" i="102"/>
  <c r="C11" i="102"/>
  <c r="O10" i="102"/>
  <c r="D10" i="102"/>
  <c r="P13" i="102"/>
  <c r="G12" i="102"/>
  <c r="J11" i="102"/>
  <c r="M10" i="102"/>
  <c r="P8" i="102"/>
  <c r="I13" i="102"/>
  <c r="K12" i="102"/>
  <c r="R11" i="102"/>
  <c r="H10" i="102"/>
  <c r="E13" i="102"/>
  <c r="I12" i="102"/>
  <c r="L11" i="102"/>
  <c r="R10" i="102"/>
  <c r="K11" i="102"/>
  <c r="M13" i="102"/>
  <c r="AI24" i="102"/>
  <c r="Z25" i="102"/>
  <c r="AB27" i="102"/>
  <c r="AA31" i="102"/>
  <c r="Z33" i="102"/>
  <c r="N41" i="102"/>
  <c r="F41" i="102"/>
  <c r="N40" i="102"/>
  <c r="F40" i="102"/>
  <c r="N39" i="102"/>
  <c r="F39" i="102"/>
  <c r="N38" i="102"/>
  <c r="F38" i="102"/>
  <c r="J41" i="102"/>
  <c r="O40" i="102"/>
  <c r="E40" i="102"/>
  <c r="J39" i="102"/>
  <c r="O38" i="102"/>
  <c r="E38" i="102"/>
  <c r="R41" i="102"/>
  <c r="H41" i="102"/>
  <c r="I40" i="102"/>
  <c r="I39" i="102"/>
  <c r="J38" i="102"/>
  <c r="P36" i="102"/>
  <c r="P41" i="102"/>
  <c r="E41" i="102"/>
  <c r="Q40" i="102"/>
  <c r="G40" i="102"/>
  <c r="Q39" i="102"/>
  <c r="G39" i="102"/>
  <c r="R38" i="102"/>
  <c r="H38" i="102"/>
  <c r="D41" i="102"/>
  <c r="J40" i="102"/>
  <c r="M39" i="102"/>
  <c r="Q38" i="102"/>
  <c r="C38" i="102"/>
  <c r="L41" i="102"/>
  <c r="P40" i="102"/>
  <c r="E39" i="102"/>
  <c r="K38" i="102"/>
  <c r="I41" i="102"/>
  <c r="L40" i="102"/>
  <c r="P39" i="102"/>
  <c r="C39" i="102"/>
  <c r="G38" i="102"/>
  <c r="K39" i="102"/>
  <c r="M41" i="102"/>
  <c r="N55" i="102"/>
  <c r="F55" i="102"/>
  <c r="N54" i="102"/>
  <c r="F54" i="102"/>
  <c r="N53" i="102"/>
  <c r="F53" i="102"/>
  <c r="N52" i="102"/>
  <c r="F52" i="102"/>
  <c r="K55" i="102"/>
  <c r="P54" i="102"/>
  <c r="G54" i="102"/>
  <c r="K53" i="102"/>
  <c r="P52" i="102"/>
  <c r="G52" i="102"/>
  <c r="O55" i="102"/>
  <c r="D55" i="102"/>
  <c r="O54" i="102"/>
  <c r="D54" i="102"/>
  <c r="P53" i="102"/>
  <c r="E53" i="102"/>
  <c r="Q52" i="102"/>
  <c r="E52" i="102"/>
  <c r="L55" i="102"/>
  <c r="L54" i="102"/>
  <c r="M53" i="102"/>
  <c r="C53" i="102"/>
  <c r="M52" i="102"/>
  <c r="C52" i="102"/>
  <c r="R55" i="102"/>
  <c r="E55" i="102"/>
  <c r="I54" i="102"/>
  <c r="L53" i="102"/>
  <c r="R52" i="102"/>
  <c r="J55" i="102"/>
  <c r="Q54" i="102"/>
  <c r="G53" i="102"/>
  <c r="J52" i="102"/>
  <c r="H55" i="102"/>
  <c r="K54" i="102"/>
  <c r="Q53" i="102"/>
  <c r="H52" i="102"/>
  <c r="I53" i="102"/>
  <c r="M55" i="102"/>
  <c r="U66" i="102"/>
  <c r="AJ68" i="102"/>
  <c r="AC69" i="102"/>
  <c r="Y80" i="102"/>
  <c r="AD81" i="102"/>
  <c r="AH82" i="102"/>
  <c r="R90" i="102"/>
  <c r="J90" i="102"/>
  <c r="R89" i="102"/>
  <c r="J89" i="102"/>
  <c r="R88" i="102"/>
  <c r="J88" i="102"/>
  <c r="R87" i="102"/>
  <c r="J87" i="102"/>
  <c r="I90" i="102"/>
  <c r="N89" i="102"/>
  <c r="E89" i="102"/>
  <c r="I88" i="102"/>
  <c r="N87" i="102"/>
  <c r="E87" i="102"/>
  <c r="L90" i="102"/>
  <c r="L89" i="102"/>
  <c r="M88" i="102"/>
  <c r="C88" i="102"/>
  <c r="M87" i="102"/>
  <c r="C87" i="102"/>
  <c r="H90" i="102"/>
  <c r="I89" i="102"/>
  <c r="K88" i="102"/>
  <c r="K87" i="102"/>
  <c r="P85" i="102"/>
  <c r="Q90" i="102"/>
  <c r="E90" i="102"/>
  <c r="H89" i="102"/>
  <c r="N88" i="102"/>
  <c r="Q87" i="102"/>
  <c r="D87" i="102"/>
  <c r="M90" i="102"/>
  <c r="P89" i="102"/>
  <c r="C89" i="102"/>
  <c r="F88" i="102"/>
  <c r="I87" i="102"/>
  <c r="G90" i="102"/>
  <c r="M89" i="102"/>
  <c r="P88" i="102"/>
  <c r="D88" i="102"/>
  <c r="G87" i="102"/>
  <c r="X87" i="102"/>
  <c r="L88" i="102"/>
  <c r="D89" i="102"/>
  <c r="AA89" i="102"/>
  <c r="O90" i="102"/>
  <c r="V94" i="102"/>
  <c r="J95" i="102"/>
  <c r="AG95" i="102"/>
  <c r="Z96" i="102"/>
  <c r="L97" i="102"/>
  <c r="I10" i="105"/>
  <c r="M12" i="105"/>
  <c r="D13" i="105"/>
  <c r="K17" i="105"/>
  <c r="M18" i="105"/>
  <c r="Y24" i="105"/>
  <c r="AH25" i="105"/>
  <c r="V26" i="105"/>
  <c r="AA27" i="105"/>
  <c r="AH31" i="105"/>
  <c r="AC32" i="105"/>
  <c r="AA33" i="105"/>
  <c r="AD34" i="105"/>
  <c r="AD55" i="105"/>
  <c r="V55" i="105"/>
  <c r="AD54" i="105"/>
  <c r="V54" i="105"/>
  <c r="AD53" i="105"/>
  <c r="V53" i="105"/>
  <c r="AD52" i="105"/>
  <c r="V52" i="105"/>
  <c r="AC55" i="105"/>
  <c r="AH54" i="105"/>
  <c r="Y54" i="105"/>
  <c r="AC53" i="105"/>
  <c r="AH52" i="105"/>
  <c r="Y52" i="105"/>
  <c r="AA55" i="105"/>
  <c r="AB54" i="105"/>
  <c r="AB53" i="105"/>
  <c r="AC52" i="105"/>
  <c r="AB55" i="105"/>
  <c r="AJ54" i="105"/>
  <c r="X54" i="105"/>
  <c r="AG53" i="105"/>
  <c r="U53" i="105"/>
  <c r="AB52" i="105"/>
  <c r="AH50" i="105"/>
  <c r="AJ55" i="105"/>
  <c r="Y55" i="105"/>
  <c r="AG54" i="105"/>
  <c r="U54" i="105"/>
  <c r="AE53" i="105"/>
  <c r="Z52" i="105"/>
  <c r="AI52" i="105"/>
  <c r="AI53" i="105"/>
  <c r="AI54" i="105"/>
  <c r="AH55" i="105"/>
  <c r="M73" i="105"/>
  <c r="J74" i="105"/>
  <c r="C75" i="105"/>
  <c r="Y151" i="100"/>
  <c r="AG151" i="100"/>
  <c r="AO151" i="100"/>
  <c r="AA158" i="100"/>
  <c r="AI158" i="100"/>
  <c r="AC165" i="100"/>
  <c r="AK165" i="100"/>
  <c r="AE172" i="100"/>
  <c r="AM172" i="100"/>
  <c r="Y183" i="100"/>
  <c r="AG183" i="100"/>
  <c r="AO183" i="100"/>
  <c r="AA190" i="100"/>
  <c r="AI190" i="100"/>
  <c r="AC197" i="100"/>
  <c r="AK197" i="100"/>
  <c r="R198" i="100"/>
  <c r="AM198" i="100" s="1"/>
  <c r="J199" i="100"/>
  <c r="AE201" i="100" s="1"/>
  <c r="Y203" i="100"/>
  <c r="AG203" i="100"/>
  <c r="AC205" i="100"/>
  <c r="AK205" i="100"/>
  <c r="AA6" i="111"/>
  <c r="AI6" i="111"/>
  <c r="W10" i="111"/>
  <c r="AE10" i="111"/>
  <c r="AH18" i="111"/>
  <c r="AE40" i="111"/>
  <c r="AH47" i="111"/>
  <c r="AE56" i="111"/>
  <c r="AE62" i="111"/>
  <c r="Y64" i="111"/>
  <c r="AG64" i="111"/>
  <c r="R34" i="102"/>
  <c r="J34" i="102"/>
  <c r="R33" i="102"/>
  <c r="J33" i="102"/>
  <c r="R32" i="102"/>
  <c r="J32" i="102"/>
  <c r="R31" i="102"/>
  <c r="J31" i="102"/>
  <c r="N34" i="102"/>
  <c r="E34" i="102"/>
  <c r="I33" i="102"/>
  <c r="N32" i="102"/>
  <c r="E32" i="102"/>
  <c r="I31" i="102"/>
  <c r="P29" i="102"/>
  <c r="O34" i="102"/>
  <c r="D34" i="102"/>
  <c r="O33" i="102"/>
  <c r="E33" i="102"/>
  <c r="P32" i="102"/>
  <c r="F32" i="102"/>
  <c r="P31" i="102"/>
  <c r="F31" i="102"/>
  <c r="L34" i="102"/>
  <c r="M33" i="102"/>
  <c r="C33" i="102"/>
  <c r="M32" i="102"/>
  <c r="C32" i="102"/>
  <c r="N31" i="102"/>
  <c r="D31" i="102"/>
  <c r="M31" i="102"/>
  <c r="I32" i="102"/>
  <c r="F33" i="102"/>
  <c r="P34" i="102"/>
  <c r="R48" i="102"/>
  <c r="J48" i="102"/>
  <c r="R47" i="102"/>
  <c r="J47" i="102"/>
  <c r="R46" i="102"/>
  <c r="J46" i="102"/>
  <c r="R45" i="102"/>
  <c r="J45" i="102"/>
  <c r="O48" i="102"/>
  <c r="F48" i="102"/>
  <c r="K47" i="102"/>
  <c r="O46" i="102"/>
  <c r="F46" i="102"/>
  <c r="K45" i="102"/>
  <c r="K48" i="102"/>
  <c r="L47" i="102"/>
  <c r="L46" i="102"/>
  <c r="M45" i="102"/>
  <c r="C45" i="102"/>
  <c r="H48" i="102"/>
  <c r="H47" i="102"/>
  <c r="I46" i="102"/>
  <c r="I45" i="102"/>
  <c r="P43" i="102"/>
  <c r="N45" i="102"/>
  <c r="C46" i="102"/>
  <c r="P46" i="102"/>
  <c r="E47" i="102"/>
  <c r="Q47" i="102"/>
  <c r="G48" i="102"/>
  <c r="AA59" i="102"/>
  <c r="X60" i="102"/>
  <c r="AH61" i="102"/>
  <c r="AB10" i="105"/>
  <c r="W11" i="105"/>
  <c r="AH12" i="105"/>
  <c r="N27" i="105"/>
  <c r="F27" i="105"/>
  <c r="N26" i="105"/>
  <c r="F26" i="105"/>
  <c r="N25" i="105"/>
  <c r="F25" i="105"/>
  <c r="N24" i="105"/>
  <c r="F24" i="105"/>
  <c r="Q27" i="105"/>
  <c r="H27" i="105"/>
  <c r="L26" i="105"/>
  <c r="C26" i="105"/>
  <c r="Q25" i="105"/>
  <c r="H25" i="105"/>
  <c r="L24" i="105"/>
  <c r="C24" i="105"/>
  <c r="I27" i="105"/>
  <c r="I26" i="105"/>
  <c r="J25" i="105"/>
  <c r="J24" i="105"/>
  <c r="P22" i="105"/>
  <c r="P27" i="105"/>
  <c r="E27" i="105"/>
  <c r="Q26" i="105"/>
  <c r="G26" i="105"/>
  <c r="R25" i="105"/>
  <c r="G25" i="105"/>
  <c r="R24" i="105"/>
  <c r="H24" i="105"/>
  <c r="M24" i="105"/>
  <c r="I25" i="105"/>
  <c r="D26" i="105"/>
  <c r="R26" i="105"/>
  <c r="M27" i="105"/>
  <c r="L41" i="105"/>
  <c r="D41" i="105"/>
  <c r="L40" i="105"/>
  <c r="D40" i="105"/>
  <c r="L39" i="105"/>
  <c r="D39" i="105"/>
  <c r="L38" i="105"/>
  <c r="D38" i="105"/>
  <c r="Q41" i="105"/>
  <c r="H41" i="105"/>
  <c r="M40" i="105"/>
  <c r="C40" i="105"/>
  <c r="Q39" i="105"/>
  <c r="H39" i="105"/>
  <c r="M38" i="105"/>
  <c r="C38" i="105"/>
  <c r="I41" i="105"/>
  <c r="I40" i="105"/>
  <c r="J39" i="105"/>
  <c r="J38" i="105"/>
  <c r="P36" i="105"/>
  <c r="M41" i="105"/>
  <c r="H40" i="105"/>
  <c r="P39" i="105"/>
  <c r="E39" i="105"/>
  <c r="N38" i="105"/>
  <c r="J41" i="105"/>
  <c r="Q40" i="105"/>
  <c r="F40" i="105"/>
  <c r="N39" i="105"/>
  <c r="I38" i="105"/>
  <c r="O38" i="105"/>
  <c r="M39" i="105"/>
  <c r="N40" i="105"/>
  <c r="N41" i="105"/>
  <c r="U52" i="105"/>
  <c r="AJ52" i="105"/>
  <c r="W53" i="105"/>
  <c r="AJ53" i="105"/>
  <c r="U55" i="105"/>
  <c r="AI55" i="105"/>
  <c r="R74" i="105"/>
  <c r="F75" i="105"/>
  <c r="W52" i="105"/>
  <c r="X53" i="105"/>
  <c r="W54" i="105"/>
  <c r="W55" i="105"/>
  <c r="L75" i="105"/>
  <c r="I76" i="105"/>
  <c r="AK24" i="111"/>
  <c r="AB30" i="111"/>
  <c r="AJ30" i="111"/>
  <c r="AK32" i="111"/>
  <c r="W42" i="111"/>
  <c r="AJ43" i="111"/>
  <c r="AB43" i="111"/>
  <c r="AC63" i="111"/>
  <c r="AK63" i="111"/>
  <c r="AJ62" i="102"/>
  <c r="AB62" i="102"/>
  <c r="AJ61" i="102"/>
  <c r="AB61" i="102"/>
  <c r="AJ60" i="102"/>
  <c r="AB60" i="102"/>
  <c r="AJ59" i="102"/>
  <c r="AB59" i="102"/>
  <c r="AH57" i="102"/>
  <c r="AA62" i="102"/>
  <c r="AF61" i="102"/>
  <c r="W61" i="102"/>
  <c r="AA60" i="102"/>
  <c r="AF59" i="102"/>
  <c r="W59" i="102"/>
  <c r="AE62" i="102"/>
  <c r="U62" i="102"/>
  <c r="AE61" i="102"/>
  <c r="U61" i="102"/>
  <c r="AF60" i="102"/>
  <c r="V60" i="102"/>
  <c r="AG59" i="102"/>
  <c r="V59" i="102"/>
  <c r="AC62" i="102"/>
  <c r="AC61" i="102"/>
  <c r="AD60" i="102"/>
  <c r="AD59" i="102"/>
  <c r="AE59" i="102"/>
  <c r="Z60" i="102"/>
  <c r="X61" i="102"/>
  <c r="AG62" i="102"/>
  <c r="AF13" i="105"/>
  <c r="X13" i="105"/>
  <c r="AF12" i="105"/>
  <c r="X12" i="105"/>
  <c r="AF11" i="105"/>
  <c r="X11" i="105"/>
  <c r="AF10" i="105"/>
  <c r="X10" i="105"/>
  <c r="AJ13" i="105"/>
  <c r="AA13" i="105"/>
  <c r="AE12" i="105"/>
  <c r="V12" i="105"/>
  <c r="AJ11" i="105"/>
  <c r="AA11" i="105"/>
  <c r="AE10" i="105"/>
  <c r="V10" i="105"/>
  <c r="AH8" i="105"/>
  <c r="AH13" i="105"/>
  <c r="W13" i="105"/>
  <c r="AI12" i="105"/>
  <c r="Y12" i="105"/>
  <c r="AI11" i="105"/>
  <c r="Y11" i="105"/>
  <c r="AJ10" i="105"/>
  <c r="Z10" i="105"/>
  <c r="AE13" i="105"/>
  <c r="U13" i="105"/>
  <c r="AG12" i="105"/>
  <c r="U12" i="105"/>
  <c r="AG11" i="105"/>
  <c r="V11" i="105"/>
  <c r="AH10" i="105"/>
  <c r="W10" i="105"/>
  <c r="AD10" i="105"/>
  <c r="AB11" i="105"/>
  <c r="W12" i="105"/>
  <c r="AG13" i="105"/>
  <c r="P40" i="105"/>
  <c r="P41" i="105"/>
  <c r="X52" i="105"/>
  <c r="Y53" i="105"/>
  <c r="Z54" i="105"/>
  <c r="X55" i="105"/>
  <c r="R75" i="105"/>
  <c r="AA54" i="105"/>
  <c r="Z55" i="105"/>
  <c r="P76" i="105"/>
  <c r="H76" i="105"/>
  <c r="P75" i="105"/>
  <c r="H75" i="105"/>
  <c r="P74" i="105"/>
  <c r="H74" i="105"/>
  <c r="P73" i="105"/>
  <c r="H73" i="105"/>
  <c r="P71" i="105"/>
  <c r="O76" i="105"/>
  <c r="F76" i="105"/>
  <c r="K75" i="105"/>
  <c r="O74" i="105"/>
  <c r="F74" i="105"/>
  <c r="K73" i="105"/>
  <c r="N76" i="105"/>
  <c r="D76" i="105"/>
  <c r="O75" i="105"/>
  <c r="E75" i="105"/>
  <c r="Q74" i="105"/>
  <c r="E74" i="105"/>
  <c r="Q73" i="105"/>
  <c r="F73" i="105"/>
  <c r="M76" i="105"/>
  <c r="C76" i="105"/>
  <c r="N75" i="105"/>
  <c r="D75" i="105"/>
  <c r="N74" i="105"/>
  <c r="D74" i="105"/>
  <c r="O73" i="105"/>
  <c r="E73" i="105"/>
  <c r="E76" i="105"/>
  <c r="I75" i="105"/>
  <c r="L74" i="105"/>
  <c r="R73" i="105"/>
  <c r="C73" i="105"/>
  <c r="R76" i="105"/>
  <c r="G75" i="105"/>
  <c r="K74" i="105"/>
  <c r="N73" i="105"/>
  <c r="K76" i="105"/>
  <c r="Q75" i="105"/>
  <c r="G74" i="105"/>
  <c r="J73" i="105"/>
  <c r="J76" i="105"/>
  <c r="M75" i="105"/>
  <c r="C74" i="105"/>
  <c r="I73" i="105"/>
  <c r="G76" i="105"/>
  <c r="J75" i="105"/>
  <c r="M74" i="105"/>
  <c r="D73" i="105"/>
  <c r="Q76" i="105"/>
  <c r="AE52" i="105"/>
  <c r="AA53" i="105"/>
  <c r="AC54" i="105"/>
  <c r="AE55" i="105"/>
  <c r="AE148" i="100"/>
  <c r="AM148" i="100"/>
  <c r="Y159" i="100"/>
  <c r="AG159" i="100"/>
  <c r="AO159" i="100"/>
  <c r="AA166" i="100"/>
  <c r="AI166" i="100"/>
  <c r="AC173" i="100"/>
  <c r="AK173" i="100"/>
  <c r="AE180" i="100"/>
  <c r="AM180" i="100"/>
  <c r="Y191" i="100"/>
  <c r="AG191" i="100"/>
  <c r="AO191" i="100"/>
  <c r="AI197" i="100"/>
  <c r="AE200" i="100"/>
  <c r="AM200" i="100"/>
  <c r="AA206" i="100"/>
  <c r="AI206" i="100"/>
  <c r="Z7" i="111"/>
  <c r="AH7" i="111"/>
  <c r="AB15" i="111"/>
  <c r="Y24" i="111"/>
  <c r="X28" i="111"/>
  <c r="AG32" i="111"/>
  <c r="Z43" i="111"/>
  <c r="AC45" i="111"/>
  <c r="Z62" i="111"/>
  <c r="AH62" i="111"/>
  <c r="Y63" i="111"/>
  <c r="K31" i="102"/>
  <c r="G32" i="102"/>
  <c r="P33" i="102"/>
  <c r="K34" i="102"/>
  <c r="H45" i="102"/>
  <c r="M46" i="102"/>
  <c r="C47" i="102"/>
  <c r="O47" i="102"/>
  <c r="D48" i="102"/>
  <c r="Q48" i="102"/>
  <c r="Y59" i="102"/>
  <c r="U60" i="102"/>
  <c r="AH60" i="102"/>
  <c r="AD61" i="102"/>
  <c r="Y62" i="102"/>
  <c r="AJ104" i="102"/>
  <c r="AB104" i="102"/>
  <c r="AJ103" i="102"/>
  <c r="AB103" i="102"/>
  <c r="AJ102" i="102"/>
  <c r="AB102" i="102"/>
  <c r="AJ101" i="102"/>
  <c r="AB101" i="102"/>
  <c r="AH99" i="102"/>
  <c r="AE104" i="102"/>
  <c r="V104" i="102"/>
  <c r="AI103" i="102"/>
  <c r="Z103" i="102"/>
  <c r="AE102" i="102"/>
  <c r="V102" i="102"/>
  <c r="AI101" i="102"/>
  <c r="Z101" i="102"/>
  <c r="AD104" i="102"/>
  <c r="AE103" i="102"/>
  <c r="U103" i="102"/>
  <c r="AF102" i="102"/>
  <c r="U102" i="102"/>
  <c r="AF101" i="102"/>
  <c r="V101" i="102"/>
  <c r="AA104" i="102"/>
  <c r="AC103" i="102"/>
  <c r="AC102" i="102"/>
  <c r="AD101" i="102"/>
  <c r="AE101" i="102"/>
  <c r="Z102" i="102"/>
  <c r="W103" i="102"/>
  <c r="AG104" i="102"/>
  <c r="Y10" i="105"/>
  <c r="AH11" i="105"/>
  <c r="AC12" i="105"/>
  <c r="Z13" i="105"/>
  <c r="AJ20" i="105"/>
  <c r="AB20" i="105"/>
  <c r="AJ19" i="105"/>
  <c r="AB19" i="105"/>
  <c r="AJ18" i="105"/>
  <c r="AB18" i="105"/>
  <c r="AJ17" i="105"/>
  <c r="AB17" i="105"/>
  <c r="AH15" i="105"/>
  <c r="AF20" i="105"/>
  <c r="W20" i="105"/>
  <c r="AA19" i="105"/>
  <c r="AF18" i="105"/>
  <c r="W18" i="105"/>
  <c r="AA17" i="105"/>
  <c r="AA20" i="105"/>
  <c r="AC19" i="105"/>
  <c r="AC18" i="105"/>
  <c r="AD17" i="105"/>
  <c r="AI20" i="105"/>
  <c r="Y20" i="105"/>
  <c r="AI19" i="105"/>
  <c r="Y19" i="105"/>
  <c r="Z18" i="105"/>
  <c r="Z17" i="105"/>
  <c r="AF17" i="105"/>
  <c r="AA18" i="105"/>
  <c r="W19" i="105"/>
  <c r="AG20" i="105"/>
  <c r="I24" i="105"/>
  <c r="D25" i="105"/>
  <c r="O26" i="105"/>
  <c r="K27" i="105"/>
  <c r="H38" i="105"/>
  <c r="I39" i="105"/>
  <c r="J40" i="105"/>
  <c r="G41" i="105"/>
  <c r="L55" i="105"/>
  <c r="D55" i="105"/>
  <c r="L54" i="105"/>
  <c r="D54" i="105"/>
  <c r="L53" i="105"/>
  <c r="D53" i="105"/>
  <c r="L52" i="105"/>
  <c r="D52" i="105"/>
  <c r="R55" i="105"/>
  <c r="I55" i="105"/>
  <c r="N54" i="105"/>
  <c r="E54" i="105"/>
  <c r="R53" i="105"/>
  <c r="I53" i="105"/>
  <c r="N52" i="105"/>
  <c r="E52" i="105"/>
  <c r="O55" i="105"/>
  <c r="E55" i="105"/>
  <c r="P54" i="105"/>
  <c r="F54" i="105"/>
  <c r="P53" i="105"/>
  <c r="F53" i="105"/>
  <c r="Q52" i="105"/>
  <c r="G52" i="105"/>
  <c r="N55" i="105"/>
  <c r="J54" i="105"/>
  <c r="G53" i="105"/>
  <c r="O52" i="105"/>
  <c r="K55" i="105"/>
  <c r="H54" i="105"/>
  <c r="O53" i="105"/>
  <c r="C53" i="105"/>
  <c r="K52" i="105"/>
  <c r="P50" i="105"/>
  <c r="P52" i="105"/>
  <c r="AG52" i="105"/>
  <c r="N53" i="105"/>
  <c r="AH53" i="105"/>
  <c r="O54" i="105"/>
  <c r="AF54" i="105"/>
  <c r="P55" i="105"/>
  <c r="AG55" i="105"/>
  <c r="L73" i="105"/>
  <c r="I74" i="105"/>
  <c r="AB18" i="111"/>
  <c r="AJ18" i="111"/>
  <c r="Z24" i="111"/>
  <c r="AH24" i="111"/>
  <c r="AC25" i="111"/>
  <c r="AH30" i="111"/>
  <c r="Y45" i="111"/>
  <c r="AG45" i="111"/>
  <c r="X48" i="111"/>
  <c r="AB52" i="111"/>
  <c r="AB61" i="111"/>
  <c r="AJ61" i="111"/>
  <c r="Z63" i="111"/>
  <c r="AH63" i="111"/>
  <c r="AC64" i="111"/>
  <c r="G59" i="102"/>
  <c r="Q59" i="102"/>
  <c r="F60" i="102"/>
  <c r="Q60" i="102"/>
  <c r="F61" i="102"/>
  <c r="P61" i="102"/>
  <c r="E62" i="102"/>
  <c r="G80" i="102"/>
  <c r="Q80" i="102"/>
  <c r="G81" i="102"/>
  <c r="Q81" i="102"/>
  <c r="E82" i="102"/>
  <c r="P82" i="102"/>
  <c r="E83" i="102"/>
  <c r="Y38" i="105"/>
  <c r="AJ38" i="105"/>
  <c r="AA39" i="105"/>
  <c r="AE40" i="105"/>
  <c r="X41" i="105"/>
  <c r="L69" i="105"/>
  <c r="D69" i="105"/>
  <c r="L68" i="105"/>
  <c r="D68" i="105"/>
  <c r="L67" i="105"/>
  <c r="D67" i="105"/>
  <c r="L66" i="105"/>
  <c r="D66" i="105"/>
  <c r="J69" i="105"/>
  <c r="O68" i="105"/>
  <c r="F68" i="105"/>
  <c r="J67" i="105"/>
  <c r="O66" i="105"/>
  <c r="F66" i="105"/>
  <c r="K69" i="105"/>
  <c r="K68" i="105"/>
  <c r="M67" i="105"/>
  <c r="M66" i="105"/>
  <c r="I69" i="105"/>
  <c r="J68" i="105"/>
  <c r="K67" i="105"/>
  <c r="K66" i="105"/>
  <c r="J66" i="105"/>
  <c r="G67" i="105"/>
  <c r="C68" i="105"/>
  <c r="Q68" i="105"/>
  <c r="N69" i="105"/>
  <c r="U73" i="105"/>
  <c r="AI73" i="105"/>
  <c r="AE74" i="105"/>
  <c r="Y75" i="105"/>
  <c r="V76" i="105"/>
  <c r="AI76" i="105"/>
  <c r="Z80" i="105"/>
  <c r="X81" i="105"/>
  <c r="AJ81" i="105"/>
  <c r="AG82" i="105"/>
  <c r="E87" i="105"/>
  <c r="R87" i="105"/>
  <c r="AG87" i="105"/>
  <c r="N88" i="105"/>
  <c r="AD88" i="105"/>
  <c r="I89" i="105"/>
  <c r="AA89" i="105"/>
  <c r="E90" i="105"/>
  <c r="U90" i="105"/>
  <c r="AJ90" i="105"/>
  <c r="AI94" i="105"/>
  <c r="Y95" i="105"/>
  <c r="AF96" i="105"/>
  <c r="U97" i="105"/>
  <c r="AC101" i="105"/>
  <c r="AA102" i="105"/>
  <c r="AG96" i="105"/>
  <c r="W97" i="105"/>
  <c r="AH104" i="105"/>
  <c r="Z104" i="105"/>
  <c r="AH103" i="105"/>
  <c r="Z103" i="105"/>
  <c r="AH102" i="105"/>
  <c r="Z102" i="105"/>
  <c r="AH101" i="105"/>
  <c r="Z101" i="105"/>
  <c r="AC104" i="105"/>
  <c r="AG103" i="105"/>
  <c r="X103" i="105"/>
  <c r="AC102" i="105"/>
  <c r="AG101" i="105"/>
  <c r="X101" i="105"/>
  <c r="AE104" i="105"/>
  <c r="U104" i="105"/>
  <c r="AE103" i="105"/>
  <c r="U103" i="105"/>
  <c r="AF102" i="105"/>
  <c r="V102" i="105"/>
  <c r="AF101" i="105"/>
  <c r="V101" i="105"/>
  <c r="AD104" i="105"/>
  <c r="AD103" i="105"/>
  <c r="AE102" i="105"/>
  <c r="U102" i="105"/>
  <c r="AE101" i="105"/>
  <c r="U101" i="105"/>
  <c r="AJ104" i="105"/>
  <c r="Y104" i="105"/>
  <c r="AG104" i="105"/>
  <c r="W104" i="105"/>
  <c r="AI103" i="105"/>
  <c r="W103" i="105"/>
  <c r="AI102" i="105"/>
  <c r="X102" i="105"/>
  <c r="AJ101" i="105"/>
  <c r="Y101" i="105"/>
  <c r="AH99" i="105"/>
  <c r="AD101" i="105"/>
  <c r="AB102" i="105"/>
  <c r="Y103" i="105"/>
  <c r="M43" i="81"/>
  <c r="AH42" i="111"/>
  <c r="Y56" i="111"/>
  <c r="AG56" i="111"/>
  <c r="AB63" i="111"/>
  <c r="R62" i="102"/>
  <c r="J62" i="102"/>
  <c r="R61" i="102"/>
  <c r="J61" i="102"/>
  <c r="R60" i="102"/>
  <c r="J60" i="102"/>
  <c r="R59" i="102"/>
  <c r="J59" i="102"/>
  <c r="P62" i="102"/>
  <c r="G62" i="102"/>
  <c r="L61" i="102"/>
  <c r="C61" i="102"/>
  <c r="P60" i="102"/>
  <c r="G60" i="102"/>
  <c r="L59" i="102"/>
  <c r="C59" i="102"/>
  <c r="I59" i="102"/>
  <c r="I60" i="102"/>
  <c r="H61" i="102"/>
  <c r="H62" i="102"/>
  <c r="N83" i="102"/>
  <c r="F83" i="102"/>
  <c r="N82" i="102"/>
  <c r="F82" i="102"/>
  <c r="N81" i="102"/>
  <c r="F81" i="102"/>
  <c r="N80" i="102"/>
  <c r="F80" i="102"/>
  <c r="M83" i="102"/>
  <c r="D83" i="102"/>
  <c r="R82" i="102"/>
  <c r="I82" i="102"/>
  <c r="M81" i="102"/>
  <c r="D81" i="102"/>
  <c r="R80" i="102"/>
  <c r="I80" i="102"/>
  <c r="P78" i="102"/>
  <c r="J80" i="102"/>
  <c r="I81" i="102"/>
  <c r="H82" i="102"/>
  <c r="H83" i="102"/>
  <c r="R83" i="102"/>
  <c r="AD41" i="105"/>
  <c r="V41" i="105"/>
  <c r="AD40" i="105"/>
  <c r="V40" i="105"/>
  <c r="AD39" i="105"/>
  <c r="V39" i="105"/>
  <c r="AD38" i="105"/>
  <c r="V38" i="105"/>
  <c r="AB41" i="105"/>
  <c r="AG40" i="105"/>
  <c r="X40" i="105"/>
  <c r="AB39" i="105"/>
  <c r="AG38" i="105"/>
  <c r="X38" i="105"/>
  <c r="AF41" i="105"/>
  <c r="U41" i="105"/>
  <c r="AF40" i="105"/>
  <c r="U40" i="105"/>
  <c r="AG39" i="105"/>
  <c r="W39" i="105"/>
  <c r="AH38" i="105"/>
  <c r="W38" i="105"/>
  <c r="AA38" i="105"/>
  <c r="AE39" i="105"/>
  <c r="W40" i="105"/>
  <c r="AI40" i="105"/>
  <c r="Z41" i="105"/>
  <c r="P66" i="105"/>
  <c r="I67" i="105"/>
  <c r="G68" i="105"/>
  <c r="C69" i="105"/>
  <c r="P69" i="105"/>
  <c r="X73" i="105"/>
  <c r="U74" i="105"/>
  <c r="AG74" i="105"/>
  <c r="AD75" i="105"/>
  <c r="AD83" i="105"/>
  <c r="V83" i="105"/>
  <c r="AD82" i="105"/>
  <c r="V82" i="105"/>
  <c r="AD81" i="105"/>
  <c r="V81" i="105"/>
  <c r="AD80" i="105"/>
  <c r="V80" i="105"/>
  <c r="AF83" i="105"/>
  <c r="W83" i="105"/>
  <c r="AJ82" i="105"/>
  <c r="AA82" i="105"/>
  <c r="AF81" i="105"/>
  <c r="W81" i="105"/>
  <c r="AJ80" i="105"/>
  <c r="AA80" i="105"/>
  <c r="AE83" i="105"/>
  <c r="AF82" i="105"/>
  <c r="U82" i="105"/>
  <c r="AG81" i="105"/>
  <c r="U81" i="105"/>
  <c r="AG80" i="105"/>
  <c r="W80" i="105"/>
  <c r="AC83" i="105"/>
  <c r="AE82" i="105"/>
  <c r="AE81" i="105"/>
  <c r="AF80" i="105"/>
  <c r="U80" i="105"/>
  <c r="AC80" i="105"/>
  <c r="Z81" i="105"/>
  <c r="W82" i="105"/>
  <c r="AI82" i="105"/>
  <c r="AG83" i="105"/>
  <c r="G87" i="105"/>
  <c r="V87" i="105"/>
  <c r="D88" i="105"/>
  <c r="R88" i="105"/>
  <c r="AF88" i="105"/>
  <c r="N89" i="105"/>
  <c r="AC89" i="105"/>
  <c r="Y90" i="105"/>
  <c r="X94" i="105"/>
  <c r="AC95" i="105"/>
  <c r="AH96" i="105"/>
  <c r="AI101" i="105"/>
  <c r="AD102" i="105"/>
  <c r="AA103" i="105"/>
  <c r="V104" i="105"/>
  <c r="X87" i="105"/>
  <c r="U88" i="105"/>
  <c r="AG88" i="105"/>
  <c r="AD89" i="105"/>
  <c r="AA90" i="105"/>
  <c r="AD97" i="105"/>
  <c r="V97" i="105"/>
  <c r="AD96" i="105"/>
  <c r="V96" i="105"/>
  <c r="AD95" i="105"/>
  <c r="V95" i="105"/>
  <c r="AD94" i="105"/>
  <c r="V94" i="105"/>
  <c r="AG97" i="105"/>
  <c r="X97" i="105"/>
  <c r="AB96" i="105"/>
  <c r="AG95" i="105"/>
  <c r="X95" i="105"/>
  <c r="AB94" i="105"/>
  <c r="AA97" i="105"/>
  <c r="AA96" i="105"/>
  <c r="AB95" i="105"/>
  <c r="AC94" i="105"/>
  <c r="AJ97" i="105"/>
  <c r="Z97" i="105"/>
  <c r="AJ96" i="105"/>
  <c r="Z96" i="105"/>
  <c r="AA95" i="105"/>
  <c r="AA94" i="105"/>
  <c r="AC97" i="105"/>
  <c r="AE96" i="105"/>
  <c r="AE95" i="105"/>
  <c r="AF94" i="105"/>
  <c r="U94" i="105"/>
  <c r="Y94" i="105"/>
  <c r="AF95" i="105"/>
  <c r="U96" i="105"/>
  <c r="AI96" i="105"/>
  <c r="AB97" i="105"/>
  <c r="AG102" i="105"/>
  <c r="AB103" i="105"/>
  <c r="X104" i="105"/>
  <c r="AH95" i="105"/>
  <c r="W96" i="105"/>
  <c r="AE97" i="105"/>
  <c r="AJ102" i="105"/>
  <c r="AC103" i="105"/>
  <c r="AA104" i="105"/>
  <c r="X96" i="105"/>
  <c r="AF97" i="105"/>
  <c r="W101" i="105"/>
  <c r="AF103" i="105"/>
  <c r="AB104" i="105"/>
  <c r="AH76" i="105"/>
  <c r="Z76" i="105"/>
  <c r="AH75" i="105"/>
  <c r="Z75" i="105"/>
  <c r="AH74" i="105"/>
  <c r="Z74" i="105"/>
  <c r="AH73" i="105"/>
  <c r="Z73" i="105"/>
  <c r="AJ76" i="105"/>
  <c r="AA76" i="105"/>
  <c r="AE75" i="105"/>
  <c r="V75" i="105"/>
  <c r="AJ74" i="105"/>
  <c r="AA74" i="105"/>
  <c r="AE73" i="105"/>
  <c r="V73" i="105"/>
  <c r="AH71" i="105"/>
  <c r="AB76" i="105"/>
  <c r="AB75" i="105"/>
  <c r="AC74" i="105"/>
  <c r="AC73" i="105"/>
  <c r="Y76" i="105"/>
  <c r="AA75" i="105"/>
  <c r="AB74" i="105"/>
  <c r="AB73" i="105"/>
  <c r="AF73" i="105"/>
  <c r="Y74" i="105"/>
  <c r="W75" i="105"/>
  <c r="AJ75" i="105"/>
  <c r="AF76" i="105"/>
  <c r="AB82" i="105"/>
  <c r="Y83" i="105"/>
  <c r="P90" i="105"/>
  <c r="H90" i="105"/>
  <c r="P89" i="105"/>
  <c r="H89" i="105"/>
  <c r="P88" i="105"/>
  <c r="H88" i="105"/>
  <c r="P87" i="105"/>
  <c r="H87" i="105"/>
  <c r="P85" i="105"/>
  <c r="Q90" i="105"/>
  <c r="G90" i="105"/>
  <c r="L89" i="105"/>
  <c r="C89" i="105"/>
  <c r="Q88" i="105"/>
  <c r="G88" i="105"/>
  <c r="L87" i="105"/>
  <c r="C87" i="105"/>
  <c r="L90" i="105"/>
  <c r="M89" i="105"/>
  <c r="M88" i="105"/>
  <c r="C88" i="105"/>
  <c r="N87" i="105"/>
  <c r="D87" i="105"/>
  <c r="K90" i="105"/>
  <c r="K89" i="105"/>
  <c r="L88" i="105"/>
  <c r="M87" i="105"/>
  <c r="O87" i="105"/>
  <c r="AD87" i="105"/>
  <c r="J88" i="105"/>
  <c r="AA88" i="105"/>
  <c r="F89" i="105"/>
  <c r="U89" i="105"/>
  <c r="C90" i="105"/>
  <c r="O90" i="105"/>
  <c r="AG94" i="105"/>
  <c r="U95" i="105"/>
  <c r="AJ95" i="105"/>
  <c r="Y96" i="105"/>
  <c r="AH97" i="105"/>
  <c r="AA101" i="105"/>
  <c r="W102" i="105"/>
  <c r="AJ103" i="105"/>
  <c r="AF104" i="105"/>
  <c r="J11" i="81"/>
  <c r="H11" i="81"/>
  <c r="D11" i="81"/>
  <c r="C11" i="81"/>
  <c r="G11" i="81"/>
  <c r="AH90" i="105"/>
  <c r="Z90" i="105"/>
  <c r="AH89" i="105"/>
  <c r="Z89" i="105"/>
  <c r="AH88" i="105"/>
  <c r="Z88" i="105"/>
  <c r="AH87" i="105"/>
  <c r="Z87" i="105"/>
  <c r="AB90" i="105"/>
  <c r="AF89" i="105"/>
  <c r="W89" i="105"/>
  <c r="AB88" i="105"/>
  <c r="AF87" i="105"/>
  <c r="W87" i="105"/>
  <c r="AI90" i="105"/>
  <c r="X90" i="105"/>
  <c r="AJ89" i="105"/>
  <c r="Y89" i="105"/>
  <c r="AJ88" i="105"/>
  <c r="Y88" i="105"/>
  <c r="AA87" i="105"/>
  <c r="AG90" i="105"/>
  <c r="W90" i="105"/>
  <c r="AI89" i="105"/>
  <c r="X89" i="105"/>
  <c r="AI88" i="105"/>
  <c r="X88" i="105"/>
  <c r="AJ87" i="105"/>
  <c r="Y87" i="105"/>
  <c r="AH85" i="105"/>
  <c r="AE87" i="105"/>
  <c r="AC88" i="105"/>
  <c r="V89" i="105"/>
  <c r="AF90" i="105"/>
  <c r="AH94" i="105"/>
  <c r="W95" i="105"/>
  <c r="AC96" i="105"/>
  <c r="AI97" i="105"/>
  <c r="AB101" i="105"/>
  <c r="Y102" i="105"/>
  <c r="AI104" i="105"/>
  <c r="J16" i="81"/>
  <c r="D16" i="81"/>
  <c r="E16" i="81"/>
  <c r="C16" i="81"/>
  <c r="H16" i="81"/>
  <c r="F40" i="81"/>
  <c r="D40" i="81"/>
  <c r="I40" i="81"/>
  <c r="J9" i="81"/>
  <c r="E9" i="81"/>
  <c r="J18" i="81"/>
  <c r="G18" i="81"/>
  <c r="K21" i="81"/>
  <c r="J23" i="81"/>
  <c r="C23" i="81"/>
  <c r="J27" i="81"/>
  <c r="H27" i="81"/>
  <c r="G29" i="81"/>
  <c r="E37" i="81"/>
  <c r="C40" i="81"/>
  <c r="H42" i="81"/>
  <c r="E46" i="81"/>
  <c r="H52" i="81"/>
  <c r="H55" i="81"/>
  <c r="I59" i="81"/>
  <c r="F59" i="81"/>
  <c r="H59" i="81" s="1"/>
  <c r="G62" i="81"/>
  <c r="F62" i="81"/>
  <c r="I62" i="81"/>
  <c r="J62" i="81" s="1"/>
  <c r="F69" i="81"/>
  <c r="D69" i="81"/>
  <c r="E69" i="81" s="1"/>
  <c r="I69" i="81"/>
  <c r="G69" i="81"/>
  <c r="H69" i="81" s="1"/>
  <c r="K80" i="81"/>
  <c r="G40" i="81"/>
  <c r="H40" i="81" s="1"/>
  <c r="I45" i="81"/>
  <c r="J45" i="81" s="1"/>
  <c r="D45" i="81"/>
  <c r="E45" i="81" s="1"/>
  <c r="L45" i="81"/>
  <c r="C45" i="81"/>
  <c r="I48" i="81"/>
  <c r="D48" i="81"/>
  <c r="L48" i="81"/>
  <c r="C48" i="81"/>
  <c r="M56" i="81"/>
  <c r="K79" i="81"/>
  <c r="J8" i="81"/>
  <c r="D8" i="81"/>
  <c r="J12" i="81"/>
  <c r="K12" i="81"/>
  <c r="J17" i="81"/>
  <c r="E17" i="81"/>
  <c r="E23" i="81"/>
  <c r="J26" i="81"/>
  <c r="G26" i="81"/>
  <c r="D27" i="81"/>
  <c r="K29" i="81"/>
  <c r="J31" i="81"/>
  <c r="C31" i="81"/>
  <c r="F48" i="81"/>
  <c r="H48" i="81" s="1"/>
  <c r="E52" i="81"/>
  <c r="M54" i="81"/>
  <c r="E59" i="81"/>
  <c r="D62" i="81"/>
  <c r="E62" i="81" s="1"/>
  <c r="J69" i="81"/>
  <c r="K69" i="81" s="1"/>
  <c r="H72" i="81"/>
  <c r="E76" i="81"/>
  <c r="J34" i="81"/>
  <c r="D34" i="81"/>
  <c r="C34" i="81"/>
  <c r="G34" i="81"/>
  <c r="F77" i="81"/>
  <c r="D77" i="81"/>
  <c r="J77" i="81"/>
  <c r="K77" i="81" s="1"/>
  <c r="I77" i="81"/>
  <c r="G77" i="81"/>
  <c r="J20" i="81"/>
  <c r="K20" i="81"/>
  <c r="J25" i="81"/>
  <c r="E25" i="81"/>
  <c r="E31" i="81"/>
  <c r="E34" i="81"/>
  <c r="J38" i="81"/>
  <c r="L40" i="81"/>
  <c r="M40" i="81" s="1"/>
  <c r="I43" i="81"/>
  <c r="F43" i="81"/>
  <c r="H43" i="81" s="1"/>
  <c r="G45" i="81"/>
  <c r="H45" i="81" s="1"/>
  <c r="I47" i="81"/>
  <c r="J47" i="81" s="1"/>
  <c r="D47" i="81"/>
  <c r="L47" i="81"/>
  <c r="M47" i="81" s="1"/>
  <c r="C47" i="81"/>
  <c r="G47" i="81"/>
  <c r="H47" i="81" s="1"/>
  <c r="F47" i="81"/>
  <c r="J52" i="81"/>
  <c r="F56" i="81"/>
  <c r="D56" i="81"/>
  <c r="I56" i="81"/>
  <c r="H58" i="81"/>
  <c r="M62" i="81"/>
  <c r="F68" i="81"/>
  <c r="J68" i="81"/>
  <c r="I68" i="81"/>
  <c r="G68" i="81"/>
  <c r="D70" i="81"/>
  <c r="C70" i="81"/>
  <c r="G70" i="81"/>
  <c r="H70" i="81" s="1"/>
  <c r="F70" i="81"/>
  <c r="K72" i="81"/>
  <c r="C77" i="81"/>
  <c r="H82" i="81"/>
  <c r="D86" i="81"/>
  <c r="C86" i="81"/>
  <c r="J86" i="81"/>
  <c r="I86" i="81"/>
  <c r="G86" i="81"/>
  <c r="F86" i="81"/>
  <c r="AD69" i="105"/>
  <c r="V69" i="105"/>
  <c r="AD68" i="105"/>
  <c r="V68" i="105"/>
  <c r="AD67" i="105"/>
  <c r="V67" i="105"/>
  <c r="AD66" i="105"/>
  <c r="V66" i="105"/>
  <c r="AE69" i="105"/>
  <c r="U69" i="105"/>
  <c r="AI68" i="105"/>
  <c r="Z68" i="105"/>
  <c r="AE67" i="105"/>
  <c r="U67" i="105"/>
  <c r="AI66" i="105"/>
  <c r="Z66" i="105"/>
  <c r="X66" i="105"/>
  <c r="AH66" i="105"/>
  <c r="X67" i="105"/>
  <c r="AH67" i="105"/>
  <c r="W68" i="105"/>
  <c r="AG68" i="105"/>
  <c r="W69" i="105"/>
  <c r="AG69" i="105"/>
  <c r="L83" i="105"/>
  <c r="D83" i="105"/>
  <c r="L82" i="105"/>
  <c r="D82" i="105"/>
  <c r="L81" i="105"/>
  <c r="D81" i="105"/>
  <c r="L80" i="105"/>
  <c r="D80" i="105"/>
  <c r="K83" i="105"/>
  <c r="P82" i="105"/>
  <c r="G82" i="105"/>
  <c r="K81" i="105"/>
  <c r="P80" i="105"/>
  <c r="G80" i="105"/>
  <c r="I80" i="105"/>
  <c r="H81" i="105"/>
  <c r="R81" i="105"/>
  <c r="H82" i="105"/>
  <c r="R82" i="105"/>
  <c r="G83" i="105"/>
  <c r="Q83" i="105"/>
  <c r="G8" i="81"/>
  <c r="K9" i="81"/>
  <c r="E12" i="81"/>
  <c r="H13" i="81"/>
  <c r="G17" i="81"/>
  <c r="K18" i="81"/>
  <c r="C20" i="81"/>
  <c r="E21" i="81"/>
  <c r="K23" i="81"/>
  <c r="C25" i="81"/>
  <c r="E26" i="81"/>
  <c r="K27" i="81"/>
  <c r="C29" i="81"/>
  <c r="G31" i="81"/>
  <c r="H34" i="81"/>
  <c r="M38" i="81"/>
  <c r="C43" i="81"/>
  <c r="K45" i="81"/>
  <c r="K48" i="81"/>
  <c r="D50" i="81"/>
  <c r="L50" i="81"/>
  <c r="M50" i="81" s="1"/>
  <c r="C50" i="81"/>
  <c r="G50" i="81"/>
  <c r="C56" i="81"/>
  <c r="L59" i="81"/>
  <c r="M59" i="81" s="1"/>
  <c r="I63" i="81"/>
  <c r="D63" i="81"/>
  <c r="L63" i="81"/>
  <c r="M63" i="81" s="1"/>
  <c r="C63" i="81"/>
  <c r="G63" i="81"/>
  <c r="F63" i="81"/>
  <c r="C68" i="81"/>
  <c r="I70" i="81"/>
  <c r="H74" i="81"/>
  <c r="W15" i="111"/>
  <c r="AE15" i="111"/>
  <c r="AA23" i="111"/>
  <c r="AI23" i="111"/>
  <c r="W27" i="111"/>
  <c r="AE27" i="111"/>
  <c r="AA31" i="111"/>
  <c r="AI31" i="111"/>
  <c r="W35" i="111"/>
  <c r="AE35" i="111"/>
  <c r="AA43" i="111"/>
  <c r="AI43" i="111"/>
  <c r="W47" i="111"/>
  <c r="AE47" i="111"/>
  <c r="AA51" i="111"/>
  <c r="AI51" i="111"/>
  <c r="W58" i="111"/>
  <c r="AE58" i="111"/>
  <c r="AA62" i="111"/>
  <c r="AI62" i="111"/>
  <c r="W66" i="111"/>
  <c r="AE66" i="111"/>
  <c r="R20" i="102"/>
  <c r="J20" i="102"/>
  <c r="R19" i="102"/>
  <c r="J19" i="102"/>
  <c r="R18" i="102"/>
  <c r="J18" i="102"/>
  <c r="R17" i="102"/>
  <c r="J17" i="102"/>
  <c r="H17" i="102"/>
  <c r="Q17" i="102"/>
  <c r="D18" i="102"/>
  <c r="M18" i="102"/>
  <c r="H19" i="102"/>
  <c r="Q19" i="102"/>
  <c r="D20" i="102"/>
  <c r="M20" i="102"/>
  <c r="AJ48" i="102"/>
  <c r="AB48" i="102"/>
  <c r="AJ47" i="102"/>
  <c r="AB47" i="102"/>
  <c r="AJ46" i="102"/>
  <c r="AB46" i="102"/>
  <c r="AJ45" i="102"/>
  <c r="AB45" i="102"/>
  <c r="AH43" i="102"/>
  <c r="V45" i="102"/>
  <c r="AE45" i="102"/>
  <c r="Z46" i="102"/>
  <c r="AI46" i="102"/>
  <c r="V47" i="102"/>
  <c r="AE47" i="102"/>
  <c r="Z48" i="102"/>
  <c r="AI48" i="102"/>
  <c r="N69" i="102"/>
  <c r="F69" i="102"/>
  <c r="N68" i="102"/>
  <c r="F68" i="102"/>
  <c r="N67" i="102"/>
  <c r="F67" i="102"/>
  <c r="N66" i="102"/>
  <c r="F66" i="102"/>
  <c r="H66" i="102"/>
  <c r="Q66" i="102"/>
  <c r="C67" i="102"/>
  <c r="L67" i="102"/>
  <c r="H68" i="102"/>
  <c r="Q68" i="102"/>
  <c r="C69" i="102"/>
  <c r="L69" i="102"/>
  <c r="P34" i="105"/>
  <c r="H34" i="105"/>
  <c r="L34" i="105"/>
  <c r="C34" i="105"/>
  <c r="R33" i="105"/>
  <c r="J33" i="105"/>
  <c r="R32" i="105"/>
  <c r="J32" i="105"/>
  <c r="R31" i="105"/>
  <c r="J31" i="105"/>
  <c r="H31" i="105"/>
  <c r="Q31" i="105"/>
  <c r="D32" i="105"/>
  <c r="M32" i="105"/>
  <c r="H33" i="105"/>
  <c r="Q33" i="105"/>
  <c r="E34" i="105"/>
  <c r="O34" i="105"/>
  <c r="P62" i="105"/>
  <c r="H62" i="105"/>
  <c r="P61" i="105"/>
  <c r="H61" i="105"/>
  <c r="P60" i="105"/>
  <c r="H60" i="105"/>
  <c r="P59" i="105"/>
  <c r="H59" i="105"/>
  <c r="P57" i="105"/>
  <c r="N62" i="105"/>
  <c r="E62" i="105"/>
  <c r="J61" i="105"/>
  <c r="N60" i="105"/>
  <c r="E60" i="105"/>
  <c r="J59" i="105"/>
  <c r="I59" i="105"/>
  <c r="I60" i="105"/>
  <c r="G61" i="105"/>
  <c r="R61" i="105"/>
  <c r="G62" i="105"/>
  <c r="R62" i="105"/>
  <c r="AH64" i="105"/>
  <c r="Y66" i="105"/>
  <c r="AJ66" i="105"/>
  <c r="Y67" i="105"/>
  <c r="AI67" i="105"/>
  <c r="X68" i="105"/>
  <c r="AH68" i="105"/>
  <c r="X69" i="105"/>
  <c r="AH69" i="105"/>
  <c r="P78" i="105"/>
  <c r="J80" i="105"/>
  <c r="I81" i="105"/>
  <c r="I82" i="105"/>
  <c r="H83" i="105"/>
  <c r="R83" i="105"/>
  <c r="P104" i="105"/>
  <c r="H104" i="105"/>
  <c r="P103" i="105"/>
  <c r="H103" i="105"/>
  <c r="P102" i="105"/>
  <c r="H102" i="105"/>
  <c r="P101" i="105"/>
  <c r="H101" i="105"/>
  <c r="P99" i="105"/>
  <c r="R104" i="105"/>
  <c r="I104" i="105"/>
  <c r="M103" i="105"/>
  <c r="D103" i="105"/>
  <c r="R102" i="105"/>
  <c r="I102" i="105"/>
  <c r="M101" i="105"/>
  <c r="D101" i="105"/>
  <c r="J101" i="105"/>
  <c r="J102" i="105"/>
  <c r="I103" i="105"/>
  <c r="G104" i="105"/>
  <c r="H8" i="81"/>
  <c r="J10" i="81"/>
  <c r="G10" i="81"/>
  <c r="G12" i="81"/>
  <c r="K13" i="81"/>
  <c r="J15" i="81"/>
  <c r="C15" i="81"/>
  <c r="H17" i="81"/>
  <c r="J19" i="81"/>
  <c r="H19" i="81"/>
  <c r="D20" i="81"/>
  <c r="G21" i="81"/>
  <c r="J24" i="81"/>
  <c r="D24" i="81"/>
  <c r="D25" i="81"/>
  <c r="H26" i="81"/>
  <c r="J28" i="81"/>
  <c r="K28" i="81"/>
  <c r="D29" i="81"/>
  <c r="H31" i="81"/>
  <c r="K34" i="81"/>
  <c r="M37" i="81"/>
  <c r="D43" i="81"/>
  <c r="G46" i="81"/>
  <c r="F46" i="81"/>
  <c r="I46" i="81"/>
  <c r="F50" i="81"/>
  <c r="J50" i="81" s="1"/>
  <c r="I53" i="81"/>
  <c r="J53" i="81" s="1"/>
  <c r="D53" i="81"/>
  <c r="E53" i="81" s="1"/>
  <c r="G53" i="81"/>
  <c r="H53" i="81" s="1"/>
  <c r="G56" i="81"/>
  <c r="D68" i="81"/>
  <c r="E68" i="81" s="1"/>
  <c r="J70" i="81"/>
  <c r="D78" i="81"/>
  <c r="C78" i="81"/>
  <c r="I78" i="81"/>
  <c r="K78" i="81" s="1"/>
  <c r="G78" i="81"/>
  <c r="F78" i="81"/>
  <c r="K61" i="81"/>
  <c r="K64" i="81"/>
  <c r="G76" i="81"/>
  <c r="H76" i="81" s="1"/>
  <c r="G84" i="81"/>
  <c r="H84" i="81" s="1"/>
  <c r="G85" i="81"/>
  <c r="H85" i="81" s="1"/>
  <c r="G92" i="81"/>
  <c r="H92" i="81" s="1"/>
  <c r="G93" i="81"/>
  <c r="H93" i="81" s="1"/>
  <c r="F94" i="81"/>
  <c r="G99" i="81"/>
  <c r="AD12" i="107"/>
  <c r="U13" i="107"/>
  <c r="AG13" i="107"/>
  <c r="AE27" i="107"/>
  <c r="W27" i="107"/>
  <c r="AE26" i="107"/>
  <c r="W26" i="107"/>
  <c r="AE25" i="107"/>
  <c r="W25" i="107"/>
  <c r="AE24" i="107"/>
  <c r="W24" i="107"/>
  <c r="AH27" i="107"/>
  <c r="Y27" i="107"/>
  <c r="AC26" i="107"/>
  <c r="AH25" i="107"/>
  <c r="Y25" i="107"/>
  <c r="AC24" i="107"/>
  <c r="AB27" i="107"/>
  <c r="AG26" i="107"/>
  <c r="X26" i="107"/>
  <c r="AB25" i="107"/>
  <c r="AG24" i="107"/>
  <c r="X24" i="107"/>
  <c r="AA24" i="107"/>
  <c r="AF25" i="107"/>
  <c r="Y26" i="107"/>
  <c r="AJ26" i="107"/>
  <c r="AC27" i="107"/>
  <c r="V38" i="107"/>
  <c r="AI38" i="107"/>
  <c r="AA39" i="107"/>
  <c r="AF40" i="107"/>
  <c r="X41" i="107"/>
  <c r="AJ41" i="107"/>
  <c r="D52" i="107"/>
  <c r="P52" i="107"/>
  <c r="I53" i="107"/>
  <c r="N54" i="107"/>
  <c r="F55" i="107"/>
  <c r="R55" i="107"/>
  <c r="M69" i="107"/>
  <c r="E69" i="107"/>
  <c r="M68" i="107"/>
  <c r="E68" i="107"/>
  <c r="M67" i="107"/>
  <c r="E67" i="107"/>
  <c r="M66" i="107"/>
  <c r="E66" i="107"/>
  <c r="N69" i="107"/>
  <c r="D69" i="107"/>
  <c r="R68" i="107"/>
  <c r="I68" i="107"/>
  <c r="N67" i="107"/>
  <c r="D67" i="107"/>
  <c r="R66" i="107"/>
  <c r="I66" i="107"/>
  <c r="P64" i="107"/>
  <c r="Q69" i="107"/>
  <c r="H69" i="107"/>
  <c r="L68" i="107"/>
  <c r="C68" i="107"/>
  <c r="Q67" i="107"/>
  <c r="H67" i="107"/>
  <c r="L66" i="107"/>
  <c r="C66" i="107"/>
  <c r="O69" i="107"/>
  <c r="F69" i="107"/>
  <c r="J68" i="107"/>
  <c r="O67" i="107"/>
  <c r="F67" i="107"/>
  <c r="J66" i="107"/>
  <c r="N66" i="107"/>
  <c r="J67" i="107"/>
  <c r="G68" i="107"/>
  <c r="C69" i="107"/>
  <c r="D80" i="107"/>
  <c r="Q80" i="107"/>
  <c r="P81" i="107"/>
  <c r="N82" i="107"/>
  <c r="J83" i="107"/>
  <c r="P48" i="105"/>
  <c r="H48" i="105"/>
  <c r="P47" i="105"/>
  <c r="H47" i="105"/>
  <c r="P46" i="105"/>
  <c r="H46" i="105"/>
  <c r="P45" i="105"/>
  <c r="H45" i="105"/>
  <c r="P43" i="105"/>
  <c r="I45" i="105"/>
  <c r="R45" i="105"/>
  <c r="D46" i="105"/>
  <c r="M46" i="105"/>
  <c r="I47" i="105"/>
  <c r="R47" i="105"/>
  <c r="D48" i="105"/>
  <c r="M48" i="105"/>
  <c r="AH62" i="105"/>
  <c r="Z62" i="105"/>
  <c r="AH61" i="105"/>
  <c r="Z61" i="105"/>
  <c r="AH60" i="105"/>
  <c r="Z60" i="105"/>
  <c r="AH59" i="105"/>
  <c r="Z59" i="105"/>
  <c r="U59" i="105"/>
  <c r="AD59" i="105"/>
  <c r="Y60" i="105"/>
  <c r="AI60" i="105"/>
  <c r="U61" i="105"/>
  <c r="AD61" i="105"/>
  <c r="Y62" i="105"/>
  <c r="AI62" i="105"/>
  <c r="L97" i="105"/>
  <c r="D97" i="105"/>
  <c r="L96" i="105"/>
  <c r="D96" i="105"/>
  <c r="L95" i="105"/>
  <c r="D95" i="105"/>
  <c r="L94" i="105"/>
  <c r="D94" i="105"/>
  <c r="H94" i="105"/>
  <c r="Q94" i="105"/>
  <c r="C95" i="105"/>
  <c r="M95" i="105"/>
  <c r="H96" i="105"/>
  <c r="Q96" i="105"/>
  <c r="C97" i="105"/>
  <c r="M97" i="105"/>
  <c r="D32" i="81"/>
  <c r="E33" i="81"/>
  <c r="D38" i="81"/>
  <c r="E38" i="81" s="1"/>
  <c r="K39" i="81"/>
  <c r="M39" i="81" s="1"/>
  <c r="F44" i="81"/>
  <c r="H44" i="81" s="1"/>
  <c r="D51" i="81"/>
  <c r="E51" i="81" s="1"/>
  <c r="D54" i="81"/>
  <c r="E54" i="81" s="1"/>
  <c r="K55" i="81"/>
  <c r="M55" i="81" s="1"/>
  <c r="F60" i="81"/>
  <c r="J60" i="81" s="1"/>
  <c r="C61" i="81"/>
  <c r="L61" i="81"/>
  <c r="C64" i="81"/>
  <c r="L64" i="81"/>
  <c r="M64" i="81" s="1"/>
  <c r="C73" i="81"/>
  <c r="I76" i="81"/>
  <c r="D80" i="81"/>
  <c r="E80" i="81" s="1"/>
  <c r="C81" i="81"/>
  <c r="I84" i="81"/>
  <c r="D88" i="81"/>
  <c r="E88" i="81" s="1"/>
  <c r="C89" i="81"/>
  <c r="I92" i="81"/>
  <c r="G94" i="81"/>
  <c r="G98" i="81"/>
  <c r="D103" i="81"/>
  <c r="E104" i="81"/>
  <c r="G106" i="81"/>
  <c r="D111" i="81"/>
  <c r="E112" i="81"/>
  <c r="G114" i="81"/>
  <c r="D119" i="81"/>
  <c r="E120" i="81"/>
  <c r="G122" i="81"/>
  <c r="G10" i="107"/>
  <c r="Q10" i="107"/>
  <c r="AB10" i="107"/>
  <c r="C11" i="107"/>
  <c r="L11" i="107"/>
  <c r="W11" i="107"/>
  <c r="AF11" i="107"/>
  <c r="H12" i="107"/>
  <c r="U12" i="107"/>
  <c r="AF12" i="107"/>
  <c r="V13" i="107"/>
  <c r="AI13" i="107"/>
  <c r="AH22" i="107"/>
  <c r="O24" i="107"/>
  <c r="AB24" i="107"/>
  <c r="G25" i="107"/>
  <c r="U25" i="107"/>
  <c r="AG25" i="107"/>
  <c r="K26" i="107"/>
  <c r="Z26" i="107"/>
  <c r="C27" i="107"/>
  <c r="P27" i="107"/>
  <c r="AD27" i="107"/>
  <c r="J38" i="107"/>
  <c r="Y38" i="107"/>
  <c r="AJ38" i="107"/>
  <c r="O39" i="107"/>
  <c r="AC39" i="107"/>
  <c r="G40" i="107"/>
  <c r="U40" i="107"/>
  <c r="AH40" i="107"/>
  <c r="Z41" i="107"/>
  <c r="F52" i="107"/>
  <c r="Q52" i="107"/>
  <c r="AF52" i="107"/>
  <c r="J53" i="107"/>
  <c r="X53" i="107"/>
  <c r="AJ53" i="107"/>
  <c r="O54" i="107"/>
  <c r="AB54" i="107"/>
  <c r="G55" i="107"/>
  <c r="U55" i="107"/>
  <c r="AG55" i="107"/>
  <c r="O66" i="107"/>
  <c r="K67" i="107"/>
  <c r="H68" i="107"/>
  <c r="G69" i="107"/>
  <c r="F80" i="107"/>
  <c r="R81" i="107"/>
  <c r="O82" i="107"/>
  <c r="L83" i="107"/>
  <c r="M42" i="81"/>
  <c r="K49" i="81"/>
  <c r="M49" i="81" s="1"/>
  <c r="K52" i="81"/>
  <c r="M52" i="81" s="1"/>
  <c r="F57" i="81"/>
  <c r="J57" i="81" s="1"/>
  <c r="M58" i="81"/>
  <c r="G60" i="81"/>
  <c r="H60" i="81" s="1"/>
  <c r="D61" i="81"/>
  <c r="E61" i="81" s="1"/>
  <c r="D64" i="81"/>
  <c r="D73" i="81"/>
  <c r="J76" i="81"/>
  <c r="D81" i="81"/>
  <c r="J84" i="81"/>
  <c r="I85" i="81"/>
  <c r="D89" i="81"/>
  <c r="J92" i="81"/>
  <c r="I93" i="81"/>
  <c r="K93" i="81" s="1"/>
  <c r="E103" i="81"/>
  <c r="E111" i="81"/>
  <c r="E119" i="81"/>
  <c r="M13" i="107"/>
  <c r="E13" i="107"/>
  <c r="M12" i="107"/>
  <c r="E12" i="107"/>
  <c r="N13" i="107"/>
  <c r="D13" i="107"/>
  <c r="R12" i="107"/>
  <c r="I12" i="107"/>
  <c r="P11" i="107"/>
  <c r="H11" i="107"/>
  <c r="P10" i="107"/>
  <c r="H10" i="107"/>
  <c r="P8" i="107"/>
  <c r="Q13" i="107"/>
  <c r="H13" i="107"/>
  <c r="I10" i="107"/>
  <c r="R10" i="107"/>
  <c r="AC10" i="107"/>
  <c r="D11" i="107"/>
  <c r="M11" i="107"/>
  <c r="X11" i="107"/>
  <c r="AG11" i="107"/>
  <c r="J12" i="107"/>
  <c r="V12" i="107"/>
  <c r="AG12" i="107"/>
  <c r="J13" i="107"/>
  <c r="X13" i="107"/>
  <c r="D24" i="107"/>
  <c r="P24" i="107"/>
  <c r="AD24" i="107"/>
  <c r="I25" i="107"/>
  <c r="V25" i="107"/>
  <c r="AI25" i="107"/>
  <c r="N26" i="107"/>
  <c r="AA26" i="107"/>
  <c r="F27" i="107"/>
  <c r="R27" i="107"/>
  <c r="AF27" i="107"/>
  <c r="M41" i="107"/>
  <c r="E41" i="107"/>
  <c r="M40" i="107"/>
  <c r="E40" i="107"/>
  <c r="M39" i="107"/>
  <c r="E39" i="107"/>
  <c r="M38" i="107"/>
  <c r="E38" i="107"/>
  <c r="N41" i="107"/>
  <c r="D41" i="107"/>
  <c r="R40" i="107"/>
  <c r="I40" i="107"/>
  <c r="N39" i="107"/>
  <c r="D39" i="107"/>
  <c r="R38" i="107"/>
  <c r="I38" i="107"/>
  <c r="P36" i="107"/>
  <c r="Q41" i="107"/>
  <c r="H41" i="107"/>
  <c r="L40" i="107"/>
  <c r="C40" i="107"/>
  <c r="Q39" i="107"/>
  <c r="H39" i="107"/>
  <c r="L38" i="107"/>
  <c r="C38" i="107"/>
  <c r="K38" i="107"/>
  <c r="Z38" i="107"/>
  <c r="C39" i="107"/>
  <c r="P39" i="107"/>
  <c r="AD39" i="107"/>
  <c r="H40" i="107"/>
  <c r="V40" i="107"/>
  <c r="AI40" i="107"/>
  <c r="L41" i="107"/>
  <c r="G52" i="107"/>
  <c r="U52" i="107"/>
  <c r="AH52" i="107"/>
  <c r="K53" i="107"/>
  <c r="Z53" i="107"/>
  <c r="D54" i="107"/>
  <c r="P54" i="107"/>
  <c r="AD54" i="107"/>
  <c r="I55" i="107"/>
  <c r="V55" i="107"/>
  <c r="AI55" i="107"/>
  <c r="P66" i="107"/>
  <c r="L67" i="107"/>
  <c r="K68" i="107"/>
  <c r="I69" i="107"/>
  <c r="G80" i="107"/>
  <c r="C81" i="107"/>
  <c r="P82" i="107"/>
  <c r="P83" i="107"/>
  <c r="J85" i="81"/>
  <c r="I94" i="81"/>
  <c r="AE13" i="107"/>
  <c r="W13" i="107"/>
  <c r="AE12" i="107"/>
  <c r="W12" i="107"/>
  <c r="AH13" i="107"/>
  <c r="Y13" i="107"/>
  <c r="AC12" i="107"/>
  <c r="AH11" i="107"/>
  <c r="Z11" i="107"/>
  <c r="AH10" i="107"/>
  <c r="Z10" i="107"/>
  <c r="AB13" i="107"/>
  <c r="U10" i="107"/>
  <c r="AD10" i="107"/>
  <c r="Y11" i="107"/>
  <c r="AI11" i="107"/>
  <c r="X12" i="107"/>
  <c r="AH12" i="107"/>
  <c r="Z13" i="107"/>
  <c r="AF24" i="107"/>
  <c r="X25" i="107"/>
  <c r="AJ25" i="107"/>
  <c r="AB26" i="107"/>
  <c r="U27" i="107"/>
  <c r="AG27" i="107"/>
  <c r="AE41" i="107"/>
  <c r="W41" i="107"/>
  <c r="AE40" i="107"/>
  <c r="W40" i="107"/>
  <c r="AE39" i="107"/>
  <c r="W39" i="107"/>
  <c r="AE38" i="107"/>
  <c r="W38" i="107"/>
  <c r="AH41" i="107"/>
  <c r="Y41" i="107"/>
  <c r="AC40" i="107"/>
  <c r="AH39" i="107"/>
  <c r="Y39" i="107"/>
  <c r="AC38" i="107"/>
  <c r="AB41" i="107"/>
  <c r="AG40" i="107"/>
  <c r="X40" i="107"/>
  <c r="AB39" i="107"/>
  <c r="AG38" i="107"/>
  <c r="X38" i="107"/>
  <c r="AA38" i="107"/>
  <c r="AF39" i="107"/>
  <c r="Y40" i="107"/>
  <c r="AJ40" i="107"/>
  <c r="AC41" i="107"/>
  <c r="H52" i="107"/>
  <c r="L53" i="107"/>
  <c r="F54" i="107"/>
  <c r="Q54" i="107"/>
  <c r="J55" i="107"/>
  <c r="D66" i="107"/>
  <c r="Q66" i="107"/>
  <c r="P67" i="107"/>
  <c r="N68" i="107"/>
  <c r="J69" i="107"/>
  <c r="H80" i="107"/>
  <c r="G81" i="107"/>
  <c r="D82" i="107"/>
  <c r="Q82" i="107"/>
  <c r="R83" i="107"/>
  <c r="C92" i="81"/>
  <c r="E92" i="81" s="1"/>
  <c r="J94" i="81"/>
  <c r="D100" i="81"/>
  <c r="F102" i="81"/>
  <c r="D108" i="81"/>
  <c r="F110" i="81"/>
  <c r="D116" i="81"/>
  <c r="F118" i="81"/>
  <c r="D124" i="81"/>
  <c r="AH8" i="107"/>
  <c r="V10" i="107"/>
  <c r="AE10" i="107"/>
  <c r="AA11" i="107"/>
  <c r="AJ11" i="107"/>
  <c r="Y12" i="107"/>
  <c r="AI12" i="107"/>
  <c r="AA13" i="107"/>
  <c r="U24" i="107"/>
  <c r="AH24" i="107"/>
  <c r="Z25" i="107"/>
  <c r="AD26" i="107"/>
  <c r="V27" i="107"/>
  <c r="AI27" i="107"/>
  <c r="AH36" i="107"/>
  <c r="AB38" i="107"/>
  <c r="U39" i="107"/>
  <c r="AG39" i="107"/>
  <c r="Z40" i="107"/>
  <c r="AD41" i="107"/>
  <c r="J52" i="107"/>
  <c r="Y52" i="107"/>
  <c r="AJ52" i="107"/>
  <c r="O53" i="107"/>
  <c r="AC53" i="107"/>
  <c r="G54" i="107"/>
  <c r="U54" i="107"/>
  <c r="AH54" i="107"/>
  <c r="F66" i="107"/>
  <c r="R67" i="107"/>
  <c r="O68" i="107"/>
  <c r="K69" i="107"/>
  <c r="K80" i="107"/>
  <c r="I81" i="107"/>
  <c r="AC13" i="109"/>
  <c r="U13" i="109"/>
  <c r="AA12" i="109"/>
  <c r="AG11" i="109"/>
  <c r="Y11" i="109"/>
  <c r="AE10" i="109"/>
  <c r="W10" i="109"/>
  <c r="AH13" i="109"/>
  <c r="Y13" i="109"/>
  <c r="AB12" i="109"/>
  <c r="AD11" i="109"/>
  <c r="U11" i="109"/>
  <c r="AG10" i="109"/>
  <c r="X10" i="109"/>
  <c r="AG13" i="109"/>
  <c r="W13" i="109"/>
  <c r="AF12" i="109"/>
  <c r="V12" i="109"/>
  <c r="AE11" i="109"/>
  <c r="AC10" i="109"/>
  <c r="AF13" i="109"/>
  <c r="V13" i="109"/>
  <c r="AE12" i="109"/>
  <c r="U12" i="109"/>
  <c r="AC11" i="109"/>
  <c r="AB10" i="109"/>
  <c r="AE13" i="109"/>
  <c r="AD12" i="109"/>
  <c r="AB11" i="109"/>
  <c r="AA10" i="109"/>
  <c r="AD13" i="109"/>
  <c r="AC12" i="109"/>
  <c r="AA11" i="109"/>
  <c r="Z10" i="109"/>
  <c r="AF8" i="109"/>
  <c r="AA13" i="109"/>
  <c r="Y12" i="109"/>
  <c r="X11" i="109"/>
  <c r="AH10" i="109"/>
  <c r="V10" i="109"/>
  <c r="Z13" i="109"/>
  <c r="AH12" i="109"/>
  <c r="X12" i="109"/>
  <c r="AH11" i="109"/>
  <c r="W11" i="109"/>
  <c r="AF10" i="109"/>
  <c r="U10" i="109"/>
  <c r="X13" i="109"/>
  <c r="AG12" i="109"/>
  <c r="W12" i="109"/>
  <c r="AF11" i="109"/>
  <c r="V11" i="109"/>
  <c r="AD10" i="109"/>
  <c r="Z12" i="109"/>
  <c r="V39" i="107"/>
  <c r="AI39" i="107"/>
  <c r="AA40" i="107"/>
  <c r="AF41" i="107"/>
  <c r="M55" i="107"/>
  <c r="E55" i="107"/>
  <c r="M54" i="107"/>
  <c r="E54" i="107"/>
  <c r="M53" i="107"/>
  <c r="E53" i="107"/>
  <c r="M52" i="107"/>
  <c r="E52" i="107"/>
  <c r="N55" i="107"/>
  <c r="D55" i="107"/>
  <c r="R54" i="107"/>
  <c r="I54" i="107"/>
  <c r="N53" i="107"/>
  <c r="D53" i="107"/>
  <c r="R52" i="107"/>
  <c r="I52" i="107"/>
  <c r="P50" i="107"/>
  <c r="Q55" i="107"/>
  <c r="H55" i="107"/>
  <c r="L54" i="107"/>
  <c r="C54" i="107"/>
  <c r="Q53" i="107"/>
  <c r="H53" i="107"/>
  <c r="L52" i="107"/>
  <c r="C52" i="107"/>
  <c r="K52" i="107"/>
  <c r="C53" i="107"/>
  <c r="P53" i="107"/>
  <c r="H54" i="107"/>
  <c r="L55" i="107"/>
  <c r="P68" i="107"/>
  <c r="L69" i="107"/>
  <c r="M83" i="107"/>
  <c r="E83" i="107"/>
  <c r="M82" i="107"/>
  <c r="E82" i="107"/>
  <c r="M81" i="107"/>
  <c r="E81" i="107"/>
  <c r="M80" i="107"/>
  <c r="E80" i="107"/>
  <c r="N83" i="107"/>
  <c r="D83" i="107"/>
  <c r="R82" i="107"/>
  <c r="I82" i="107"/>
  <c r="N81" i="107"/>
  <c r="D81" i="107"/>
  <c r="R80" i="107"/>
  <c r="I80" i="107"/>
  <c r="P78" i="107"/>
  <c r="K83" i="107"/>
  <c r="Q83" i="107"/>
  <c r="H83" i="107"/>
  <c r="L82" i="107"/>
  <c r="C82" i="107"/>
  <c r="Q81" i="107"/>
  <c r="H81" i="107"/>
  <c r="L80" i="107"/>
  <c r="C80" i="107"/>
  <c r="O83" i="107"/>
  <c r="F83" i="107"/>
  <c r="J82" i="107"/>
  <c r="O81" i="107"/>
  <c r="F81" i="107"/>
  <c r="J80" i="107"/>
  <c r="N80" i="107"/>
  <c r="J81" i="107"/>
  <c r="G82" i="107"/>
  <c r="C83" i="107"/>
  <c r="K41" i="81"/>
  <c r="K44" i="81"/>
  <c r="M44" i="81" s="1"/>
  <c r="F49" i="81"/>
  <c r="J49" i="81" s="1"/>
  <c r="K57" i="81"/>
  <c r="K60" i="81"/>
  <c r="M60" i="81" s="1"/>
  <c r="I73" i="81"/>
  <c r="I81" i="81"/>
  <c r="D85" i="81"/>
  <c r="E85" i="81" s="1"/>
  <c r="I89" i="81"/>
  <c r="D93" i="81"/>
  <c r="E93" i="81" s="1"/>
  <c r="C94" i="81"/>
  <c r="E94" i="81" s="1"/>
  <c r="D98" i="81"/>
  <c r="E99" i="81"/>
  <c r="G101" i="81"/>
  <c r="H101" i="81" s="1"/>
  <c r="I101" i="81" s="1"/>
  <c r="D106" i="81"/>
  <c r="E107" i="81"/>
  <c r="D114" i="81"/>
  <c r="E115" i="81"/>
  <c r="D122" i="81"/>
  <c r="E123" i="81"/>
  <c r="D10" i="107"/>
  <c r="M10" i="107"/>
  <c r="X10" i="107"/>
  <c r="AG10" i="107"/>
  <c r="I11" i="107"/>
  <c r="R11" i="107"/>
  <c r="AC11" i="107"/>
  <c r="D12" i="107"/>
  <c r="O12" i="107"/>
  <c r="AA12" i="107"/>
  <c r="C13" i="107"/>
  <c r="P13" i="107"/>
  <c r="AD13" i="107"/>
  <c r="J24" i="107"/>
  <c r="Y24" i="107"/>
  <c r="AJ24" i="107"/>
  <c r="O25" i="107"/>
  <c r="AC25" i="107"/>
  <c r="G26" i="107"/>
  <c r="U26" i="107"/>
  <c r="AH26" i="107"/>
  <c r="Z27" i="107"/>
  <c r="F38" i="107"/>
  <c r="Q38" i="107"/>
  <c r="AF38" i="107"/>
  <c r="J39" i="107"/>
  <c r="X39" i="107"/>
  <c r="AJ39" i="107"/>
  <c r="O40" i="107"/>
  <c r="AB40" i="107"/>
  <c r="G41" i="107"/>
  <c r="U41" i="107"/>
  <c r="AG41" i="107"/>
  <c r="AE55" i="107"/>
  <c r="W55" i="107"/>
  <c r="AE54" i="107"/>
  <c r="W54" i="107"/>
  <c r="AE53" i="107"/>
  <c r="W53" i="107"/>
  <c r="AE52" i="107"/>
  <c r="W52" i="107"/>
  <c r="AH55" i="107"/>
  <c r="Y55" i="107"/>
  <c r="AC54" i="107"/>
  <c r="AH53" i="107"/>
  <c r="Y53" i="107"/>
  <c r="AC52" i="107"/>
  <c r="AB55" i="107"/>
  <c r="AG54" i="107"/>
  <c r="X54" i="107"/>
  <c r="AB53" i="107"/>
  <c r="AG52" i="107"/>
  <c r="X52" i="107"/>
  <c r="N52" i="107"/>
  <c r="AA52" i="107"/>
  <c r="F53" i="107"/>
  <c r="R53" i="107"/>
  <c r="AF53" i="107"/>
  <c r="J54" i="107"/>
  <c r="Y54" i="107"/>
  <c r="AJ54" i="107"/>
  <c r="O55" i="107"/>
  <c r="AC55" i="107"/>
  <c r="H66" i="107"/>
  <c r="G67" i="107"/>
  <c r="D68" i="107"/>
  <c r="Q68" i="107"/>
  <c r="P69" i="107"/>
  <c r="O80" i="107"/>
  <c r="K81" i="107"/>
  <c r="H82" i="107"/>
  <c r="G83" i="107"/>
  <c r="C33" i="81"/>
  <c r="C41" i="81"/>
  <c r="E41" i="81" s="1"/>
  <c r="L41" i="81"/>
  <c r="C44" i="81"/>
  <c r="E44" i="81" s="1"/>
  <c r="G49" i="81"/>
  <c r="H49" i="81" s="1"/>
  <c r="K51" i="81"/>
  <c r="M51" i="81" s="1"/>
  <c r="C57" i="81"/>
  <c r="E57" i="81" s="1"/>
  <c r="L57" i="81"/>
  <c r="M57" i="81" s="1"/>
  <c r="C60" i="81"/>
  <c r="E60" i="81" s="1"/>
  <c r="J73" i="81"/>
  <c r="K73" i="81" s="1"/>
  <c r="J81" i="81"/>
  <c r="K81" i="81" s="1"/>
  <c r="J89" i="81"/>
  <c r="E98" i="81"/>
  <c r="G100" i="81"/>
  <c r="H100" i="81" s="1"/>
  <c r="I100" i="81" s="1"/>
  <c r="E106" i="81"/>
  <c r="G108" i="81"/>
  <c r="H108" i="81" s="1"/>
  <c r="I108" i="81" s="1"/>
  <c r="E114" i="81"/>
  <c r="G116" i="81"/>
  <c r="H116" i="81" s="1"/>
  <c r="I116" i="81" s="1"/>
  <c r="E122" i="81"/>
  <c r="G124" i="81"/>
  <c r="H124" i="81" s="1"/>
  <c r="I124" i="81" s="1"/>
  <c r="Y10" i="107"/>
  <c r="AI10" i="107"/>
  <c r="U11" i="107"/>
  <c r="AD11" i="107"/>
  <c r="AB12" i="107"/>
  <c r="AF13" i="107"/>
  <c r="M27" i="107"/>
  <c r="E27" i="107"/>
  <c r="M26" i="107"/>
  <c r="E26" i="107"/>
  <c r="M25" i="107"/>
  <c r="E25" i="107"/>
  <c r="M24" i="107"/>
  <c r="E24" i="107"/>
  <c r="N27" i="107"/>
  <c r="D27" i="107"/>
  <c r="R26" i="107"/>
  <c r="I26" i="107"/>
  <c r="N25" i="107"/>
  <c r="D25" i="107"/>
  <c r="R24" i="107"/>
  <c r="I24" i="107"/>
  <c r="P22" i="107"/>
  <c r="Q27" i="107"/>
  <c r="H27" i="107"/>
  <c r="L26" i="107"/>
  <c r="C26" i="107"/>
  <c r="Q25" i="107"/>
  <c r="H25" i="107"/>
  <c r="L24" i="107"/>
  <c r="C24" i="107"/>
  <c r="K24" i="107"/>
  <c r="Z24" i="107"/>
  <c r="C25" i="107"/>
  <c r="P25" i="107"/>
  <c r="AD25" i="107"/>
  <c r="H26" i="107"/>
  <c r="V26" i="107"/>
  <c r="AI26" i="107"/>
  <c r="L27" i="107"/>
  <c r="AA27" i="107"/>
  <c r="U38" i="107"/>
  <c r="AH38" i="107"/>
  <c r="Z39" i="107"/>
  <c r="AD40" i="107"/>
  <c r="V41" i="107"/>
  <c r="AI41" i="107"/>
  <c r="AH50" i="107"/>
  <c r="O52" i="107"/>
  <c r="AB52" i="107"/>
  <c r="G53" i="107"/>
  <c r="U53" i="107"/>
  <c r="AG53" i="107"/>
  <c r="K54" i="107"/>
  <c r="Z54" i="107"/>
  <c r="C55" i="107"/>
  <c r="P55" i="107"/>
  <c r="AD55" i="107"/>
  <c r="K66" i="107"/>
  <c r="I67" i="107"/>
  <c r="F68" i="107"/>
  <c r="R69" i="107"/>
  <c r="P80" i="107"/>
  <c r="L81" i="107"/>
  <c r="K82" i="107"/>
  <c r="I83" i="107"/>
  <c r="AB13" i="109"/>
  <c r="AE69" i="107"/>
  <c r="W69" i="107"/>
  <c r="AE68" i="107"/>
  <c r="W68" i="107"/>
  <c r="AE67" i="107"/>
  <c r="W67" i="107"/>
  <c r="AE66" i="107"/>
  <c r="W66" i="107"/>
  <c r="U66" i="107"/>
  <c r="AD66" i="107"/>
  <c r="Z67" i="107"/>
  <c r="AI67" i="107"/>
  <c r="U68" i="107"/>
  <c r="AD68" i="107"/>
  <c r="Z69" i="107"/>
  <c r="AI69" i="107"/>
  <c r="AE83" i="107"/>
  <c r="W83" i="107"/>
  <c r="AE82" i="107"/>
  <c r="W82" i="107"/>
  <c r="AE81" i="107"/>
  <c r="W81" i="107"/>
  <c r="AE80" i="107"/>
  <c r="W80" i="107"/>
  <c r="U80" i="107"/>
  <c r="AD80" i="107"/>
  <c r="Z81" i="107"/>
  <c r="AI81" i="107"/>
  <c r="U82" i="107"/>
  <c r="AD82" i="107"/>
  <c r="Z83" i="107"/>
  <c r="AI83" i="107"/>
  <c r="E89" i="107"/>
  <c r="N89" i="107"/>
  <c r="AE97" i="107"/>
  <c r="W97" i="107"/>
  <c r="AE96" i="107"/>
  <c r="W96" i="107"/>
  <c r="AE95" i="107"/>
  <c r="W95" i="107"/>
  <c r="AE94" i="107"/>
  <c r="W94" i="107"/>
  <c r="AB97" i="107"/>
  <c r="AG96" i="107"/>
  <c r="X96" i="107"/>
  <c r="AB95" i="107"/>
  <c r="AG94" i="107"/>
  <c r="X94" i="107"/>
  <c r="J94" i="107"/>
  <c r="V94" i="107"/>
  <c r="AH94" i="107"/>
  <c r="J95" i="107"/>
  <c r="V95" i="107"/>
  <c r="AG95" i="107"/>
  <c r="I96" i="107"/>
  <c r="U96" i="107"/>
  <c r="AF96" i="107"/>
  <c r="I97" i="107"/>
  <c r="U97" i="107"/>
  <c r="AF97" i="107"/>
  <c r="H10" i="109"/>
  <c r="R10" i="109"/>
  <c r="I11" i="109"/>
  <c r="K12" i="109"/>
  <c r="O20" i="109"/>
  <c r="G20" i="109"/>
  <c r="M19" i="109"/>
  <c r="E19" i="109"/>
  <c r="K18" i="109"/>
  <c r="C18" i="109"/>
  <c r="Q17" i="109"/>
  <c r="I17" i="109"/>
  <c r="Q20" i="109"/>
  <c r="H20" i="109"/>
  <c r="J19" i="109"/>
  <c r="M18" i="109"/>
  <c r="D18" i="109"/>
  <c r="O17" i="109"/>
  <c r="F17" i="109"/>
  <c r="H17" i="109"/>
  <c r="H18" i="109"/>
  <c r="R18" i="109"/>
  <c r="G19" i="109"/>
  <c r="Q19" i="109"/>
  <c r="E20" i="109"/>
  <c r="P20" i="109"/>
  <c r="K24" i="109"/>
  <c r="L25" i="109"/>
  <c r="C26" i="109"/>
  <c r="M26" i="109"/>
  <c r="E27" i="109"/>
  <c r="O27" i="109"/>
  <c r="K31" i="109"/>
  <c r="I32" i="109"/>
  <c r="I33" i="109"/>
  <c r="I34" i="109"/>
  <c r="AD38" i="109"/>
  <c r="AB39" i="109"/>
  <c r="Z40" i="109"/>
  <c r="W41" i="109"/>
  <c r="AA45" i="109"/>
  <c r="X46" i="109"/>
  <c r="K13" i="109"/>
  <c r="C13" i="109"/>
  <c r="Q12" i="109"/>
  <c r="I12" i="109"/>
  <c r="O11" i="109"/>
  <c r="G11" i="109"/>
  <c r="M10" i="109"/>
  <c r="E10" i="109"/>
  <c r="N13" i="109"/>
  <c r="E13" i="109"/>
  <c r="P12" i="109"/>
  <c r="G12" i="109"/>
  <c r="J11" i="109"/>
  <c r="L10" i="109"/>
  <c r="C10" i="109"/>
  <c r="I10" i="109"/>
  <c r="K11" i="109"/>
  <c r="L12" i="109"/>
  <c r="M13" i="109"/>
  <c r="AA40" i="109"/>
  <c r="X41" i="109"/>
  <c r="AC48" i="109"/>
  <c r="U48" i="109"/>
  <c r="AA47" i="109"/>
  <c r="AG46" i="109"/>
  <c r="Y46" i="109"/>
  <c r="AE45" i="109"/>
  <c r="W45" i="109"/>
  <c r="Z48" i="109"/>
  <c r="AC47" i="109"/>
  <c r="AE46" i="109"/>
  <c r="V46" i="109"/>
  <c r="AH45" i="109"/>
  <c r="Y45" i="109"/>
  <c r="AD48" i="109"/>
  <c r="AF47" i="109"/>
  <c r="W47" i="109"/>
  <c r="Z46" i="109"/>
  <c r="AB45" i="109"/>
  <c r="Y48" i="109"/>
  <c r="AE47" i="109"/>
  <c r="X48" i="109"/>
  <c r="AD47" i="109"/>
  <c r="W46" i="109"/>
  <c r="AC45" i="109"/>
  <c r="AF43" i="109"/>
  <c r="AG48" i="109"/>
  <c r="V48" i="109"/>
  <c r="AF48" i="109"/>
  <c r="AB48" i="109"/>
  <c r="AD45" i="109"/>
  <c r="AA46" i="109"/>
  <c r="U47" i="109"/>
  <c r="Q20" i="107"/>
  <c r="I20" i="107"/>
  <c r="Q19" i="107"/>
  <c r="I19" i="107"/>
  <c r="Q18" i="107"/>
  <c r="I18" i="107"/>
  <c r="Q17" i="107"/>
  <c r="I17" i="107"/>
  <c r="G17" i="107"/>
  <c r="P17" i="107"/>
  <c r="C18" i="107"/>
  <c r="L18" i="107"/>
  <c r="G19" i="107"/>
  <c r="P19" i="107"/>
  <c r="C20" i="107"/>
  <c r="L20" i="107"/>
  <c r="Q34" i="107"/>
  <c r="I34" i="107"/>
  <c r="Q33" i="107"/>
  <c r="I33" i="107"/>
  <c r="Q32" i="107"/>
  <c r="I32" i="107"/>
  <c r="Q31" i="107"/>
  <c r="I31" i="107"/>
  <c r="G31" i="107"/>
  <c r="P31" i="107"/>
  <c r="C32" i="107"/>
  <c r="L32" i="107"/>
  <c r="G33" i="107"/>
  <c r="P33" i="107"/>
  <c r="C34" i="107"/>
  <c r="L34" i="107"/>
  <c r="Q48" i="107"/>
  <c r="I48" i="107"/>
  <c r="Q47" i="107"/>
  <c r="I47" i="107"/>
  <c r="Q46" i="107"/>
  <c r="I46" i="107"/>
  <c r="Q45" i="107"/>
  <c r="I45" i="107"/>
  <c r="G45" i="107"/>
  <c r="P45" i="107"/>
  <c r="C46" i="107"/>
  <c r="L46" i="107"/>
  <c r="G47" i="107"/>
  <c r="P47" i="107"/>
  <c r="C48" i="107"/>
  <c r="L48" i="107"/>
  <c r="Q62" i="107"/>
  <c r="I62" i="107"/>
  <c r="Q61" i="107"/>
  <c r="I61" i="107"/>
  <c r="Q60" i="107"/>
  <c r="I60" i="107"/>
  <c r="Q59" i="107"/>
  <c r="I59" i="107"/>
  <c r="G59" i="107"/>
  <c r="P59" i="107"/>
  <c r="C60" i="107"/>
  <c r="L60" i="107"/>
  <c r="G61" i="107"/>
  <c r="P61" i="107"/>
  <c r="C62" i="107"/>
  <c r="L62" i="107"/>
  <c r="X66" i="107"/>
  <c r="AG66" i="107"/>
  <c r="AB67" i="107"/>
  <c r="X68" i="107"/>
  <c r="AG68" i="107"/>
  <c r="AB69" i="107"/>
  <c r="Q76" i="107"/>
  <c r="I76" i="107"/>
  <c r="Q75" i="107"/>
  <c r="I75" i="107"/>
  <c r="Q74" i="107"/>
  <c r="I74" i="107"/>
  <c r="Q73" i="107"/>
  <c r="I73" i="107"/>
  <c r="G73" i="107"/>
  <c r="P73" i="107"/>
  <c r="C74" i="107"/>
  <c r="L74" i="107"/>
  <c r="G75" i="107"/>
  <c r="P75" i="107"/>
  <c r="C76" i="107"/>
  <c r="L76" i="107"/>
  <c r="X80" i="107"/>
  <c r="AG80" i="107"/>
  <c r="AB81" i="107"/>
  <c r="X82" i="107"/>
  <c r="AG82" i="107"/>
  <c r="AB83" i="107"/>
  <c r="Q90" i="107"/>
  <c r="I90" i="107"/>
  <c r="Q89" i="107"/>
  <c r="I89" i="107"/>
  <c r="Q88" i="107"/>
  <c r="I88" i="107"/>
  <c r="Q87" i="107"/>
  <c r="I87" i="107"/>
  <c r="G87" i="107"/>
  <c r="P87" i="107"/>
  <c r="C88" i="107"/>
  <c r="L88" i="107"/>
  <c r="G89" i="107"/>
  <c r="P89" i="107"/>
  <c r="C90" i="107"/>
  <c r="L90" i="107"/>
  <c r="C94" i="107"/>
  <c r="N94" i="107"/>
  <c r="Z94" i="107"/>
  <c r="AJ94" i="107"/>
  <c r="L95" i="107"/>
  <c r="Y95" i="107"/>
  <c r="AI95" i="107"/>
  <c r="K96" i="107"/>
  <c r="Y96" i="107"/>
  <c r="AI96" i="107"/>
  <c r="K97" i="107"/>
  <c r="X97" i="107"/>
  <c r="AH97" i="107"/>
  <c r="P8" i="109"/>
  <c r="J10" i="109"/>
  <c r="L11" i="109"/>
  <c r="C12" i="109"/>
  <c r="M12" i="109"/>
  <c r="D13" i="109"/>
  <c r="O13" i="109"/>
  <c r="I19" i="109"/>
  <c r="I20" i="109"/>
  <c r="C24" i="109"/>
  <c r="N24" i="109"/>
  <c r="D25" i="109"/>
  <c r="N25" i="109"/>
  <c r="F26" i="109"/>
  <c r="P26" i="109"/>
  <c r="G27" i="109"/>
  <c r="Q27" i="109"/>
  <c r="C31" i="109"/>
  <c r="N31" i="109"/>
  <c r="M32" i="109"/>
  <c r="K33" i="109"/>
  <c r="K34" i="109"/>
  <c r="U38" i="109"/>
  <c r="AF39" i="109"/>
  <c r="AC40" i="109"/>
  <c r="AA41" i="109"/>
  <c r="AF45" i="109"/>
  <c r="AB46" i="109"/>
  <c r="V47" i="109"/>
  <c r="X47" i="109"/>
  <c r="W48" i="109"/>
  <c r="F94" i="107"/>
  <c r="P94" i="107"/>
  <c r="D95" i="107"/>
  <c r="O95" i="107"/>
  <c r="D96" i="107"/>
  <c r="O96" i="107"/>
  <c r="C97" i="107"/>
  <c r="N97" i="107"/>
  <c r="N10" i="109"/>
  <c r="D11" i="109"/>
  <c r="N11" i="109"/>
  <c r="E12" i="109"/>
  <c r="O12" i="109"/>
  <c r="G13" i="109"/>
  <c r="Q13" i="109"/>
  <c r="F24" i="109"/>
  <c r="P24" i="109"/>
  <c r="F25" i="109"/>
  <c r="R25" i="109"/>
  <c r="H26" i="109"/>
  <c r="I27" i="109"/>
  <c r="F31" i="109"/>
  <c r="P31" i="109"/>
  <c r="E32" i="109"/>
  <c r="O32" i="109"/>
  <c r="C33" i="109"/>
  <c r="N33" i="109"/>
  <c r="C34" i="109"/>
  <c r="M34" i="109"/>
  <c r="Y38" i="109"/>
  <c r="AH39" i="109"/>
  <c r="AF40" i="109"/>
  <c r="U45" i="109"/>
  <c r="AD46" i="109"/>
  <c r="Y47" i="109"/>
  <c r="AA48" i="109"/>
  <c r="G94" i="107"/>
  <c r="Q94" i="107"/>
  <c r="F95" i="107"/>
  <c r="P95" i="107"/>
  <c r="F96" i="107"/>
  <c r="P96" i="107"/>
  <c r="D97" i="107"/>
  <c r="D10" i="109"/>
  <c r="O10" i="109"/>
  <c r="E11" i="109"/>
  <c r="P11" i="109"/>
  <c r="F12" i="109"/>
  <c r="R12" i="109"/>
  <c r="H13" i="109"/>
  <c r="R13" i="109"/>
  <c r="G24" i="109"/>
  <c r="Q24" i="109"/>
  <c r="I25" i="109"/>
  <c r="J26" i="109"/>
  <c r="G31" i="109"/>
  <c r="R31" i="109"/>
  <c r="F32" i="109"/>
  <c r="P32" i="109"/>
  <c r="D33" i="109"/>
  <c r="O33" i="109"/>
  <c r="D34" i="109"/>
  <c r="AG41" i="109"/>
  <c r="Y41" i="109"/>
  <c r="AE40" i="109"/>
  <c r="W40" i="109"/>
  <c r="AC39" i="109"/>
  <c r="U39" i="109"/>
  <c r="AE41" i="109"/>
  <c r="V41" i="109"/>
  <c r="AH40" i="109"/>
  <c r="Y40" i="109"/>
  <c r="AA39" i="109"/>
  <c r="AE38" i="109"/>
  <c r="W38" i="109"/>
  <c r="Z41" i="109"/>
  <c r="AB40" i="109"/>
  <c r="AE39" i="109"/>
  <c r="V39" i="109"/>
  <c r="AH38" i="109"/>
  <c r="Z38" i="109"/>
  <c r="AB41" i="109"/>
  <c r="AG40" i="109"/>
  <c r="U40" i="109"/>
  <c r="Z39" i="109"/>
  <c r="AG38" i="109"/>
  <c r="V38" i="109"/>
  <c r="AA38" i="109"/>
  <c r="W39" i="109"/>
  <c r="AF41" i="109"/>
  <c r="V45" i="109"/>
  <c r="AF46" i="109"/>
  <c r="Z47" i="109"/>
  <c r="AE48" i="109"/>
  <c r="M97" i="107"/>
  <c r="E97" i="107"/>
  <c r="M96" i="107"/>
  <c r="E96" i="107"/>
  <c r="M95" i="107"/>
  <c r="E95" i="107"/>
  <c r="M94" i="107"/>
  <c r="E94" i="107"/>
  <c r="Q97" i="107"/>
  <c r="H97" i="107"/>
  <c r="L96" i="107"/>
  <c r="C96" i="107"/>
  <c r="Q95" i="107"/>
  <c r="H95" i="107"/>
  <c r="L94" i="107"/>
  <c r="H94" i="107"/>
  <c r="R94" i="107"/>
  <c r="G95" i="107"/>
  <c r="R95" i="107"/>
  <c r="G96" i="107"/>
  <c r="Q96" i="107"/>
  <c r="F97" i="107"/>
  <c r="P97" i="107"/>
  <c r="F10" i="109"/>
  <c r="P10" i="109"/>
  <c r="F11" i="109"/>
  <c r="Q11" i="109"/>
  <c r="H12" i="109"/>
  <c r="I13" i="109"/>
  <c r="K27" i="109"/>
  <c r="C27" i="109"/>
  <c r="Q26" i="109"/>
  <c r="I26" i="109"/>
  <c r="O25" i="109"/>
  <c r="G25" i="109"/>
  <c r="M24" i="109"/>
  <c r="E24" i="109"/>
  <c r="L27" i="109"/>
  <c r="N26" i="109"/>
  <c r="E26" i="109"/>
  <c r="Q25" i="109"/>
  <c r="H25" i="109"/>
  <c r="J24" i="109"/>
  <c r="H24" i="109"/>
  <c r="R24" i="109"/>
  <c r="J25" i="109"/>
  <c r="K26" i="109"/>
  <c r="M27" i="109"/>
  <c r="O34" i="109"/>
  <c r="G34" i="109"/>
  <c r="M33" i="109"/>
  <c r="E33" i="109"/>
  <c r="K32" i="109"/>
  <c r="C32" i="109"/>
  <c r="Q31" i="109"/>
  <c r="I31" i="109"/>
  <c r="N34" i="109"/>
  <c r="E34" i="109"/>
  <c r="Q33" i="109"/>
  <c r="H33" i="109"/>
  <c r="J32" i="109"/>
  <c r="M31" i="109"/>
  <c r="D31" i="109"/>
  <c r="H31" i="109"/>
  <c r="G32" i="109"/>
  <c r="Q32" i="109"/>
  <c r="F33" i="109"/>
  <c r="P33" i="109"/>
  <c r="F34" i="109"/>
  <c r="Q34" i="109"/>
  <c r="AB38" i="109"/>
  <c r="X39" i="109"/>
  <c r="V40" i="109"/>
  <c r="AH41" i="109"/>
  <c r="X45" i="109"/>
  <c r="AH46" i="109"/>
  <c r="AB47" i="109"/>
  <c r="AH48" i="109"/>
  <c r="D17" i="107"/>
  <c r="M17" i="107"/>
  <c r="H18" i="107"/>
  <c r="R18" i="107"/>
  <c r="D19" i="107"/>
  <c r="M19" i="107"/>
  <c r="H20" i="107"/>
  <c r="R20" i="107"/>
  <c r="D31" i="107"/>
  <c r="M31" i="107"/>
  <c r="H32" i="107"/>
  <c r="R32" i="107"/>
  <c r="D33" i="107"/>
  <c r="M33" i="107"/>
  <c r="H34" i="107"/>
  <c r="R34" i="107"/>
  <c r="D45" i="107"/>
  <c r="M45" i="107"/>
  <c r="H46" i="107"/>
  <c r="R46" i="107"/>
  <c r="D47" i="107"/>
  <c r="M47" i="107"/>
  <c r="H48" i="107"/>
  <c r="R48" i="107"/>
  <c r="D59" i="107"/>
  <c r="M59" i="107"/>
  <c r="H60" i="107"/>
  <c r="R60" i="107"/>
  <c r="D61" i="107"/>
  <c r="M61" i="107"/>
  <c r="H62" i="107"/>
  <c r="R62" i="107"/>
  <c r="AC66" i="107"/>
  <c r="Y67" i="107"/>
  <c r="AH67" i="107"/>
  <c r="AC68" i="107"/>
  <c r="Y69" i="107"/>
  <c r="AH69" i="107"/>
  <c r="D73" i="107"/>
  <c r="M73" i="107"/>
  <c r="H74" i="107"/>
  <c r="R74" i="107"/>
  <c r="D75" i="107"/>
  <c r="M75" i="107"/>
  <c r="H76" i="107"/>
  <c r="R76" i="107"/>
  <c r="AC80" i="107"/>
  <c r="Y81" i="107"/>
  <c r="AH81" i="107"/>
  <c r="AC82" i="107"/>
  <c r="Y83" i="107"/>
  <c r="AH83" i="107"/>
  <c r="D87" i="107"/>
  <c r="M87" i="107"/>
  <c r="H88" i="107"/>
  <c r="R88" i="107"/>
  <c r="D89" i="107"/>
  <c r="M89" i="107"/>
  <c r="H90" i="107"/>
  <c r="R90" i="107"/>
  <c r="P92" i="107"/>
  <c r="I94" i="107"/>
  <c r="U94" i="107"/>
  <c r="AF94" i="107"/>
  <c r="I95" i="107"/>
  <c r="U95" i="107"/>
  <c r="AF95" i="107"/>
  <c r="H96" i="107"/>
  <c r="R96" i="107"/>
  <c r="AD96" i="107"/>
  <c r="G97" i="107"/>
  <c r="R97" i="107"/>
  <c r="AD97" i="107"/>
  <c r="G10" i="109"/>
  <c r="Q10" i="109"/>
  <c r="H11" i="109"/>
  <c r="R11" i="109"/>
  <c r="J12" i="109"/>
  <c r="J13" i="109"/>
  <c r="G17" i="109"/>
  <c r="R17" i="109"/>
  <c r="G18" i="109"/>
  <c r="Q18" i="109"/>
  <c r="F19" i="109"/>
  <c r="P19" i="109"/>
  <c r="D20" i="109"/>
  <c r="N20" i="109"/>
  <c r="P22" i="109"/>
  <c r="I24" i="109"/>
  <c r="K25" i="109"/>
  <c r="L26" i="109"/>
  <c r="D27" i="109"/>
  <c r="N27" i="109"/>
  <c r="P29" i="109"/>
  <c r="J31" i="109"/>
  <c r="H32" i="109"/>
  <c r="R32" i="109"/>
  <c r="G33" i="109"/>
  <c r="R33" i="109"/>
  <c r="H34" i="109"/>
  <c r="R34" i="109"/>
  <c r="AC38" i="109"/>
  <c r="Y39" i="109"/>
  <c r="X40" i="109"/>
  <c r="U41" i="109"/>
  <c r="Z45" i="109"/>
  <c r="U46" i="109"/>
  <c r="AG47" i="109"/>
  <c r="E60" i="109"/>
  <c r="D61" i="109"/>
  <c r="E62" i="109"/>
  <c r="H59" i="109"/>
  <c r="F60" i="109"/>
  <c r="G61" i="109"/>
  <c r="F62" i="109"/>
  <c r="K62" i="109"/>
  <c r="C62" i="109"/>
  <c r="Q61" i="109"/>
  <c r="I61" i="109"/>
  <c r="O60" i="109"/>
  <c r="G60" i="109"/>
  <c r="M59" i="109"/>
  <c r="E59" i="109"/>
  <c r="M62" i="109"/>
  <c r="D62" i="109"/>
  <c r="O61" i="109"/>
  <c r="F61" i="109"/>
  <c r="R60" i="109"/>
  <c r="I60" i="109"/>
  <c r="K59" i="109"/>
  <c r="L62" i="109"/>
  <c r="N61" i="109"/>
  <c r="E61" i="109"/>
  <c r="Q60" i="109"/>
  <c r="H60" i="109"/>
  <c r="J59" i="109"/>
  <c r="R62" i="109"/>
  <c r="I62" i="109"/>
  <c r="P62" i="109"/>
  <c r="G62" i="109"/>
  <c r="J61" i="109"/>
  <c r="L60" i="109"/>
  <c r="C60" i="109"/>
  <c r="O59" i="109"/>
  <c r="F59" i="109"/>
  <c r="L59" i="109"/>
  <c r="K60" i="109"/>
  <c r="K61" i="109"/>
  <c r="J62" i="109"/>
  <c r="P57" i="109"/>
  <c r="N59" i="109"/>
  <c r="M60" i="109"/>
  <c r="L61" i="109"/>
  <c r="N62" i="109"/>
  <c r="P59" i="109"/>
  <c r="N60" i="109"/>
  <c r="M61" i="109"/>
  <c r="O62" i="109"/>
  <c r="Q104" i="107"/>
  <c r="I104" i="107"/>
  <c r="Q103" i="107"/>
  <c r="I103" i="107"/>
  <c r="Q102" i="107"/>
  <c r="I102" i="107"/>
  <c r="Q101" i="107"/>
  <c r="I101" i="107"/>
  <c r="G101" i="107"/>
  <c r="P101" i="107"/>
  <c r="C102" i="107"/>
  <c r="L102" i="107"/>
  <c r="G103" i="107"/>
  <c r="P103" i="107"/>
  <c r="C104" i="107"/>
  <c r="L104" i="107"/>
  <c r="AC27" i="109"/>
  <c r="U27" i="109"/>
  <c r="AA26" i="109"/>
  <c r="AG25" i="109"/>
  <c r="Y25" i="109"/>
  <c r="AE24" i="109"/>
  <c r="W24" i="109"/>
  <c r="U24" i="109"/>
  <c r="AD24" i="109"/>
  <c r="AB25" i="109"/>
  <c r="Y26" i="109"/>
  <c r="AH26" i="109"/>
  <c r="W27" i="109"/>
  <c r="AF27" i="109"/>
  <c r="O41" i="109"/>
  <c r="G41" i="109"/>
  <c r="M40" i="109"/>
  <c r="E40" i="109"/>
  <c r="K39" i="109"/>
  <c r="K41" i="109"/>
  <c r="N40" i="109"/>
  <c r="D40" i="109"/>
  <c r="P39" i="109"/>
  <c r="G39" i="109"/>
  <c r="M38" i="109"/>
  <c r="E38" i="109"/>
  <c r="N41" i="109"/>
  <c r="E41" i="109"/>
  <c r="Q40" i="109"/>
  <c r="H40" i="109"/>
  <c r="J39" i="109"/>
  <c r="P38" i="109"/>
  <c r="H38" i="109"/>
  <c r="P36" i="109"/>
  <c r="J38" i="109"/>
  <c r="M39" i="109"/>
  <c r="G40" i="109"/>
  <c r="M41" i="109"/>
  <c r="C59" i="109"/>
  <c r="Q59" i="109"/>
  <c r="P60" i="109"/>
  <c r="P61" i="109"/>
  <c r="Q62" i="109"/>
  <c r="O69" i="109"/>
  <c r="G69" i="109"/>
  <c r="M68" i="109"/>
  <c r="E68" i="109"/>
  <c r="N69" i="109"/>
  <c r="E69" i="109"/>
  <c r="Q68" i="109"/>
  <c r="H68" i="109"/>
  <c r="K67" i="109"/>
  <c r="C67" i="109"/>
  <c r="Q66" i="109"/>
  <c r="I66" i="109"/>
  <c r="M69" i="109"/>
  <c r="C69" i="109"/>
  <c r="L68" i="109"/>
  <c r="L67" i="109"/>
  <c r="N66" i="109"/>
  <c r="E66" i="109"/>
  <c r="L69" i="109"/>
  <c r="K68" i="109"/>
  <c r="J67" i="109"/>
  <c r="M66" i="109"/>
  <c r="D66" i="109"/>
  <c r="K69" i="109"/>
  <c r="J68" i="109"/>
  <c r="J69" i="109"/>
  <c r="I68" i="109"/>
  <c r="Q67" i="109"/>
  <c r="H67" i="109"/>
  <c r="K66" i="109"/>
  <c r="R69" i="109"/>
  <c r="H69" i="109"/>
  <c r="P68" i="109"/>
  <c r="F68" i="109"/>
  <c r="O67" i="109"/>
  <c r="F67" i="109"/>
  <c r="R66" i="109"/>
  <c r="H66" i="109"/>
  <c r="P64" i="109"/>
  <c r="O66" i="109"/>
  <c r="E67" i="109"/>
  <c r="D59" i="109"/>
  <c r="R59" i="109"/>
  <c r="D60" i="109"/>
  <c r="C61" i="109"/>
  <c r="R61" i="109"/>
  <c r="I76" i="109"/>
  <c r="K48" i="109"/>
  <c r="C48" i="109"/>
  <c r="Q47" i="109"/>
  <c r="I47" i="109"/>
  <c r="O46" i="109"/>
  <c r="G46" i="109"/>
  <c r="M45" i="109"/>
  <c r="E45" i="109"/>
  <c r="H45" i="109"/>
  <c r="Q45" i="109"/>
  <c r="E46" i="109"/>
  <c r="N46" i="109"/>
  <c r="C47" i="109"/>
  <c r="L47" i="109"/>
  <c r="I48" i="109"/>
  <c r="R48" i="109"/>
  <c r="K52" i="109"/>
  <c r="H53" i="109"/>
  <c r="Q53" i="109"/>
  <c r="F54" i="109"/>
  <c r="O54" i="109"/>
  <c r="C55" i="109"/>
  <c r="L55" i="109"/>
  <c r="Z59" i="109"/>
  <c r="W60" i="109"/>
  <c r="AF60" i="109"/>
  <c r="U61" i="109"/>
  <c r="AD61" i="109"/>
  <c r="G73" i="109"/>
  <c r="R73" i="109"/>
  <c r="AF73" i="109"/>
  <c r="M74" i="109"/>
  <c r="AA74" i="109"/>
  <c r="F75" i="109"/>
  <c r="U75" i="109"/>
  <c r="AF75" i="109"/>
  <c r="L76" i="109"/>
  <c r="Y76" i="109"/>
  <c r="G75" i="109"/>
  <c r="M76" i="109"/>
  <c r="I73" i="109"/>
  <c r="X73" i="109"/>
  <c r="D74" i="109"/>
  <c r="P74" i="109"/>
  <c r="AC74" i="109"/>
  <c r="J75" i="109"/>
  <c r="W75" i="109"/>
  <c r="AH75" i="109"/>
  <c r="K76" i="109"/>
  <c r="C76" i="109"/>
  <c r="Q75" i="109"/>
  <c r="I75" i="109"/>
  <c r="O74" i="109"/>
  <c r="G74" i="109"/>
  <c r="M73" i="109"/>
  <c r="E73" i="109"/>
  <c r="O76" i="109"/>
  <c r="F76" i="109"/>
  <c r="R75" i="109"/>
  <c r="H75" i="109"/>
  <c r="K74" i="109"/>
  <c r="N73" i="109"/>
  <c r="D73" i="109"/>
  <c r="N76" i="109"/>
  <c r="D76" i="109"/>
  <c r="M75" i="109"/>
  <c r="C75" i="109"/>
  <c r="L74" i="109"/>
  <c r="J73" i="109"/>
  <c r="P71" i="109"/>
  <c r="K73" i="109"/>
  <c r="E74" i="109"/>
  <c r="Q74" i="109"/>
  <c r="K75" i="109"/>
  <c r="E76" i="109"/>
  <c r="Q76" i="109"/>
  <c r="H55" i="109"/>
  <c r="AC62" i="109"/>
  <c r="U62" i="109"/>
  <c r="AA61" i="109"/>
  <c r="AG60" i="109"/>
  <c r="Y60" i="109"/>
  <c r="AE59" i="109"/>
  <c r="W59" i="109"/>
  <c r="U59" i="109"/>
  <c r="AD59" i="109"/>
  <c r="AB60" i="109"/>
  <c r="Y61" i="109"/>
  <c r="AH61" i="109"/>
  <c r="W62" i="109"/>
  <c r="AF62" i="109"/>
  <c r="AC76" i="109"/>
  <c r="U76" i="109"/>
  <c r="AA75" i="109"/>
  <c r="AG74" i="109"/>
  <c r="Y74" i="109"/>
  <c r="AE73" i="109"/>
  <c r="W73" i="109"/>
  <c r="Z76" i="109"/>
  <c r="AC75" i="109"/>
  <c r="AE74" i="109"/>
  <c r="V74" i="109"/>
  <c r="AH73" i="109"/>
  <c r="Y73" i="109"/>
  <c r="AA76" i="109"/>
  <c r="Y75" i="109"/>
  <c r="X74" i="109"/>
  <c r="AG73" i="109"/>
  <c r="V73" i="109"/>
  <c r="L73" i="109"/>
  <c r="AA73" i="109"/>
  <c r="F74" i="109"/>
  <c r="R74" i="109"/>
  <c r="AF74" i="109"/>
  <c r="L75" i="109"/>
  <c r="Z75" i="109"/>
  <c r="G76" i="109"/>
  <c r="R76" i="109"/>
  <c r="AF76" i="109"/>
  <c r="AA17" i="107"/>
  <c r="AI17" i="107"/>
  <c r="AA18" i="107"/>
  <c r="AI18" i="107"/>
  <c r="AA19" i="107"/>
  <c r="AI19" i="107"/>
  <c r="AA20" i="107"/>
  <c r="AA31" i="107"/>
  <c r="AI31" i="107"/>
  <c r="AA32" i="107"/>
  <c r="AI32" i="107"/>
  <c r="AA33" i="107"/>
  <c r="AI33" i="107"/>
  <c r="AA34" i="107"/>
  <c r="AA45" i="107"/>
  <c r="AI45" i="107"/>
  <c r="AA46" i="107"/>
  <c r="AI46" i="107"/>
  <c r="AA47" i="107"/>
  <c r="AI47" i="107"/>
  <c r="AA48" i="107"/>
  <c r="AA59" i="107"/>
  <c r="AI59" i="107"/>
  <c r="AA60" i="107"/>
  <c r="AI60" i="107"/>
  <c r="AA61" i="107"/>
  <c r="AI61" i="107"/>
  <c r="AA62" i="107"/>
  <c r="AA73" i="107"/>
  <c r="AI73" i="107"/>
  <c r="AA74" i="107"/>
  <c r="AI74" i="107"/>
  <c r="AA75" i="107"/>
  <c r="AI75" i="107"/>
  <c r="AA76" i="107"/>
  <c r="AA87" i="107"/>
  <c r="AI87" i="107"/>
  <c r="AA88" i="107"/>
  <c r="AI88" i="107"/>
  <c r="AA89" i="107"/>
  <c r="AI89" i="107"/>
  <c r="AA90" i="107"/>
  <c r="AA101" i="107"/>
  <c r="AI101" i="107"/>
  <c r="AA102" i="107"/>
  <c r="AI102" i="107"/>
  <c r="AA103" i="107"/>
  <c r="AI103" i="107"/>
  <c r="AA104" i="107"/>
  <c r="AA17" i="109"/>
  <c r="U18" i="109"/>
  <c r="AC18" i="109"/>
  <c r="W19" i="109"/>
  <c r="AE19" i="109"/>
  <c r="Y20" i="109"/>
  <c r="AA31" i="109"/>
  <c r="U32" i="109"/>
  <c r="AC32" i="109"/>
  <c r="W33" i="109"/>
  <c r="AE33" i="109"/>
  <c r="Y34" i="109"/>
  <c r="D45" i="109"/>
  <c r="N45" i="109"/>
  <c r="K46" i="109"/>
  <c r="H47" i="109"/>
  <c r="R47" i="109"/>
  <c r="F48" i="109"/>
  <c r="O48" i="109"/>
  <c r="O55" i="109"/>
  <c r="G55" i="109"/>
  <c r="M54" i="109"/>
  <c r="E54" i="109"/>
  <c r="K53" i="109"/>
  <c r="C53" i="109"/>
  <c r="Q52" i="109"/>
  <c r="I52" i="109"/>
  <c r="G52" i="109"/>
  <c r="P52" i="109"/>
  <c r="E53" i="109"/>
  <c r="N53" i="109"/>
  <c r="K54" i="109"/>
  <c r="I55" i="109"/>
  <c r="R55" i="109"/>
  <c r="AF57" i="109"/>
  <c r="V59" i="109"/>
  <c r="AF59" i="109"/>
  <c r="AC60" i="109"/>
  <c r="Z61" i="109"/>
  <c r="X62" i="109"/>
  <c r="AG62" i="109"/>
  <c r="AF71" i="109"/>
  <c r="O73" i="109"/>
  <c r="AB73" i="109"/>
  <c r="H74" i="109"/>
  <c r="U74" i="109"/>
  <c r="AH74" i="109"/>
  <c r="N75" i="109"/>
  <c r="AB75" i="109"/>
  <c r="H76" i="109"/>
  <c r="V76" i="109"/>
  <c r="AG76" i="109"/>
  <c r="AA87" i="109"/>
  <c r="AA88" i="109"/>
  <c r="AB89" i="109"/>
  <c r="AA52" i="109"/>
  <c r="U53" i="109"/>
  <c r="AC53" i="109"/>
  <c r="W54" i="109"/>
  <c r="AE54" i="109"/>
  <c r="Y55" i="109"/>
  <c r="AG69" i="109"/>
  <c r="Y69" i="109"/>
  <c r="AE68" i="109"/>
  <c r="W68" i="109"/>
  <c r="AC67" i="109"/>
  <c r="U67" i="109"/>
  <c r="AE69" i="109"/>
  <c r="AA66" i="109"/>
  <c r="V67" i="109"/>
  <c r="AE67" i="109"/>
  <c r="AB68" i="109"/>
  <c r="Z69" i="109"/>
  <c r="AC90" i="109"/>
  <c r="U90" i="109"/>
  <c r="AA89" i="109"/>
  <c r="AG88" i="109"/>
  <c r="Y88" i="109"/>
  <c r="AE87" i="109"/>
  <c r="W87" i="109"/>
  <c r="AD90" i="109"/>
  <c r="AF89" i="109"/>
  <c r="W89" i="109"/>
  <c r="Z88" i="109"/>
  <c r="AB87" i="109"/>
  <c r="Z90" i="109"/>
  <c r="AC89" i="109"/>
  <c r="AE88" i="109"/>
  <c r="V88" i="109"/>
  <c r="AH87" i="109"/>
  <c r="Y87" i="109"/>
  <c r="AG90" i="109"/>
  <c r="X90" i="109"/>
  <c r="Z89" i="109"/>
  <c r="AC88" i="109"/>
  <c r="AF87" i="109"/>
  <c r="V87" i="109"/>
  <c r="AF85" i="109"/>
  <c r="AF90" i="109"/>
  <c r="W90" i="109"/>
  <c r="AH89" i="109"/>
  <c r="Y89" i="109"/>
  <c r="AG87" i="109"/>
  <c r="AF88" i="109"/>
  <c r="AG89" i="109"/>
  <c r="V90" i="109"/>
  <c r="U87" i="109"/>
  <c r="U88" i="109"/>
  <c r="U89" i="109"/>
  <c r="Y90" i="109"/>
  <c r="X88" i="109"/>
  <c r="X89" i="109"/>
  <c r="AB90" i="109"/>
  <c r="E10" i="108"/>
  <c r="N10" i="108"/>
  <c r="AH10" i="108"/>
  <c r="I11" i="108"/>
  <c r="R11" i="108"/>
  <c r="D12" i="108"/>
  <c r="O12" i="108"/>
  <c r="C13" i="108"/>
  <c r="M13" i="108"/>
  <c r="AH13" i="108"/>
  <c r="AE17" i="108"/>
  <c r="AG19" i="108"/>
  <c r="U20" i="108"/>
  <c r="J24" i="108"/>
  <c r="I25" i="108"/>
  <c r="H26" i="108"/>
  <c r="H27" i="108"/>
  <c r="R27" i="108"/>
  <c r="AE34" i="108"/>
  <c r="W34" i="108"/>
  <c r="AE33" i="108"/>
  <c r="W33" i="108"/>
  <c r="AE32" i="108"/>
  <c r="W32" i="108"/>
  <c r="AE31" i="108"/>
  <c r="W31" i="108"/>
  <c r="AB34" i="108"/>
  <c r="AG33" i="108"/>
  <c r="X33" i="108"/>
  <c r="AB32" i="108"/>
  <c r="AG31" i="108"/>
  <c r="X31" i="108"/>
  <c r="AF34" i="108"/>
  <c r="U34" i="108"/>
  <c r="AF33" i="108"/>
  <c r="U33" i="108"/>
  <c r="AG32" i="108"/>
  <c r="V32" i="108"/>
  <c r="AH31" i="108"/>
  <c r="V31" i="108"/>
  <c r="AF31" i="108"/>
  <c r="X32" i="108"/>
  <c r="AI32" i="108"/>
  <c r="Z33" i="108"/>
  <c r="AA34" i="108"/>
  <c r="Q48" i="108"/>
  <c r="I48" i="108"/>
  <c r="Q47" i="108"/>
  <c r="I47" i="108"/>
  <c r="Q46" i="108"/>
  <c r="I46" i="108"/>
  <c r="Q45" i="108"/>
  <c r="I45" i="108"/>
  <c r="M48" i="108"/>
  <c r="D48" i="108"/>
  <c r="R47" i="108"/>
  <c r="H47" i="108"/>
  <c r="M46" i="108"/>
  <c r="D46" i="108"/>
  <c r="R45" i="108"/>
  <c r="H45" i="108"/>
  <c r="H48" i="108"/>
  <c r="J47" i="108"/>
  <c r="J46" i="108"/>
  <c r="K45" i="108"/>
  <c r="N48" i="108"/>
  <c r="C48" i="108"/>
  <c r="N47" i="108"/>
  <c r="D47" i="108"/>
  <c r="O46" i="108"/>
  <c r="E46" i="108"/>
  <c r="O45" i="108"/>
  <c r="E45" i="108"/>
  <c r="G45" i="108"/>
  <c r="P46" i="108"/>
  <c r="K47" i="108"/>
  <c r="E48" i="108"/>
  <c r="R48" i="108"/>
  <c r="AG52" i="108"/>
  <c r="AD53" i="108"/>
  <c r="Y54" i="108"/>
  <c r="AH55" i="108"/>
  <c r="AC59" i="108"/>
  <c r="AI60" i="108"/>
  <c r="U61" i="108"/>
  <c r="AF62" i="108"/>
  <c r="J95" i="109"/>
  <c r="H96" i="109"/>
  <c r="Q96" i="109"/>
  <c r="E97" i="109"/>
  <c r="N97" i="109"/>
  <c r="O104" i="109"/>
  <c r="G104" i="109"/>
  <c r="O103" i="109"/>
  <c r="G103" i="109"/>
  <c r="O102" i="109"/>
  <c r="G102" i="109"/>
  <c r="O101" i="109"/>
  <c r="G101" i="109"/>
  <c r="J101" i="109"/>
  <c r="C102" i="109"/>
  <c r="L102" i="109"/>
  <c r="E103" i="109"/>
  <c r="N103" i="109"/>
  <c r="H104" i="109"/>
  <c r="Q104" i="109"/>
  <c r="F10" i="108"/>
  <c r="O10" i="108"/>
  <c r="AI10" i="108"/>
  <c r="J11" i="108"/>
  <c r="U11" i="108"/>
  <c r="F12" i="108"/>
  <c r="P12" i="108"/>
  <c r="D13" i="108"/>
  <c r="N13" i="108"/>
  <c r="AI13" i="108"/>
  <c r="AG17" i="108"/>
  <c r="AI19" i="108"/>
  <c r="AF20" i="108"/>
  <c r="L24" i="108"/>
  <c r="J25" i="108"/>
  <c r="J26" i="108"/>
  <c r="I27" i="108"/>
  <c r="AH29" i="108"/>
  <c r="U31" i="108"/>
  <c r="AI31" i="108"/>
  <c r="Y32" i="108"/>
  <c r="AJ32" i="108"/>
  <c r="AA33" i="108"/>
  <c r="AC34" i="108"/>
  <c r="P43" i="108"/>
  <c r="J45" i="108"/>
  <c r="C46" i="108"/>
  <c r="R46" i="108"/>
  <c r="L47" i="108"/>
  <c r="F48" i="108"/>
  <c r="AI52" i="108"/>
  <c r="AE53" i="108"/>
  <c r="Z54" i="108"/>
  <c r="W55" i="108"/>
  <c r="AI55" i="108"/>
  <c r="AD59" i="108"/>
  <c r="AJ60" i="108"/>
  <c r="V61" i="108"/>
  <c r="AH62" i="108"/>
  <c r="O83" i="109"/>
  <c r="G83" i="109"/>
  <c r="M82" i="109"/>
  <c r="E82" i="109"/>
  <c r="K81" i="109"/>
  <c r="C81" i="109"/>
  <c r="Q80" i="109"/>
  <c r="I80" i="109"/>
  <c r="G80" i="109"/>
  <c r="P80" i="109"/>
  <c r="E81" i="109"/>
  <c r="N81" i="109"/>
  <c r="K82" i="109"/>
  <c r="I83" i="109"/>
  <c r="R83" i="109"/>
  <c r="K87" i="109"/>
  <c r="I88" i="109"/>
  <c r="R88" i="109"/>
  <c r="F89" i="109"/>
  <c r="O89" i="109"/>
  <c r="D90" i="109"/>
  <c r="M90" i="109"/>
  <c r="E94" i="109"/>
  <c r="N94" i="109"/>
  <c r="L95" i="109"/>
  <c r="I96" i="109"/>
  <c r="R96" i="109"/>
  <c r="F97" i="109"/>
  <c r="P99" i="109"/>
  <c r="K101" i="109"/>
  <c r="D102" i="109"/>
  <c r="M102" i="109"/>
  <c r="F103" i="109"/>
  <c r="P103" i="109"/>
  <c r="I104" i="109"/>
  <c r="R104" i="109"/>
  <c r="G10" i="108"/>
  <c r="P10" i="108"/>
  <c r="AJ10" i="108"/>
  <c r="K11" i="108"/>
  <c r="AF11" i="108"/>
  <c r="G12" i="108"/>
  <c r="R12" i="108"/>
  <c r="E13" i="108"/>
  <c r="AJ13" i="108"/>
  <c r="AH17" i="108"/>
  <c r="U18" i="108"/>
  <c r="AG20" i="108"/>
  <c r="M24" i="108"/>
  <c r="L25" i="108"/>
  <c r="L26" i="108"/>
  <c r="J27" i="108"/>
  <c r="Y31" i="108"/>
  <c r="AJ31" i="108"/>
  <c r="Z32" i="108"/>
  <c r="AB33" i="108"/>
  <c r="AD34" i="108"/>
  <c r="L45" i="108"/>
  <c r="F46" i="108"/>
  <c r="M47" i="108"/>
  <c r="G48" i="108"/>
  <c r="V52" i="108"/>
  <c r="AJ52" i="108"/>
  <c r="AF53" i="108"/>
  <c r="AB54" i="108"/>
  <c r="X55" i="108"/>
  <c r="AF59" i="108"/>
  <c r="X60" i="108"/>
  <c r="AB61" i="108"/>
  <c r="AI62" i="108"/>
  <c r="R13" i="108"/>
  <c r="J13" i="108"/>
  <c r="Q12" i="108"/>
  <c r="I12" i="108"/>
  <c r="I13" i="108"/>
  <c r="N12" i="108"/>
  <c r="E12" i="108"/>
  <c r="L11" i="108"/>
  <c r="D11" i="108"/>
  <c r="K10" i="108"/>
  <c r="C10" i="108"/>
  <c r="H10" i="108"/>
  <c r="Q10" i="108"/>
  <c r="C11" i="108"/>
  <c r="M11" i="108"/>
  <c r="H12" i="108"/>
  <c r="F13" i="108"/>
  <c r="P13" i="108"/>
  <c r="AH20" i="108"/>
  <c r="Y52" i="108"/>
  <c r="AH53" i="108"/>
  <c r="AD54" i="108"/>
  <c r="Y55" i="108"/>
  <c r="AJ59" i="108"/>
  <c r="Y60" i="108"/>
  <c r="AC61" i="108"/>
  <c r="D82" i="109"/>
  <c r="N82" i="109"/>
  <c r="K83" i="109"/>
  <c r="D87" i="109"/>
  <c r="N87" i="109"/>
  <c r="K88" i="109"/>
  <c r="H89" i="109"/>
  <c r="R89" i="109"/>
  <c r="F90" i="109"/>
  <c r="O97" i="109"/>
  <c r="G97" i="109"/>
  <c r="M96" i="109"/>
  <c r="E96" i="109"/>
  <c r="K95" i="109"/>
  <c r="C95" i="109"/>
  <c r="Q94" i="109"/>
  <c r="I94" i="109"/>
  <c r="G94" i="109"/>
  <c r="P94" i="109"/>
  <c r="E95" i="109"/>
  <c r="N95" i="109"/>
  <c r="K96" i="109"/>
  <c r="I97" i="109"/>
  <c r="R97" i="109"/>
  <c r="D101" i="109"/>
  <c r="M101" i="109"/>
  <c r="F102" i="109"/>
  <c r="P102" i="109"/>
  <c r="I103" i="109"/>
  <c r="R103" i="109"/>
  <c r="K104" i="109"/>
  <c r="P8" i="108"/>
  <c r="I10" i="108"/>
  <c r="R10" i="108"/>
  <c r="E11" i="108"/>
  <c r="N11" i="108"/>
  <c r="AH11" i="108"/>
  <c r="J12" i="108"/>
  <c r="G13" i="108"/>
  <c r="Q13" i="108"/>
  <c r="AH18" i="108"/>
  <c r="AJ20" i="108"/>
  <c r="E24" i="108"/>
  <c r="O24" i="108"/>
  <c r="D25" i="108"/>
  <c r="O25" i="108"/>
  <c r="D26" i="108"/>
  <c r="N26" i="108"/>
  <c r="AA31" i="108"/>
  <c r="AC32" i="108"/>
  <c r="AD33" i="108"/>
  <c r="V34" i="108"/>
  <c r="AH34" i="108"/>
  <c r="H46" i="108"/>
  <c r="C47" i="108"/>
  <c r="P47" i="108"/>
  <c r="K48" i="108"/>
  <c r="Z52" i="108"/>
  <c r="V53" i="108"/>
  <c r="AI53" i="108"/>
  <c r="AE54" i="108"/>
  <c r="AB55" i="108"/>
  <c r="Z60" i="108"/>
  <c r="AJ12" i="108"/>
  <c r="U13" i="108"/>
  <c r="AH12" i="108"/>
  <c r="AE11" i="108"/>
  <c r="U10" i="108"/>
  <c r="J10" i="108"/>
  <c r="AE10" i="108"/>
  <c r="F11" i="108"/>
  <c r="O11" i="108"/>
  <c r="AI11" i="108"/>
  <c r="K12" i="108"/>
  <c r="AF12" i="108"/>
  <c r="H13" i="108"/>
  <c r="AE13" i="108"/>
  <c r="AI18" i="108"/>
  <c r="K27" i="108"/>
  <c r="C27" i="108"/>
  <c r="K26" i="108"/>
  <c r="C26" i="108"/>
  <c r="K25" i="108"/>
  <c r="C25" i="108"/>
  <c r="K24" i="108"/>
  <c r="C24" i="108"/>
  <c r="N27" i="108"/>
  <c r="E27" i="108"/>
  <c r="R26" i="108"/>
  <c r="I26" i="108"/>
  <c r="N25" i="108"/>
  <c r="E25" i="108"/>
  <c r="R24" i="108"/>
  <c r="I24" i="108"/>
  <c r="F24" i="108"/>
  <c r="P24" i="108"/>
  <c r="F25" i="108"/>
  <c r="P25" i="108"/>
  <c r="E26" i="108"/>
  <c r="O26" i="108"/>
  <c r="D27" i="108"/>
  <c r="O27" i="108"/>
  <c r="L48" i="108"/>
  <c r="AA52" i="108"/>
  <c r="X53" i="108"/>
  <c r="AH54" i="108"/>
  <c r="AE62" i="108"/>
  <c r="W62" i="108"/>
  <c r="AE61" i="108"/>
  <c r="W61" i="108"/>
  <c r="AE60" i="108"/>
  <c r="W60" i="108"/>
  <c r="AE59" i="108"/>
  <c r="W59" i="108"/>
  <c r="AD62" i="108"/>
  <c r="U62" i="108"/>
  <c r="AI61" i="108"/>
  <c r="Z61" i="108"/>
  <c r="AD60" i="108"/>
  <c r="U60" i="108"/>
  <c r="AI59" i="108"/>
  <c r="Z59" i="108"/>
  <c r="AC62" i="108"/>
  <c r="AH61" i="108"/>
  <c r="Y61" i="108"/>
  <c r="AC60" i="108"/>
  <c r="AH59" i="108"/>
  <c r="Y59" i="108"/>
  <c r="AG62" i="108"/>
  <c r="AF61" i="108"/>
  <c r="AH60" i="108"/>
  <c r="V60" i="108"/>
  <c r="AG59" i="108"/>
  <c r="U59" i="108"/>
  <c r="AH57" i="108"/>
  <c r="AB62" i="108"/>
  <c r="Z62" i="108"/>
  <c r="AA61" i="108"/>
  <c r="AA60" i="108"/>
  <c r="AB59" i="108"/>
  <c r="AJ62" i="108"/>
  <c r="Y62" i="108"/>
  <c r="X61" i="108"/>
  <c r="V59" i="108"/>
  <c r="AB60" i="108"/>
  <c r="AG61" i="108"/>
  <c r="V62" i="108"/>
  <c r="L10" i="108"/>
  <c r="G11" i="108"/>
  <c r="P11" i="108"/>
  <c r="L12" i="108"/>
  <c r="K13" i="108"/>
  <c r="AI20" i="108"/>
  <c r="AH19" i="108"/>
  <c r="AG18" i="108"/>
  <c r="AF17" i="108"/>
  <c r="AE20" i="108"/>
  <c r="AJ19" i="108"/>
  <c r="AE18" i="108"/>
  <c r="AJ17" i="108"/>
  <c r="AJ18" i="108"/>
  <c r="AE19" i="108"/>
  <c r="AC55" i="108"/>
  <c r="U55" i="108"/>
  <c r="AC54" i="108"/>
  <c r="U54" i="108"/>
  <c r="AC53" i="108"/>
  <c r="U53" i="108"/>
  <c r="AC52" i="108"/>
  <c r="U52" i="108"/>
  <c r="AJ55" i="108"/>
  <c r="AA55" i="108"/>
  <c r="AF54" i="108"/>
  <c r="W54" i="108"/>
  <c r="AJ53" i="108"/>
  <c r="AA53" i="108"/>
  <c r="AF52" i="108"/>
  <c r="W52" i="108"/>
  <c r="AF55" i="108"/>
  <c r="V55" i="108"/>
  <c r="AG54" i="108"/>
  <c r="V54" i="108"/>
  <c r="AG53" i="108"/>
  <c r="W53" i="108"/>
  <c r="AH52" i="108"/>
  <c r="X52" i="108"/>
  <c r="AH50" i="108"/>
  <c r="Z55" i="108"/>
  <c r="AA54" i="108"/>
  <c r="AB53" i="108"/>
  <c r="AB52" i="108"/>
  <c r="AD52" i="108"/>
  <c r="Y53" i="108"/>
  <c r="AI54" i="108"/>
  <c r="AE55" i="108"/>
  <c r="AJ61" i="108"/>
  <c r="X62" i="108"/>
  <c r="H82" i="109"/>
  <c r="Q82" i="109"/>
  <c r="E83" i="109"/>
  <c r="N83" i="109"/>
  <c r="K90" i="109"/>
  <c r="C90" i="109"/>
  <c r="Q89" i="109"/>
  <c r="I89" i="109"/>
  <c r="O88" i="109"/>
  <c r="G88" i="109"/>
  <c r="M87" i="109"/>
  <c r="E87" i="109"/>
  <c r="H87" i="109"/>
  <c r="Q87" i="109"/>
  <c r="E88" i="109"/>
  <c r="N88" i="109"/>
  <c r="C89" i="109"/>
  <c r="L89" i="109"/>
  <c r="I90" i="109"/>
  <c r="R90" i="109"/>
  <c r="K94" i="109"/>
  <c r="H95" i="109"/>
  <c r="Q95" i="109"/>
  <c r="F96" i="109"/>
  <c r="O96" i="109"/>
  <c r="C97" i="109"/>
  <c r="L97" i="109"/>
  <c r="H101" i="109"/>
  <c r="Q101" i="109"/>
  <c r="J102" i="109"/>
  <c r="C103" i="109"/>
  <c r="L103" i="109"/>
  <c r="E104" i="109"/>
  <c r="N104" i="109"/>
  <c r="D10" i="108"/>
  <c r="M10" i="108"/>
  <c r="AG10" i="108"/>
  <c r="H11" i="108"/>
  <c r="Q11" i="108"/>
  <c r="C12" i="108"/>
  <c r="M12" i="108"/>
  <c r="AI12" i="108"/>
  <c r="L13" i="108"/>
  <c r="AG13" i="108"/>
  <c r="AH15" i="108"/>
  <c r="U17" i="108"/>
  <c r="AF19" i="108"/>
  <c r="H24" i="108"/>
  <c r="H25" i="108"/>
  <c r="R25" i="108"/>
  <c r="G26" i="108"/>
  <c r="Q26" i="108"/>
  <c r="G27" i="108"/>
  <c r="Q27" i="108"/>
  <c r="AD31" i="108"/>
  <c r="U32" i="108"/>
  <c r="AH32" i="108"/>
  <c r="Y33" i="108"/>
  <c r="AJ33" i="108"/>
  <c r="Z34" i="108"/>
  <c r="F45" i="108"/>
  <c r="N46" i="108"/>
  <c r="G47" i="108"/>
  <c r="P48" i="108"/>
  <c r="AE52" i="108"/>
  <c r="Z53" i="108"/>
  <c r="X54" i="108"/>
  <c r="AJ54" i="108"/>
  <c r="AG55" i="108"/>
  <c r="AA59" i="108"/>
  <c r="AG60" i="108"/>
  <c r="AA62" i="108"/>
  <c r="AE66" i="108"/>
  <c r="X67" i="108"/>
  <c r="AJ67" i="108"/>
  <c r="AF68" i="108"/>
  <c r="Z69" i="108"/>
  <c r="AJ81" i="108"/>
  <c r="AI82" i="108"/>
  <c r="U83" i="108"/>
  <c r="AG83" i="108"/>
  <c r="D95" i="108"/>
  <c r="O97" i="108"/>
  <c r="H19" i="110"/>
  <c r="AF27" i="110"/>
  <c r="X27" i="110"/>
  <c r="AF26" i="110"/>
  <c r="X26" i="110"/>
  <c r="AF25" i="110"/>
  <c r="X25" i="110"/>
  <c r="AF24" i="110"/>
  <c r="X24" i="110"/>
  <c r="AC27" i="110"/>
  <c r="AH26" i="110"/>
  <c r="Y26" i="110"/>
  <c r="AC25" i="110"/>
  <c r="AH24" i="110"/>
  <c r="Y24" i="110"/>
  <c r="AJ27" i="110"/>
  <c r="Z27" i="110"/>
  <c r="AA26" i="110"/>
  <c r="AA25" i="110"/>
  <c r="AB24" i="110"/>
  <c r="AH27" i="110"/>
  <c r="V27" i="110"/>
  <c r="AD26" i="110"/>
  <c r="Z25" i="110"/>
  <c r="AI24" i="110"/>
  <c r="V24" i="110"/>
  <c r="AI27" i="110"/>
  <c r="U27" i="110"/>
  <c r="Z26" i="110"/>
  <c r="AE25" i="110"/>
  <c r="AJ24" i="110"/>
  <c r="U24" i="110"/>
  <c r="AB27" i="110"/>
  <c r="AG26" i="110"/>
  <c r="AJ25" i="110"/>
  <c r="W25" i="110"/>
  <c r="AJ26" i="110"/>
  <c r="AI25" i="110"/>
  <c r="AG27" i="110"/>
  <c r="AI26" i="110"/>
  <c r="AH25" i="110"/>
  <c r="AG24" i="110"/>
  <c r="AE27" i="110"/>
  <c r="AE26" i="110"/>
  <c r="AG25" i="110"/>
  <c r="AE24" i="110"/>
  <c r="AH22" i="110"/>
  <c r="AA27" i="110"/>
  <c r="AB26" i="110"/>
  <c r="AB25" i="110"/>
  <c r="AC24" i="110"/>
  <c r="Y27" i="110"/>
  <c r="W26" i="110"/>
  <c r="Y25" i="110"/>
  <c r="AA24" i="110"/>
  <c r="W27" i="110"/>
  <c r="V26" i="110"/>
  <c r="V25" i="110"/>
  <c r="Z24" i="110"/>
  <c r="U26" i="110"/>
  <c r="U25" i="110"/>
  <c r="W24" i="110"/>
  <c r="AD27" i="110"/>
  <c r="U66" i="108"/>
  <c r="AF66" i="108"/>
  <c r="Z67" i="108"/>
  <c r="AG68" i="108"/>
  <c r="AB69" i="108"/>
  <c r="P76" i="108"/>
  <c r="AF80" i="108"/>
  <c r="AE81" i="108"/>
  <c r="X82" i="108"/>
  <c r="AB83" i="108"/>
  <c r="K96" i="108"/>
  <c r="Q96" i="108"/>
  <c r="I97" i="108"/>
  <c r="K55" i="108"/>
  <c r="C55" i="108"/>
  <c r="K54" i="108"/>
  <c r="C54" i="108"/>
  <c r="K53" i="108"/>
  <c r="C53" i="108"/>
  <c r="K52" i="108"/>
  <c r="C52" i="108"/>
  <c r="P55" i="108"/>
  <c r="G55" i="108"/>
  <c r="L54" i="108"/>
  <c r="P53" i="108"/>
  <c r="G53" i="108"/>
  <c r="L52" i="108"/>
  <c r="F52" i="108"/>
  <c r="P52" i="108"/>
  <c r="E53" i="108"/>
  <c r="O53" i="108"/>
  <c r="E54" i="108"/>
  <c r="O54" i="108"/>
  <c r="D55" i="108"/>
  <c r="N55" i="108"/>
  <c r="Q69" i="108"/>
  <c r="I69" i="108"/>
  <c r="Q68" i="108"/>
  <c r="I68" i="108"/>
  <c r="L69" i="108"/>
  <c r="C69" i="108"/>
  <c r="P68" i="108"/>
  <c r="G68" i="108"/>
  <c r="O67" i="108"/>
  <c r="G67" i="108"/>
  <c r="O66" i="108"/>
  <c r="G66" i="108"/>
  <c r="R69" i="108"/>
  <c r="G69" i="108"/>
  <c r="H68" i="108"/>
  <c r="L67" i="108"/>
  <c r="C67" i="108"/>
  <c r="Q66" i="108"/>
  <c r="H66" i="108"/>
  <c r="P69" i="108"/>
  <c r="F69" i="108"/>
  <c r="R68" i="108"/>
  <c r="F68" i="108"/>
  <c r="K67" i="108"/>
  <c r="P66" i="108"/>
  <c r="F66" i="108"/>
  <c r="P64" i="108"/>
  <c r="I66" i="108"/>
  <c r="V66" i="108"/>
  <c r="AH66" i="108"/>
  <c r="M67" i="108"/>
  <c r="AA67" i="108"/>
  <c r="D68" i="108"/>
  <c r="V68" i="108"/>
  <c r="AH68" i="108"/>
  <c r="N69" i="108"/>
  <c r="N74" i="108"/>
  <c r="N75" i="108"/>
  <c r="AJ82" i="108"/>
  <c r="M95" i="108"/>
  <c r="AJ13" i="110"/>
  <c r="AB13" i="110"/>
  <c r="AJ12" i="110"/>
  <c r="AB12" i="110"/>
  <c r="AJ11" i="110"/>
  <c r="AB11" i="110"/>
  <c r="AJ10" i="110"/>
  <c r="AB10" i="110"/>
  <c r="AH8" i="110"/>
  <c r="AF13" i="110"/>
  <c r="W13" i="110"/>
  <c r="AG13" i="110"/>
  <c r="V13" i="110"/>
  <c r="AI12" i="110"/>
  <c r="Z12" i="110"/>
  <c r="AE11" i="110"/>
  <c r="V11" i="110"/>
  <c r="AI10" i="110"/>
  <c r="Z10" i="110"/>
  <c r="AA13" i="110"/>
  <c r="AA12" i="110"/>
  <c r="AA11" i="110"/>
  <c r="AC10" i="110"/>
  <c r="AH13" i="110"/>
  <c r="AC12" i="110"/>
  <c r="AI11" i="110"/>
  <c r="X11" i="110"/>
  <c r="AF10" i="110"/>
  <c r="U10" i="110"/>
  <c r="Z13" i="110"/>
  <c r="AE12" i="110"/>
  <c r="AH11" i="110"/>
  <c r="U11" i="110"/>
  <c r="Y10" i="110"/>
  <c r="Y13" i="110"/>
  <c r="AD12" i="110"/>
  <c r="AG11" i="110"/>
  <c r="X10" i="110"/>
  <c r="X13" i="110"/>
  <c r="Y12" i="110"/>
  <c r="AF11" i="110"/>
  <c r="W10" i="110"/>
  <c r="AI13" i="110"/>
  <c r="W12" i="110"/>
  <c r="AC11" i="110"/>
  <c r="AG10" i="110"/>
  <c r="AE13" i="110"/>
  <c r="AH12" i="110"/>
  <c r="V12" i="110"/>
  <c r="Z11" i="110"/>
  <c r="AD13" i="110"/>
  <c r="AG12" i="110"/>
  <c r="U12" i="110"/>
  <c r="Y11" i="110"/>
  <c r="AD10" i="110"/>
  <c r="AC13" i="110"/>
  <c r="AF12" i="110"/>
  <c r="W11" i="110"/>
  <c r="AA10" i="110"/>
  <c r="V10" i="110"/>
  <c r="AI69" i="108"/>
  <c r="AA69" i="108"/>
  <c r="AI68" i="108"/>
  <c r="AA68" i="108"/>
  <c r="AF69" i="108"/>
  <c r="W69" i="108"/>
  <c r="AB68" i="108"/>
  <c r="AG67" i="108"/>
  <c r="Y67" i="108"/>
  <c r="AG66" i="108"/>
  <c r="Y66" i="108"/>
  <c r="AD69" i="108"/>
  <c r="AE68" i="108"/>
  <c r="U68" i="108"/>
  <c r="AF67" i="108"/>
  <c r="W67" i="108"/>
  <c r="AB66" i="108"/>
  <c r="AC69" i="108"/>
  <c r="AD68" i="108"/>
  <c r="AE67" i="108"/>
  <c r="V67" i="108"/>
  <c r="AJ66" i="108"/>
  <c r="AA66" i="108"/>
  <c r="X66" i="108"/>
  <c r="AC67" i="108"/>
  <c r="X68" i="108"/>
  <c r="U69" i="108"/>
  <c r="AH69" i="108"/>
  <c r="AH83" i="108"/>
  <c r="AD83" i="108"/>
  <c r="Z83" i="108"/>
  <c r="V83" i="108"/>
  <c r="AH82" i="108"/>
  <c r="AD82" i="108"/>
  <c r="Z82" i="108"/>
  <c r="V82" i="108"/>
  <c r="AH81" i="108"/>
  <c r="AD81" i="108"/>
  <c r="Z81" i="108"/>
  <c r="V81" i="108"/>
  <c r="AH80" i="108"/>
  <c r="AD80" i="108"/>
  <c r="Z80" i="108"/>
  <c r="V80" i="108"/>
  <c r="AC83" i="108"/>
  <c r="AC82" i="108"/>
  <c r="AC81" i="108"/>
  <c r="AC80" i="108"/>
  <c r="AI83" i="108"/>
  <c r="Y83" i="108"/>
  <c r="X81" i="108"/>
  <c r="AG80" i="108"/>
  <c r="AB80" i="108"/>
  <c r="AF83" i="108"/>
  <c r="AA83" i="108"/>
  <c r="AE82" i="108"/>
  <c r="U82" i="108"/>
  <c r="AI81" i="108"/>
  <c r="Y81" i="108"/>
  <c r="W80" i="108"/>
  <c r="X83" i="108"/>
  <c r="AG82" i="108"/>
  <c r="AB82" i="108"/>
  <c r="AJ80" i="108"/>
  <c r="AE80" i="108"/>
  <c r="Y80" i="108"/>
  <c r="W82" i="108"/>
  <c r="AF81" i="108"/>
  <c r="AA81" i="108"/>
  <c r="U81" i="108"/>
  <c r="AG81" i="108"/>
  <c r="AF82" i="108"/>
  <c r="AJ83" i="108"/>
  <c r="R97" i="108"/>
  <c r="N97" i="108"/>
  <c r="J97" i="108"/>
  <c r="F97" i="108"/>
  <c r="R96" i="108"/>
  <c r="N96" i="108"/>
  <c r="J96" i="108"/>
  <c r="F96" i="108"/>
  <c r="R95" i="108"/>
  <c r="N95" i="108"/>
  <c r="J95" i="108"/>
  <c r="F95" i="108"/>
  <c r="R94" i="108"/>
  <c r="N94" i="108"/>
  <c r="J94" i="108"/>
  <c r="F94" i="108"/>
  <c r="P97" i="108"/>
  <c r="G97" i="108"/>
  <c r="P96" i="108"/>
  <c r="G96" i="108"/>
  <c r="P95" i="108"/>
  <c r="G95" i="108"/>
  <c r="P94" i="108"/>
  <c r="G94" i="108"/>
  <c r="H95" i="108"/>
  <c r="C95" i="108"/>
  <c r="K94" i="108"/>
  <c r="Q97" i="108"/>
  <c r="L97" i="108"/>
  <c r="I96" i="108"/>
  <c r="D96" i="108"/>
  <c r="M94" i="108"/>
  <c r="H94" i="108"/>
  <c r="C94" i="108"/>
  <c r="M96" i="108"/>
  <c r="K95" i="108"/>
  <c r="E95" i="108"/>
  <c r="K97" i="108"/>
  <c r="H96" i="108"/>
  <c r="C96" i="108"/>
  <c r="O95" i="108"/>
  <c r="Q94" i="108"/>
  <c r="L94" i="108"/>
  <c r="I95" i="108"/>
  <c r="E94" i="108"/>
  <c r="P92" i="108"/>
  <c r="M97" i="108"/>
  <c r="O96" i="108"/>
  <c r="E96" i="108"/>
  <c r="I94" i="108"/>
  <c r="D94" i="108"/>
  <c r="H97" i="108"/>
  <c r="C97" i="108"/>
  <c r="Q95" i="108"/>
  <c r="L95" i="108"/>
  <c r="O94" i="108"/>
  <c r="E97" i="108"/>
  <c r="AE10" i="110"/>
  <c r="AH78" i="108"/>
  <c r="AI80" i="108"/>
  <c r="AB81" i="108"/>
  <c r="AE83" i="108"/>
  <c r="AH10" i="110"/>
  <c r="X12" i="110"/>
  <c r="U13" i="110"/>
  <c r="AD25" i="110"/>
  <c r="AA80" i="109"/>
  <c r="U81" i="109"/>
  <c r="AC81" i="109"/>
  <c r="W82" i="109"/>
  <c r="AE82" i="109"/>
  <c r="Y83" i="109"/>
  <c r="AA94" i="109"/>
  <c r="U95" i="109"/>
  <c r="AC95" i="109"/>
  <c r="W96" i="109"/>
  <c r="AE96" i="109"/>
  <c r="Y97" i="109"/>
  <c r="AC27" i="108"/>
  <c r="U27" i="108"/>
  <c r="AC26" i="108"/>
  <c r="U26" i="108"/>
  <c r="AC25" i="108"/>
  <c r="U25" i="108"/>
  <c r="AC24" i="108"/>
  <c r="U24" i="108"/>
  <c r="AD24" i="108"/>
  <c r="Y25" i="108"/>
  <c r="AH25" i="108"/>
  <c r="AD26" i="108"/>
  <c r="Y27" i="108"/>
  <c r="AH27" i="108"/>
  <c r="AG41" i="108"/>
  <c r="Y41" i="108"/>
  <c r="AG40" i="108"/>
  <c r="Y40" i="108"/>
  <c r="AG39" i="108"/>
  <c r="Y39" i="108"/>
  <c r="AG38" i="108"/>
  <c r="Y38" i="108"/>
  <c r="AD41" i="108"/>
  <c r="U41" i="108"/>
  <c r="AI40" i="108"/>
  <c r="Z40" i="108"/>
  <c r="AD39" i="108"/>
  <c r="U39" i="108"/>
  <c r="AI38" i="108"/>
  <c r="Z38" i="108"/>
  <c r="V38" i="108"/>
  <c r="AF38" i="108"/>
  <c r="V39" i="108"/>
  <c r="AF39" i="108"/>
  <c r="U40" i="108"/>
  <c r="AE40" i="108"/>
  <c r="AE41" i="108"/>
  <c r="AI48" i="108"/>
  <c r="AA48" i="108"/>
  <c r="AI47" i="108"/>
  <c r="AA47" i="108"/>
  <c r="AI46" i="108"/>
  <c r="AA46" i="108"/>
  <c r="AI45" i="108"/>
  <c r="AA45" i="108"/>
  <c r="AH43" i="108"/>
  <c r="AG48" i="108"/>
  <c r="X48" i="108"/>
  <c r="AC47" i="108"/>
  <c r="AG46" i="108"/>
  <c r="X46" i="108"/>
  <c r="AC45" i="108"/>
  <c r="W45" i="108"/>
  <c r="AG45" i="108"/>
  <c r="V46" i="108"/>
  <c r="AF46" i="108"/>
  <c r="V47" i="108"/>
  <c r="AF47" i="108"/>
  <c r="U48" i="108"/>
  <c r="AE48" i="108"/>
  <c r="J52" i="108"/>
  <c r="J53" i="108"/>
  <c r="I54" i="108"/>
  <c r="I55" i="108"/>
  <c r="M66" i="108"/>
  <c r="AC66" i="108"/>
  <c r="F67" i="108"/>
  <c r="R67" i="108"/>
  <c r="AH67" i="108"/>
  <c r="L68" i="108"/>
  <c r="Z68" i="108"/>
  <c r="H69" i="108"/>
  <c r="X69" i="108"/>
  <c r="K76" i="108"/>
  <c r="C76" i="108"/>
  <c r="K75" i="108"/>
  <c r="C75" i="108"/>
  <c r="K74" i="108"/>
  <c r="C74" i="108"/>
  <c r="K73" i="108"/>
  <c r="C73" i="108"/>
  <c r="O76" i="108"/>
  <c r="F76" i="108"/>
  <c r="Q75" i="108"/>
  <c r="H75" i="108"/>
  <c r="J76" i="108"/>
  <c r="I75" i="108"/>
  <c r="Q74" i="108"/>
  <c r="H74" i="108"/>
  <c r="J73" i="108"/>
  <c r="Q76" i="108"/>
  <c r="E76" i="108"/>
  <c r="L76" i="108"/>
  <c r="R75" i="108"/>
  <c r="F75" i="108"/>
  <c r="M74" i="108"/>
  <c r="L73" i="108"/>
  <c r="I76" i="108"/>
  <c r="P75" i="108"/>
  <c r="E75" i="108"/>
  <c r="L74" i="108"/>
  <c r="I73" i="108"/>
  <c r="G73" i="108"/>
  <c r="F74" i="108"/>
  <c r="G75" i="108"/>
  <c r="H76" i="108"/>
  <c r="AA82" i="108"/>
  <c r="AD11" i="110"/>
  <c r="L20" i="110"/>
  <c r="D20" i="110"/>
  <c r="L19" i="110"/>
  <c r="D19" i="110"/>
  <c r="L18" i="110"/>
  <c r="D18" i="110"/>
  <c r="L17" i="110"/>
  <c r="D17" i="110"/>
  <c r="O20" i="110"/>
  <c r="F20" i="110"/>
  <c r="J19" i="110"/>
  <c r="O18" i="110"/>
  <c r="F18" i="110"/>
  <c r="J17" i="110"/>
  <c r="K20" i="110"/>
  <c r="M19" i="110"/>
  <c r="M18" i="110"/>
  <c r="N17" i="110"/>
  <c r="C17" i="110"/>
  <c r="J20" i="110"/>
  <c r="R19" i="110"/>
  <c r="G19" i="110"/>
  <c r="P18" i="110"/>
  <c r="C18" i="110"/>
  <c r="K17" i="110"/>
  <c r="R20" i="110"/>
  <c r="E20" i="110"/>
  <c r="I19" i="110"/>
  <c r="N18" i="110"/>
  <c r="R17" i="110"/>
  <c r="F17" i="110"/>
  <c r="N20" i="110"/>
  <c r="O19" i="110"/>
  <c r="Q18" i="110"/>
  <c r="P17" i="110"/>
  <c r="M20" i="110"/>
  <c r="N19" i="110"/>
  <c r="K18" i="110"/>
  <c r="O17" i="110"/>
  <c r="I20" i="110"/>
  <c r="K19" i="110"/>
  <c r="J18" i="110"/>
  <c r="M17" i="110"/>
  <c r="P15" i="110"/>
  <c r="G20" i="110"/>
  <c r="F19" i="110"/>
  <c r="H18" i="110"/>
  <c r="H17" i="110"/>
  <c r="C20" i="110"/>
  <c r="E19" i="110"/>
  <c r="G18" i="110"/>
  <c r="G17" i="110"/>
  <c r="Q20" i="110"/>
  <c r="Q19" i="110"/>
  <c r="C19" i="110"/>
  <c r="E18" i="110"/>
  <c r="E17" i="110"/>
  <c r="P20" i="110"/>
  <c r="P19" i="110"/>
  <c r="R18" i="110"/>
  <c r="Q17" i="110"/>
  <c r="E17" i="108"/>
  <c r="M17" i="108"/>
  <c r="F18" i="108"/>
  <c r="N18" i="108"/>
  <c r="G19" i="108"/>
  <c r="O19" i="108"/>
  <c r="H20" i="108"/>
  <c r="M34" i="108"/>
  <c r="E34" i="108"/>
  <c r="M33" i="108"/>
  <c r="E33" i="108"/>
  <c r="M32" i="108"/>
  <c r="E32" i="108"/>
  <c r="E31" i="108"/>
  <c r="M31" i="108"/>
  <c r="H32" i="108"/>
  <c r="Q32" i="108"/>
  <c r="C33" i="108"/>
  <c r="L33" i="108"/>
  <c r="H34" i="108"/>
  <c r="Q34" i="108"/>
  <c r="O41" i="108"/>
  <c r="G41" i="108"/>
  <c r="O40" i="108"/>
  <c r="G40" i="108"/>
  <c r="O39" i="108"/>
  <c r="G39" i="108"/>
  <c r="O38" i="108"/>
  <c r="G38" i="108"/>
  <c r="E38" i="108"/>
  <c r="N38" i="108"/>
  <c r="J39" i="108"/>
  <c r="E40" i="108"/>
  <c r="N40" i="108"/>
  <c r="J41" i="108"/>
  <c r="AE73" i="108"/>
  <c r="AJ73" i="108"/>
  <c r="AD75" i="108"/>
  <c r="AI75" i="108"/>
  <c r="AA76" i="108"/>
  <c r="AI90" i="108"/>
  <c r="AE90" i="108"/>
  <c r="AA90" i="108"/>
  <c r="W90" i="108"/>
  <c r="AI89" i="108"/>
  <c r="AE89" i="108"/>
  <c r="AA89" i="108"/>
  <c r="W89" i="108"/>
  <c r="AI88" i="108"/>
  <c r="AE88" i="108"/>
  <c r="AA88" i="108"/>
  <c r="W88" i="108"/>
  <c r="AI87" i="108"/>
  <c r="AE87" i="108"/>
  <c r="AA87" i="108"/>
  <c r="W87" i="108"/>
  <c r="AD90" i="108"/>
  <c r="U90" i="108"/>
  <c r="AD89" i="108"/>
  <c r="U89" i="108"/>
  <c r="AD88" i="108"/>
  <c r="U88" i="108"/>
  <c r="AD87" i="108"/>
  <c r="U87" i="108"/>
  <c r="X90" i="108"/>
  <c r="AF89" i="108"/>
  <c r="V89" i="108"/>
  <c r="Y88" i="108"/>
  <c r="AG87" i="108"/>
  <c r="AB87" i="108"/>
  <c r="AH85" i="108"/>
  <c r="X87" i="108"/>
  <c r="AC87" i="108"/>
  <c r="K88" i="108"/>
  <c r="D89" i="108"/>
  <c r="N89" i="108"/>
  <c r="C90" i="108"/>
  <c r="H90" i="108"/>
  <c r="N90" i="108"/>
  <c r="Z90" i="108"/>
  <c r="AJ90" i="108"/>
  <c r="U94" i="108"/>
  <c r="AI94" i="108"/>
  <c r="AC95" i="108"/>
  <c r="Y97" i="108"/>
  <c r="AD97" i="108"/>
  <c r="AI97" i="108"/>
  <c r="I102" i="108"/>
  <c r="C104" i="108"/>
  <c r="R13" i="110"/>
  <c r="J13" i="110"/>
  <c r="R12" i="110"/>
  <c r="J12" i="110"/>
  <c r="R11" i="110"/>
  <c r="J11" i="110"/>
  <c r="R10" i="110"/>
  <c r="J10" i="110"/>
  <c r="K13" i="110"/>
  <c r="O12" i="110"/>
  <c r="F12" i="110"/>
  <c r="K11" i="110"/>
  <c r="O10" i="110"/>
  <c r="F10" i="110"/>
  <c r="N13" i="110"/>
  <c r="D13" i="110"/>
  <c r="N12" i="110"/>
  <c r="D12" i="110"/>
  <c r="O11" i="110"/>
  <c r="E11" i="110"/>
  <c r="P10" i="110"/>
  <c r="E10" i="110"/>
  <c r="Q13" i="110"/>
  <c r="F13" i="110"/>
  <c r="M12" i="110"/>
  <c r="I11" i="110"/>
  <c r="G10" i="110"/>
  <c r="L10" i="110"/>
  <c r="G11" i="110"/>
  <c r="C12" i="110"/>
  <c r="Q12" i="110"/>
  <c r="L13" i="110"/>
  <c r="AI17" i="110"/>
  <c r="AH18" i="110"/>
  <c r="AH19" i="110"/>
  <c r="AF20" i="110"/>
  <c r="L31" i="110"/>
  <c r="F32" i="110"/>
  <c r="M33" i="110"/>
  <c r="R34" i="110"/>
  <c r="AG76" i="108"/>
  <c r="AC76" i="108"/>
  <c r="Y76" i="108"/>
  <c r="U76" i="108"/>
  <c r="AG75" i="108"/>
  <c r="AC75" i="108"/>
  <c r="Y75" i="108"/>
  <c r="U75" i="108"/>
  <c r="AG74" i="108"/>
  <c r="AC74" i="108"/>
  <c r="Y74" i="108"/>
  <c r="U74" i="108"/>
  <c r="AG73" i="108"/>
  <c r="AC73" i="108"/>
  <c r="Y73" i="108"/>
  <c r="U73" i="108"/>
  <c r="AB76" i="108"/>
  <c r="AH75" i="108"/>
  <c r="AI74" i="108"/>
  <c r="Z74" i="108"/>
  <c r="AJ76" i="108"/>
  <c r="V76" i="108"/>
  <c r="Z75" i="108"/>
  <c r="AD74" i="108"/>
  <c r="AI73" i="108"/>
  <c r="Z73" i="108"/>
  <c r="AH71" i="108"/>
  <c r="V73" i="108"/>
  <c r="AA73" i="108"/>
  <c r="W74" i="108"/>
  <c r="AB74" i="108"/>
  <c r="W76" i="108"/>
  <c r="G87" i="108"/>
  <c r="L87" i="108"/>
  <c r="F88" i="108"/>
  <c r="X88" i="108"/>
  <c r="AC88" i="108"/>
  <c r="AH88" i="108"/>
  <c r="AG89" i="108"/>
  <c r="AF90" i="108"/>
  <c r="Z94" i="108"/>
  <c r="AE94" i="108"/>
  <c r="V96" i="108"/>
  <c r="E101" i="108"/>
  <c r="D102" i="108"/>
  <c r="I103" i="108"/>
  <c r="P8" i="110"/>
  <c r="M10" i="110"/>
  <c r="H11" i="110"/>
  <c r="E12" i="110"/>
  <c r="M13" i="110"/>
  <c r="W17" i="110"/>
  <c r="U18" i="110"/>
  <c r="AJ19" i="110"/>
  <c r="AJ20" i="110"/>
  <c r="N31" i="110"/>
  <c r="G32" i="110"/>
  <c r="Q33" i="110"/>
  <c r="C34" i="110"/>
  <c r="R104" i="108"/>
  <c r="N104" i="108"/>
  <c r="J104" i="108"/>
  <c r="F104" i="108"/>
  <c r="R103" i="108"/>
  <c r="N103" i="108"/>
  <c r="J103" i="108"/>
  <c r="F103" i="108"/>
  <c r="R102" i="108"/>
  <c r="N102" i="108"/>
  <c r="J102" i="108"/>
  <c r="F102" i="108"/>
  <c r="R101" i="108"/>
  <c r="N101" i="108"/>
  <c r="J101" i="108"/>
  <c r="F101" i="108"/>
  <c r="P99" i="108"/>
  <c r="Q104" i="108"/>
  <c r="H104" i="108"/>
  <c r="O103" i="108"/>
  <c r="Q102" i="108"/>
  <c r="H102" i="108"/>
  <c r="O101" i="108"/>
  <c r="L104" i="108"/>
  <c r="G104" i="108"/>
  <c r="M103" i="108"/>
  <c r="D103" i="108"/>
  <c r="O102" i="108"/>
  <c r="E102" i="108"/>
  <c r="G101" i="108"/>
  <c r="K102" i="108"/>
  <c r="P102" i="108"/>
  <c r="P103" i="108"/>
  <c r="AA17" i="110"/>
  <c r="X18" i="110"/>
  <c r="X19" i="110"/>
  <c r="W20" i="110"/>
  <c r="L32" i="110"/>
  <c r="G34" i="110"/>
  <c r="Q90" i="108"/>
  <c r="M90" i="108"/>
  <c r="I90" i="108"/>
  <c r="E90" i="108"/>
  <c r="Q89" i="108"/>
  <c r="M89" i="108"/>
  <c r="I89" i="108"/>
  <c r="E89" i="108"/>
  <c r="Q88" i="108"/>
  <c r="M88" i="108"/>
  <c r="I88" i="108"/>
  <c r="E88" i="108"/>
  <c r="Q87" i="108"/>
  <c r="M87" i="108"/>
  <c r="I87" i="108"/>
  <c r="E87" i="108"/>
  <c r="J90" i="108"/>
  <c r="J89" i="108"/>
  <c r="J88" i="108"/>
  <c r="J87" i="108"/>
  <c r="L90" i="108"/>
  <c r="G90" i="108"/>
  <c r="O89" i="108"/>
  <c r="R88" i="108"/>
  <c r="H88" i="108"/>
  <c r="P87" i="108"/>
  <c r="N88" i="108"/>
  <c r="G89" i="108"/>
  <c r="L89" i="108"/>
  <c r="F90" i="108"/>
  <c r="AJ97" i="108"/>
  <c r="AF97" i="108"/>
  <c r="AB97" i="108"/>
  <c r="X97" i="108"/>
  <c r="AJ96" i="108"/>
  <c r="AF96" i="108"/>
  <c r="AB96" i="108"/>
  <c r="X96" i="108"/>
  <c r="AJ95" i="108"/>
  <c r="AF95" i="108"/>
  <c r="AB95" i="108"/>
  <c r="X95" i="108"/>
  <c r="AJ94" i="108"/>
  <c r="AF94" i="108"/>
  <c r="AB94" i="108"/>
  <c r="X94" i="108"/>
  <c r="AH92" i="108"/>
  <c r="AA97" i="108"/>
  <c r="AA96" i="108"/>
  <c r="AA95" i="108"/>
  <c r="AA94" i="108"/>
  <c r="AG97" i="108"/>
  <c r="W97" i="108"/>
  <c r="AE96" i="108"/>
  <c r="Z96" i="108"/>
  <c r="AH95" i="108"/>
  <c r="AC94" i="108"/>
  <c r="V95" i="108"/>
  <c r="AD96" i="108"/>
  <c r="AI96" i="108"/>
  <c r="C101" i="108"/>
  <c r="H101" i="108"/>
  <c r="G102" i="108"/>
  <c r="L102" i="108"/>
  <c r="G103" i="108"/>
  <c r="Q103" i="108"/>
  <c r="AC17" i="110"/>
  <c r="AB18" i="110"/>
  <c r="AB19" i="110"/>
  <c r="AB20" i="110"/>
  <c r="G31" i="110"/>
  <c r="O32" i="110"/>
  <c r="G33" i="110"/>
  <c r="J34" i="110"/>
  <c r="AF17" i="110"/>
  <c r="AF18" i="110"/>
  <c r="AC19" i="110"/>
  <c r="I33" i="110"/>
  <c r="D101" i="108"/>
  <c r="I101" i="108"/>
  <c r="C102" i="108"/>
  <c r="M102" i="108"/>
  <c r="C103" i="108"/>
  <c r="H103" i="108"/>
  <c r="M104" i="108"/>
  <c r="AD20" i="110"/>
  <c r="V20" i="110"/>
  <c r="AD19" i="110"/>
  <c r="V19" i="110"/>
  <c r="AD18" i="110"/>
  <c r="V18" i="110"/>
  <c r="AD17" i="110"/>
  <c r="V17" i="110"/>
  <c r="AI20" i="110"/>
  <c r="Z20" i="110"/>
  <c r="AE19" i="110"/>
  <c r="U19" i="110"/>
  <c r="AI18" i="110"/>
  <c r="Z18" i="110"/>
  <c r="AE17" i="110"/>
  <c r="U17" i="110"/>
  <c r="AH15" i="110"/>
  <c r="AH20" i="110"/>
  <c r="X20" i="110"/>
  <c r="AI19" i="110"/>
  <c r="Y19" i="110"/>
  <c r="AJ18" i="110"/>
  <c r="Y18" i="110"/>
  <c r="AJ17" i="110"/>
  <c r="Z17" i="110"/>
  <c r="Y20" i="110"/>
  <c r="AG19" i="110"/>
  <c r="AC18" i="110"/>
  <c r="Y17" i="110"/>
  <c r="AG20" i="110"/>
  <c r="Z19" i="110"/>
  <c r="AE18" i="110"/>
  <c r="AH17" i="110"/>
  <c r="AG17" i="110"/>
  <c r="AG18" i="110"/>
  <c r="AF19" i="110"/>
  <c r="AE20" i="110"/>
  <c r="P34" i="110"/>
  <c r="H34" i="110"/>
  <c r="P33" i="110"/>
  <c r="H33" i="110"/>
  <c r="P32" i="110"/>
  <c r="H32" i="110"/>
  <c r="P31" i="110"/>
  <c r="H31" i="110"/>
  <c r="K34" i="110"/>
  <c r="O33" i="110"/>
  <c r="F33" i="110"/>
  <c r="K32" i="110"/>
  <c r="O31" i="110"/>
  <c r="F31" i="110"/>
  <c r="P29" i="110"/>
  <c r="Q34" i="110"/>
  <c r="F34" i="110"/>
  <c r="J33" i="110"/>
  <c r="M32" i="110"/>
  <c r="C32" i="110"/>
  <c r="Q31" i="110"/>
  <c r="E31" i="110"/>
  <c r="M34" i="110"/>
  <c r="N33" i="110"/>
  <c r="C33" i="110"/>
  <c r="Q32" i="110"/>
  <c r="E32" i="110"/>
  <c r="R31" i="110"/>
  <c r="D31" i="110"/>
  <c r="L34" i="110"/>
  <c r="L33" i="110"/>
  <c r="J32" i="110"/>
  <c r="I31" i="110"/>
  <c r="E34" i="110"/>
  <c r="E33" i="110"/>
  <c r="R32" i="110"/>
  <c r="D32" i="110"/>
  <c r="M31" i="110"/>
  <c r="K31" i="110"/>
  <c r="K33" i="110"/>
  <c r="O34" i="110"/>
  <c r="E59" i="108"/>
  <c r="M59" i="108"/>
  <c r="E60" i="108"/>
  <c r="M60" i="108"/>
  <c r="E61" i="108"/>
  <c r="M61" i="108"/>
  <c r="E62" i="108"/>
  <c r="N27" i="110"/>
  <c r="F27" i="110"/>
  <c r="N26" i="110"/>
  <c r="F26" i="110"/>
  <c r="N25" i="110"/>
  <c r="F25" i="110"/>
  <c r="N24" i="110"/>
  <c r="F24" i="110"/>
  <c r="P22" i="110"/>
  <c r="R27" i="110"/>
  <c r="I27" i="110"/>
  <c r="M26" i="110"/>
  <c r="D26" i="110"/>
  <c r="R25" i="110"/>
  <c r="I25" i="110"/>
  <c r="M24" i="110"/>
  <c r="D24" i="110"/>
  <c r="M27" i="110"/>
  <c r="C27" i="110"/>
  <c r="O26" i="110"/>
  <c r="C26" i="110"/>
  <c r="O25" i="110"/>
  <c r="D25" i="110"/>
  <c r="P24" i="110"/>
  <c r="E24" i="110"/>
  <c r="I24" i="110"/>
  <c r="L25" i="110"/>
  <c r="E26" i="110"/>
  <c r="Q26" i="110"/>
  <c r="H27" i="110"/>
  <c r="L48" i="110"/>
  <c r="D48" i="110"/>
  <c r="L47" i="110"/>
  <c r="D47" i="110"/>
  <c r="L46" i="110"/>
  <c r="D46" i="110"/>
  <c r="L45" i="110"/>
  <c r="D45" i="110"/>
  <c r="N48" i="110"/>
  <c r="E48" i="110"/>
  <c r="R47" i="110"/>
  <c r="I47" i="110"/>
  <c r="N46" i="110"/>
  <c r="E46" i="110"/>
  <c r="R45" i="110"/>
  <c r="I45" i="110"/>
  <c r="M48" i="110"/>
  <c r="N47" i="110"/>
  <c r="C47" i="110"/>
  <c r="O46" i="110"/>
  <c r="C46" i="110"/>
  <c r="O45" i="110"/>
  <c r="E45" i="110"/>
  <c r="R48" i="110"/>
  <c r="H48" i="110"/>
  <c r="G48" i="110"/>
  <c r="F48" i="110"/>
  <c r="P47" i="110"/>
  <c r="E47" i="110"/>
  <c r="M46" i="110"/>
  <c r="P48" i="110"/>
  <c r="M47" i="110"/>
  <c r="J46" i="110"/>
  <c r="H45" i="110"/>
  <c r="P43" i="110"/>
  <c r="O48" i="110"/>
  <c r="K47" i="110"/>
  <c r="I46" i="110"/>
  <c r="I48" i="110"/>
  <c r="G47" i="110"/>
  <c r="Q46" i="110"/>
  <c r="F46" i="110"/>
  <c r="N45" i="110"/>
  <c r="J45" i="110"/>
  <c r="Q48" i="110"/>
  <c r="I52" i="110"/>
  <c r="J52" i="110"/>
  <c r="H46" i="110"/>
  <c r="F47" i="110"/>
  <c r="P52" i="110"/>
  <c r="H47" i="110"/>
  <c r="N55" i="110"/>
  <c r="F55" i="110"/>
  <c r="N54" i="110"/>
  <c r="F54" i="110"/>
  <c r="N53" i="110"/>
  <c r="F53" i="110"/>
  <c r="N52" i="110"/>
  <c r="F52" i="110"/>
  <c r="P50" i="110"/>
  <c r="Q55" i="110"/>
  <c r="H55" i="110"/>
  <c r="L54" i="110"/>
  <c r="C54" i="110"/>
  <c r="Q53" i="110"/>
  <c r="H53" i="110"/>
  <c r="L52" i="110"/>
  <c r="C52" i="110"/>
  <c r="O55" i="110"/>
  <c r="D55" i="110"/>
  <c r="P54" i="110"/>
  <c r="E54" i="110"/>
  <c r="P53" i="110"/>
  <c r="E53" i="110"/>
  <c r="Q52" i="110"/>
  <c r="G52" i="110"/>
  <c r="J55" i="110"/>
  <c r="J54" i="110"/>
  <c r="K53" i="110"/>
  <c r="K52" i="110"/>
  <c r="G55" i="110"/>
  <c r="K54" i="110"/>
  <c r="O53" i="110"/>
  <c r="E52" i="110"/>
  <c r="E55" i="110"/>
  <c r="I54" i="110"/>
  <c r="M53" i="110"/>
  <c r="R52" i="110"/>
  <c r="D52" i="110"/>
  <c r="R55" i="110"/>
  <c r="C55" i="110"/>
  <c r="H54" i="110"/>
  <c r="L53" i="110"/>
  <c r="P55" i="110"/>
  <c r="G54" i="110"/>
  <c r="J53" i="110"/>
  <c r="O52" i="110"/>
  <c r="M55" i="110"/>
  <c r="R54" i="110"/>
  <c r="D54" i="110"/>
  <c r="I53" i="110"/>
  <c r="M52" i="110"/>
  <c r="K55" i="110"/>
  <c r="O54" i="110"/>
  <c r="D53" i="110"/>
  <c r="I55" i="110"/>
  <c r="M54" i="110"/>
  <c r="R53" i="110"/>
  <c r="C53" i="110"/>
  <c r="H52" i="110"/>
  <c r="O47" i="110"/>
  <c r="J48" i="110"/>
  <c r="Q54" i="110"/>
  <c r="L55" i="110"/>
  <c r="N40" i="110"/>
  <c r="F41" i="110"/>
  <c r="R41" i="110"/>
  <c r="J41" i="110"/>
  <c r="R40" i="110"/>
  <c r="J40" i="110"/>
  <c r="R39" i="110"/>
  <c r="J39" i="110"/>
  <c r="R38" i="110"/>
  <c r="J38" i="110"/>
  <c r="K41" i="110"/>
  <c r="O40" i="110"/>
  <c r="F40" i="110"/>
  <c r="K39" i="110"/>
  <c r="M41" i="110"/>
  <c r="C41" i="110"/>
  <c r="M40" i="110"/>
  <c r="C40" i="110"/>
  <c r="N39" i="110"/>
  <c r="D39" i="110"/>
  <c r="Q38" i="110"/>
  <c r="H38" i="110"/>
  <c r="E38" i="110"/>
  <c r="O38" i="110"/>
  <c r="E39" i="110"/>
  <c r="P39" i="110"/>
  <c r="H40" i="110"/>
  <c r="L41" i="110"/>
  <c r="AF55" i="110"/>
  <c r="X55" i="110"/>
  <c r="AF54" i="110"/>
  <c r="X54" i="110"/>
  <c r="AF53" i="110"/>
  <c r="X53" i="110"/>
  <c r="AF52" i="110"/>
  <c r="X52" i="110"/>
  <c r="AB55" i="110"/>
  <c r="AG54" i="110"/>
  <c r="W54" i="110"/>
  <c r="AB53" i="110"/>
  <c r="AG52" i="110"/>
  <c r="W52" i="110"/>
  <c r="AA55" i="110"/>
  <c r="AB54" i="110"/>
  <c r="AC53" i="110"/>
  <c r="AC52" i="110"/>
  <c r="AG55" i="110"/>
  <c r="V55" i="110"/>
  <c r="AH54" i="110"/>
  <c r="V54" i="110"/>
  <c r="AH53" i="110"/>
  <c r="W53" i="110"/>
  <c r="AI52" i="110"/>
  <c r="Y52" i="110"/>
  <c r="AH50" i="110"/>
  <c r="AD52" i="110"/>
  <c r="Z53" i="110"/>
  <c r="U54" i="110"/>
  <c r="AJ54" i="110"/>
  <c r="AE55" i="110"/>
  <c r="AC69" i="110"/>
  <c r="U69" i="110"/>
  <c r="AC68" i="110"/>
  <c r="U68" i="110"/>
  <c r="AJ69" i="110"/>
  <c r="AA69" i="110"/>
  <c r="AF68" i="110"/>
  <c r="W68" i="110"/>
  <c r="AJ67" i="110"/>
  <c r="AB67" i="110"/>
  <c r="AJ66" i="110"/>
  <c r="AB66" i="110"/>
  <c r="AE69" i="110"/>
  <c r="AE68" i="110"/>
  <c r="AF67" i="110"/>
  <c r="W67" i="110"/>
  <c r="AA66" i="110"/>
  <c r="V66" i="110"/>
  <c r="AF66" i="110"/>
  <c r="U67" i="110"/>
  <c r="AE67" i="110"/>
  <c r="X68" i="110"/>
  <c r="AI68" i="110"/>
  <c r="Z69" i="110"/>
  <c r="AH64" i="110"/>
  <c r="W66" i="110"/>
  <c r="AG66" i="110"/>
  <c r="V67" i="110"/>
  <c r="AG67" i="110"/>
  <c r="Y68" i="110"/>
  <c r="AJ68" i="110"/>
  <c r="AB69" i="110"/>
  <c r="H88" i="110"/>
  <c r="Z68" i="110"/>
  <c r="AD69" i="110"/>
  <c r="Y66" i="110"/>
  <c r="AI66" i="110"/>
  <c r="Y67" i="110"/>
  <c r="AI67" i="110"/>
  <c r="AA68" i="110"/>
  <c r="AF69" i="110"/>
  <c r="D88" i="110"/>
  <c r="E89" i="110"/>
  <c r="M90" i="110"/>
  <c r="Z66" i="110"/>
  <c r="Z67" i="110"/>
  <c r="AB68" i="110"/>
  <c r="V69" i="110"/>
  <c r="AG69" i="110"/>
  <c r="P87" i="110"/>
  <c r="AJ41" i="110"/>
  <c r="AB41" i="110"/>
  <c r="AJ40" i="110"/>
  <c r="AB40" i="110"/>
  <c r="AJ39" i="110"/>
  <c r="AB39" i="110"/>
  <c r="AJ38" i="110"/>
  <c r="AB38" i="110"/>
  <c r="AE41" i="110"/>
  <c r="V41" i="110"/>
  <c r="AI40" i="110"/>
  <c r="Z40" i="110"/>
  <c r="AE39" i="110"/>
  <c r="V39" i="110"/>
  <c r="AC38" i="110"/>
  <c r="Z39" i="110"/>
  <c r="Y40" i="110"/>
  <c r="Y41" i="110"/>
  <c r="AI41" i="110"/>
  <c r="K69" i="110"/>
  <c r="C69" i="110"/>
  <c r="K68" i="110"/>
  <c r="C68" i="110"/>
  <c r="P69" i="110"/>
  <c r="G69" i="110"/>
  <c r="L68" i="110"/>
  <c r="R67" i="110"/>
  <c r="J67" i="110"/>
  <c r="R66" i="110"/>
  <c r="J66" i="110"/>
  <c r="R69" i="110"/>
  <c r="H69" i="110"/>
  <c r="R68" i="110"/>
  <c r="H68" i="110"/>
  <c r="L67" i="110"/>
  <c r="C67" i="110"/>
  <c r="P66" i="110"/>
  <c r="G66" i="110"/>
  <c r="E66" i="110"/>
  <c r="O66" i="110"/>
  <c r="AC66" i="110"/>
  <c r="E67" i="110"/>
  <c r="O67" i="110"/>
  <c r="AA67" i="110"/>
  <c r="E68" i="110"/>
  <c r="P68" i="110"/>
  <c r="AD68" i="110"/>
  <c r="I69" i="110"/>
  <c r="W69" i="110"/>
  <c r="AH69" i="110"/>
  <c r="E88" i="110"/>
  <c r="AC67" i="110"/>
  <c r="AG68" i="110"/>
  <c r="X69" i="110"/>
  <c r="AI69" i="110"/>
  <c r="R90" i="110"/>
  <c r="N90" i="110"/>
  <c r="J90" i="110"/>
  <c r="F90" i="110"/>
  <c r="R89" i="110"/>
  <c r="N89" i="110"/>
  <c r="J89" i="110"/>
  <c r="F89" i="110"/>
  <c r="R88" i="110"/>
  <c r="N88" i="110"/>
  <c r="J88" i="110"/>
  <c r="F88" i="110"/>
  <c r="R87" i="110"/>
  <c r="N87" i="110"/>
  <c r="J87" i="110"/>
  <c r="F87" i="110"/>
  <c r="I90" i="110"/>
  <c r="I89" i="110"/>
  <c r="K90" i="110"/>
  <c r="K89" i="110"/>
  <c r="K88" i="110"/>
  <c r="K87" i="110"/>
  <c r="Q90" i="110"/>
  <c r="G90" i="110"/>
  <c r="O89" i="110"/>
  <c r="Q88" i="110"/>
  <c r="C88" i="110"/>
  <c r="L90" i="110"/>
  <c r="D89" i="110"/>
  <c r="L88" i="110"/>
  <c r="G88" i="110"/>
  <c r="O87" i="110"/>
  <c r="E87" i="110"/>
  <c r="P85" i="110"/>
  <c r="P90" i="110"/>
  <c r="H89" i="110"/>
  <c r="P88" i="110"/>
  <c r="E90" i="110"/>
  <c r="M89" i="110"/>
  <c r="C89" i="110"/>
  <c r="D87" i="110"/>
  <c r="D90" i="110"/>
  <c r="L89" i="110"/>
  <c r="I88" i="110"/>
  <c r="Q87" i="110"/>
  <c r="C87" i="110"/>
  <c r="G87" i="110"/>
  <c r="L87" i="110"/>
  <c r="G89" i="110"/>
  <c r="O90" i="110"/>
  <c r="AG82" i="110"/>
  <c r="AD83" i="110"/>
  <c r="AH104" i="110"/>
  <c r="AD104" i="110"/>
  <c r="Z104" i="110"/>
  <c r="V104" i="110"/>
  <c r="AH103" i="110"/>
  <c r="AD103" i="110"/>
  <c r="Z103" i="110"/>
  <c r="V103" i="110"/>
  <c r="AH102" i="110"/>
  <c r="AD102" i="110"/>
  <c r="Z102" i="110"/>
  <c r="V102" i="110"/>
  <c r="AB104" i="110"/>
  <c r="AB103" i="110"/>
  <c r="AB102" i="110"/>
  <c r="AH101" i="110"/>
  <c r="AD101" i="110"/>
  <c r="Z101" i="110"/>
  <c r="V101" i="110"/>
  <c r="W104" i="110"/>
  <c r="AE103" i="110"/>
  <c r="U103" i="110"/>
  <c r="AC102" i="110"/>
  <c r="X102" i="110"/>
  <c r="AB101" i="110"/>
  <c r="AF104" i="110"/>
  <c r="AA104" i="110"/>
  <c r="AI103" i="110"/>
  <c r="Y103" i="110"/>
  <c r="AG102" i="110"/>
  <c r="AF101" i="110"/>
  <c r="W101" i="110"/>
  <c r="AJ104" i="110"/>
  <c r="W102" i="110"/>
  <c r="AJ101" i="110"/>
  <c r="AA101" i="110"/>
  <c r="AH99" i="110"/>
  <c r="W103" i="110"/>
  <c r="AE102" i="110"/>
  <c r="U102" i="110"/>
  <c r="Y101" i="110"/>
  <c r="AC104" i="110"/>
  <c r="X104" i="110"/>
  <c r="AF103" i="110"/>
  <c r="AA103" i="110"/>
  <c r="AI102" i="110"/>
  <c r="Y102" i="110"/>
  <c r="AC101" i="110"/>
  <c r="AI101" i="110"/>
  <c r="AG104" i="110"/>
  <c r="Q83" i="110"/>
  <c r="M83" i="110"/>
  <c r="I83" i="110"/>
  <c r="E83" i="110"/>
  <c r="Q82" i="110"/>
  <c r="M82" i="110"/>
  <c r="I82" i="110"/>
  <c r="E82" i="110"/>
  <c r="Q81" i="110"/>
  <c r="M81" i="110"/>
  <c r="I81" i="110"/>
  <c r="E81" i="110"/>
  <c r="Q80" i="110"/>
  <c r="M80" i="110"/>
  <c r="I80" i="110"/>
  <c r="E80" i="110"/>
  <c r="N83" i="110"/>
  <c r="N82" i="110"/>
  <c r="N81" i="110"/>
  <c r="N80" i="110"/>
  <c r="P78" i="110"/>
  <c r="U80" i="110"/>
  <c r="Z80" i="110"/>
  <c r="AJ80" i="110"/>
  <c r="K81" i="110"/>
  <c r="P81" i="110"/>
  <c r="H82" i="110"/>
  <c r="R82" i="110"/>
  <c r="J83" i="110"/>
  <c r="O83" i="110"/>
  <c r="O97" i="110"/>
  <c r="K97" i="110"/>
  <c r="G97" i="110"/>
  <c r="C97" i="110"/>
  <c r="O96" i="110"/>
  <c r="K96" i="110"/>
  <c r="G96" i="110"/>
  <c r="C96" i="110"/>
  <c r="O95" i="110"/>
  <c r="K95" i="110"/>
  <c r="G95" i="110"/>
  <c r="C95" i="110"/>
  <c r="O94" i="110"/>
  <c r="K94" i="110"/>
  <c r="G94" i="110"/>
  <c r="C94" i="110"/>
  <c r="P97" i="110"/>
  <c r="P96" i="110"/>
  <c r="F97" i="110"/>
  <c r="F96" i="110"/>
  <c r="F95" i="110"/>
  <c r="F94" i="110"/>
  <c r="J97" i="110"/>
  <c r="M97" i="110"/>
  <c r="D97" i="110"/>
  <c r="M96" i="110"/>
  <c r="D96" i="110"/>
  <c r="M95" i="110"/>
  <c r="D95" i="110"/>
  <c r="M94" i="110"/>
  <c r="D94" i="110"/>
  <c r="Q97" i="110"/>
  <c r="H97" i="110"/>
  <c r="Q96" i="110"/>
  <c r="H96" i="110"/>
  <c r="Q95" i="110"/>
  <c r="H95" i="110"/>
  <c r="Q94" i="110"/>
  <c r="H94" i="110"/>
  <c r="E94" i="110"/>
  <c r="P94" i="110"/>
  <c r="E95" i="110"/>
  <c r="P95" i="110"/>
  <c r="E96" i="110"/>
  <c r="L97" i="110"/>
  <c r="R97" i="110"/>
  <c r="X101" i="110"/>
  <c r="AE101" i="110"/>
  <c r="AF102" i="110"/>
  <c r="P92" i="110"/>
  <c r="AI104" i="110"/>
  <c r="AI83" i="110"/>
  <c r="AE83" i="110"/>
  <c r="AA83" i="110"/>
  <c r="W83" i="110"/>
  <c r="AI82" i="110"/>
  <c r="AE82" i="110"/>
  <c r="AA82" i="110"/>
  <c r="W82" i="110"/>
  <c r="AI81" i="110"/>
  <c r="AE81" i="110"/>
  <c r="AA81" i="110"/>
  <c r="W81" i="110"/>
  <c r="AI80" i="110"/>
  <c r="AE80" i="110"/>
  <c r="AA80" i="110"/>
  <c r="W80" i="110"/>
  <c r="AH83" i="110"/>
  <c r="Y83" i="110"/>
  <c r="AH82" i="110"/>
  <c r="Y82" i="110"/>
  <c r="AH81" i="110"/>
  <c r="Y81" i="110"/>
  <c r="AH80" i="110"/>
  <c r="Y80" i="110"/>
  <c r="V80" i="110"/>
  <c r="AF80" i="110"/>
  <c r="X81" i="110"/>
  <c r="AC81" i="110"/>
  <c r="U82" i="110"/>
  <c r="Z82" i="110"/>
  <c r="AJ82" i="110"/>
  <c r="AB83" i="110"/>
  <c r="L96" i="110"/>
  <c r="R96" i="110"/>
  <c r="AA102" i="110"/>
  <c r="AC103" i="110"/>
  <c r="AD48" i="110"/>
  <c r="V48" i="110"/>
  <c r="AD47" i="110"/>
  <c r="V47" i="110"/>
  <c r="AD46" i="110"/>
  <c r="V46" i="110"/>
  <c r="AD45" i="110"/>
  <c r="V45" i="110"/>
  <c r="AC45" i="110"/>
  <c r="Y46" i="110"/>
  <c r="AH46" i="110"/>
  <c r="AC47" i="110"/>
  <c r="Y48" i="110"/>
  <c r="AH48" i="110"/>
  <c r="P62" i="110"/>
  <c r="H62" i="110"/>
  <c r="P61" i="110"/>
  <c r="H61" i="110"/>
  <c r="P60" i="110"/>
  <c r="H60" i="110"/>
  <c r="P59" i="110"/>
  <c r="H59" i="110"/>
  <c r="E59" i="110"/>
  <c r="N59" i="110"/>
  <c r="J60" i="110"/>
  <c r="E61" i="110"/>
  <c r="N61" i="110"/>
  <c r="J62" i="110"/>
  <c r="AH76" i="110"/>
  <c r="AD76" i="110"/>
  <c r="Z76" i="110"/>
  <c r="V76" i="110"/>
  <c r="AH75" i="110"/>
  <c r="AD75" i="110"/>
  <c r="Z75" i="110"/>
  <c r="V75" i="110"/>
  <c r="AH74" i="110"/>
  <c r="AD74" i="110"/>
  <c r="Z74" i="110"/>
  <c r="V74" i="110"/>
  <c r="AH73" i="110"/>
  <c r="AD73" i="110"/>
  <c r="Z73" i="110"/>
  <c r="V73" i="110"/>
  <c r="AG76" i="110"/>
  <c r="X76" i="110"/>
  <c r="Y75" i="110"/>
  <c r="AE74" i="110"/>
  <c r="AF73" i="110"/>
  <c r="W73" i="110"/>
  <c r="Y74" i="110"/>
  <c r="AI74" i="110"/>
  <c r="AC76" i="110"/>
  <c r="AH78" i="110"/>
  <c r="K80" i="110"/>
  <c r="P80" i="110"/>
  <c r="AB80" i="110"/>
  <c r="H81" i="110"/>
  <c r="R81" i="110"/>
  <c r="J82" i="110"/>
  <c r="O82" i="110"/>
  <c r="G83" i="110"/>
  <c r="AG83" i="110"/>
  <c r="R94" i="110"/>
  <c r="R95" i="110"/>
  <c r="N97" i="110"/>
  <c r="AG101" i="110"/>
  <c r="AJ103" i="110"/>
  <c r="AE104" i="110"/>
  <c r="D80" i="108"/>
  <c r="H80" i="108"/>
  <c r="L80" i="108"/>
  <c r="P80" i="108"/>
  <c r="D81" i="108"/>
  <c r="H81" i="108"/>
  <c r="L81" i="108"/>
  <c r="P81" i="108"/>
  <c r="D82" i="108"/>
  <c r="H82" i="108"/>
  <c r="L82" i="108"/>
  <c r="P82" i="108"/>
  <c r="D83" i="108"/>
  <c r="H83" i="108"/>
  <c r="L83" i="108"/>
  <c r="Z31" i="110"/>
  <c r="AH31" i="110"/>
  <c r="Z32" i="110"/>
  <c r="AH32" i="110"/>
  <c r="Z33" i="110"/>
  <c r="AH33" i="110"/>
  <c r="Z34" i="110"/>
  <c r="Z59" i="110"/>
  <c r="AH59" i="110"/>
  <c r="Z60" i="110"/>
  <c r="AH60" i="110"/>
  <c r="Z61" i="110"/>
  <c r="AH61" i="110"/>
  <c r="Z62" i="110"/>
  <c r="AJ90" i="110"/>
  <c r="AF90" i="110"/>
  <c r="AB90" i="110"/>
  <c r="X90" i="110"/>
  <c r="AJ89" i="110"/>
  <c r="AF89" i="110"/>
  <c r="AB89" i="110"/>
  <c r="X89" i="110"/>
  <c r="AJ88" i="110"/>
  <c r="AF88" i="110"/>
  <c r="AB88" i="110"/>
  <c r="X88" i="110"/>
  <c r="AJ87" i="110"/>
  <c r="AF87" i="110"/>
  <c r="AB87" i="110"/>
  <c r="X87" i="110"/>
  <c r="AH85" i="110"/>
  <c r="V87" i="110"/>
  <c r="AE87" i="110"/>
  <c r="V88" i="110"/>
  <c r="AE88" i="110"/>
  <c r="V89" i="110"/>
  <c r="AE89" i="110"/>
  <c r="V90" i="110"/>
  <c r="AE90" i="110"/>
  <c r="AB94" i="110"/>
  <c r="AB95" i="110"/>
  <c r="AB96" i="110"/>
  <c r="AG97" i="110"/>
  <c r="AC97" i="110"/>
  <c r="Y97" i="110"/>
  <c r="U97" i="110"/>
  <c r="AG96" i="110"/>
  <c r="AC96" i="110"/>
  <c r="Y96" i="110"/>
  <c r="U96" i="110"/>
  <c r="AG95" i="110"/>
  <c r="AC95" i="110"/>
  <c r="Y95" i="110"/>
  <c r="U95" i="110"/>
  <c r="AG94" i="110"/>
  <c r="AC94" i="110"/>
  <c r="Y94" i="110"/>
  <c r="U94" i="110"/>
  <c r="V94" i="110"/>
  <c r="AE94" i="110"/>
  <c r="V95" i="110"/>
  <c r="AE95" i="110"/>
  <c r="V96" i="110"/>
  <c r="AE96" i="110"/>
  <c r="V97" i="110"/>
  <c r="AE97" i="110"/>
  <c r="E9" i="95"/>
  <c r="E73" i="110"/>
  <c r="M73" i="110"/>
  <c r="E74" i="110"/>
  <c r="M74" i="110"/>
  <c r="E75" i="110"/>
  <c r="M75" i="110"/>
  <c r="E76" i="110"/>
  <c r="P104" i="110"/>
  <c r="L104" i="110"/>
  <c r="H104" i="110"/>
  <c r="D104" i="110"/>
  <c r="P103" i="110"/>
  <c r="L103" i="110"/>
  <c r="H103" i="110"/>
  <c r="D103" i="110"/>
  <c r="P102" i="110"/>
  <c r="L102" i="110"/>
  <c r="D101" i="110"/>
  <c r="H101" i="110"/>
  <c r="L101" i="110"/>
  <c r="P101" i="110"/>
  <c r="D102" i="110"/>
  <c r="H102" i="110"/>
  <c r="Q102" i="110"/>
  <c r="C103" i="110"/>
  <c r="Q103" i="110"/>
  <c r="C104" i="110"/>
  <c r="Q104" i="110"/>
  <c r="AN200" i="100" l="1"/>
  <c r="AM203" i="100"/>
  <c r="AB200" i="100"/>
  <c r="J94" i="101"/>
  <c r="AF122" i="101"/>
  <c r="AH104" i="101"/>
  <c r="AD108" i="101"/>
  <c r="AM205" i="100"/>
  <c r="AB123" i="101"/>
  <c r="V101" i="101"/>
  <c r="AD103" i="101"/>
  <c r="P94" i="101"/>
  <c r="AN201" i="100"/>
  <c r="H94" i="101"/>
  <c r="AC111" i="101"/>
  <c r="AM206" i="100"/>
  <c r="AB201" i="100"/>
  <c r="AA108" i="101"/>
  <c r="AM204" i="100"/>
  <c r="AA201" i="100"/>
  <c r="R94" i="101"/>
  <c r="K94" i="81"/>
  <c r="J63" i="81"/>
  <c r="M61" i="81"/>
  <c r="G21" i="101"/>
  <c r="G23" i="101" s="1"/>
  <c r="K85" i="81"/>
  <c r="K92" i="81"/>
  <c r="H63" i="81"/>
  <c r="H68" i="81"/>
  <c r="E64" i="81"/>
  <c r="K86" i="81"/>
  <c r="E47" i="81"/>
  <c r="E77" i="81"/>
  <c r="G47" i="98"/>
  <c r="H17" i="98"/>
  <c r="H50" i="81"/>
  <c r="E70" i="81"/>
  <c r="E56" i="81"/>
  <c r="J40" i="81"/>
  <c r="K70" i="81"/>
  <c r="E89" i="81"/>
  <c r="H46" i="81"/>
  <c r="K68" i="81"/>
  <c r="J43" i="81"/>
  <c r="H56" i="81"/>
  <c r="E43" i="81"/>
  <c r="N13" i="117"/>
  <c r="T44" i="117"/>
  <c r="T53" i="117"/>
  <c r="I18" i="117" s="1"/>
  <c r="T71" i="117"/>
  <c r="K18" i="117" s="1"/>
  <c r="T59" i="115"/>
  <c r="J17" i="115" s="1"/>
  <c r="T50" i="115"/>
  <c r="I17" i="115" s="1"/>
  <c r="T68" i="115"/>
  <c r="K17" i="115" s="1"/>
  <c r="T62" i="117"/>
  <c r="J18" i="117" s="1"/>
  <c r="T41" i="115"/>
  <c r="AF111" i="101"/>
  <c r="AC115" i="101"/>
  <c r="AA116" i="101"/>
  <c r="AH110" i="101"/>
  <c r="AF104" i="101"/>
  <c r="AI110" i="101"/>
  <c r="AA118" i="101"/>
  <c r="X108" i="101"/>
  <c r="AJ118" i="101"/>
  <c r="AH115" i="101"/>
  <c r="AJ205" i="100"/>
  <c r="AG206" i="100"/>
  <c r="AA202" i="100"/>
  <c r="AN204" i="100"/>
  <c r="AK116" i="101"/>
  <c r="W104" i="101"/>
  <c r="AG102" i="101"/>
  <c r="AH117" i="101"/>
  <c r="AF201" i="100"/>
  <c r="AB204" i="100"/>
  <c r="X127" i="98"/>
  <c r="V126" i="98"/>
  <c r="AF118" i="98"/>
  <c r="AH111" i="98"/>
  <c r="AJ104" i="98"/>
  <c r="AF126" i="98"/>
  <c r="AK128" i="98"/>
  <c r="AK122" i="101"/>
  <c r="K95" i="101"/>
  <c r="AJ102" i="101"/>
  <c r="AC116" i="101"/>
  <c r="X110" i="101"/>
  <c r="AJ116" i="101"/>
  <c r="AB117" i="101"/>
  <c r="AH108" i="101"/>
  <c r="AN205" i="100"/>
  <c r="AJ204" i="100"/>
  <c r="AJ123" i="101"/>
  <c r="AI115" i="101"/>
  <c r="AK108" i="101"/>
  <c r="I94" i="101"/>
  <c r="AA103" i="101"/>
  <c r="AF200" i="100"/>
  <c r="Y118" i="101"/>
  <c r="AG103" i="101"/>
  <c r="AN199" i="100"/>
  <c r="AH203" i="100"/>
  <c r="AJ198" i="100"/>
  <c r="AC117" i="101"/>
  <c r="AC127" i="98"/>
  <c r="V110" i="101"/>
  <c r="AD127" i="98"/>
  <c r="X120" i="98"/>
  <c r="Z113" i="98"/>
  <c r="AB106" i="98"/>
  <c r="AD117" i="101"/>
  <c r="W108" i="101"/>
  <c r="X117" i="101"/>
  <c r="AF118" i="101"/>
  <c r="AG205" i="100"/>
  <c r="AC122" i="101"/>
  <c r="AB108" i="101"/>
  <c r="Y110" i="101"/>
  <c r="W117" i="101"/>
  <c r="AH111" i="101"/>
  <c r="AH109" i="101"/>
  <c r="AJ117" i="101"/>
  <c r="AJ115" i="101"/>
  <c r="V111" i="101"/>
  <c r="AE102" i="101"/>
  <c r="AG115" i="101"/>
  <c r="X103" i="101"/>
  <c r="AF103" i="101"/>
  <c r="E95" i="101"/>
  <c r="N95" i="101"/>
  <c r="AD110" i="101"/>
  <c r="D94" i="101"/>
  <c r="R95" i="101"/>
  <c r="AG118" i="101"/>
  <c r="V104" i="101"/>
  <c r="L94" i="101"/>
  <c r="K94" i="101"/>
  <c r="AK115" i="101"/>
  <c r="Y116" i="101"/>
  <c r="W122" i="101"/>
  <c r="W111" i="101"/>
  <c r="Y104" i="101"/>
  <c r="AA117" i="101"/>
  <c r="AA115" i="101"/>
  <c r="X102" i="101"/>
  <c r="AI111" i="101"/>
  <c r="AF102" i="101"/>
  <c r="O94" i="101"/>
  <c r="AC104" i="101"/>
  <c r="AE111" i="101"/>
  <c r="W103" i="101"/>
  <c r="F95" i="101"/>
  <c r="AC102" i="101"/>
  <c r="AE103" i="101"/>
  <c r="AD118" i="101"/>
  <c r="AB115" i="101"/>
  <c r="AK118" i="101"/>
  <c r="AE104" i="101"/>
  <c r="W102" i="101"/>
  <c r="E94" i="101"/>
  <c r="AA111" i="101"/>
  <c r="M94" i="101"/>
  <c r="Z101" i="101"/>
  <c r="AD111" i="101"/>
  <c r="AI109" i="101"/>
  <c r="X116" i="101"/>
  <c r="X118" i="101"/>
  <c r="AK101" i="101"/>
  <c r="C94" i="101"/>
  <c r="AF117" i="101"/>
  <c r="AF116" i="101"/>
  <c r="X124" i="101"/>
  <c r="AA125" i="101"/>
  <c r="Z117" i="101"/>
  <c r="AF108" i="101"/>
  <c r="V124" i="101"/>
  <c r="Y115" i="101"/>
  <c r="W101" i="101"/>
  <c r="AC118" i="101"/>
  <c r="X111" i="101"/>
  <c r="X109" i="101"/>
  <c r="AD109" i="101"/>
  <c r="AH118" i="101"/>
  <c r="Z103" i="101"/>
  <c r="Z104" i="101"/>
  <c r="AJ111" i="101"/>
  <c r="AJ110" i="101"/>
  <c r="AI108" i="101"/>
  <c r="AC101" i="101"/>
  <c r="AI123" i="101"/>
  <c r="Z125" i="101"/>
  <c r="AB118" i="101"/>
  <c r="Y117" i="101"/>
  <c r="AC110" i="101"/>
  <c r="AC108" i="101"/>
  <c r="X115" i="101"/>
  <c r="AG116" i="101"/>
  <c r="Z108" i="101"/>
  <c r="AA110" i="101"/>
  <c r="Z109" i="101"/>
  <c r="V108" i="101"/>
  <c r="AG109" i="101"/>
  <c r="AE116" i="101"/>
  <c r="V109" i="101"/>
  <c r="AB116" i="101"/>
  <c r="AK117" i="101"/>
  <c r="G94" i="101"/>
  <c r="AE110" i="101"/>
  <c r="Q94" i="101"/>
  <c r="H95" i="101"/>
  <c r="V118" i="101"/>
  <c r="V116" i="101"/>
  <c r="P95" i="101"/>
  <c r="AK102" i="101"/>
  <c r="Z110" i="101"/>
  <c r="F123" i="81"/>
  <c r="H123" i="81"/>
  <c r="I123" i="81" s="1"/>
  <c r="H104" i="81"/>
  <c r="I104" i="81" s="1"/>
  <c r="F104" i="81"/>
  <c r="E86" i="81"/>
  <c r="AE198" i="100"/>
  <c r="AM197" i="100"/>
  <c r="AH206" i="100"/>
  <c r="AD125" i="98"/>
  <c r="X118" i="98"/>
  <c r="Z111" i="98"/>
  <c r="AB104" i="98"/>
  <c r="AC125" i="98"/>
  <c r="AC203" i="100"/>
  <c r="AB199" i="100"/>
  <c r="C35" i="82"/>
  <c r="B35" i="82"/>
  <c r="G43" i="82"/>
  <c r="F43" i="82"/>
  <c r="C38" i="82"/>
  <c r="B38" i="82"/>
  <c r="X122" i="101"/>
  <c r="X125" i="101"/>
  <c r="AA123" i="101"/>
  <c r="Z115" i="101"/>
  <c r="J29" i="82"/>
  <c r="K29" i="82"/>
  <c r="G27" i="82"/>
  <c r="F27" i="82"/>
  <c r="G21" i="82"/>
  <c r="F21" i="82"/>
  <c r="G8" i="87"/>
  <c r="G12" i="87"/>
  <c r="AD122" i="101"/>
  <c r="AF123" i="101"/>
  <c r="V123" i="101"/>
  <c r="N11" i="115"/>
  <c r="I32" i="106"/>
  <c r="I31" i="106"/>
  <c r="AD104" i="101"/>
  <c r="Y103" i="101"/>
  <c r="I13" i="106"/>
  <c r="I30" i="106"/>
  <c r="H106" i="81"/>
  <c r="I106" i="81" s="1"/>
  <c r="F106" i="81"/>
  <c r="H78" i="81"/>
  <c r="M48" i="81"/>
  <c r="H62" i="81"/>
  <c r="E40" i="81"/>
  <c r="AN203" i="100"/>
  <c r="X126" i="98"/>
  <c r="AL200" i="100"/>
  <c r="V125" i="98"/>
  <c r="AH114" i="98"/>
  <c r="AJ107" i="98"/>
  <c r="AG197" i="100"/>
  <c r="F44" i="82"/>
  <c r="G44" i="82"/>
  <c r="G36" i="82"/>
  <c r="F36" i="82"/>
  <c r="B42" i="82"/>
  <c r="C42" i="82"/>
  <c r="AG110" i="101"/>
  <c r="AE117" i="101"/>
  <c r="G20" i="82"/>
  <c r="F20" i="82"/>
  <c r="G28" i="82"/>
  <c r="F28" i="82"/>
  <c r="K26" i="82"/>
  <c r="J26" i="82"/>
  <c r="AE125" i="101"/>
  <c r="AE122" i="101"/>
  <c r="G16" i="87"/>
  <c r="G20" i="87"/>
  <c r="W123" i="101"/>
  <c r="AI122" i="101"/>
  <c r="AA102" i="101"/>
  <c r="I28" i="106"/>
  <c r="I15" i="106"/>
  <c r="AH102" i="101"/>
  <c r="Z116" i="101"/>
  <c r="AD101" i="101"/>
  <c r="AF125" i="101"/>
  <c r="I26" i="106"/>
  <c r="F115" i="81"/>
  <c r="H115" i="81"/>
  <c r="I115" i="81" s="1"/>
  <c r="K84" i="81"/>
  <c r="H120" i="81"/>
  <c r="I120" i="81" s="1"/>
  <c r="F120" i="81"/>
  <c r="E63" i="81"/>
  <c r="E50" i="81"/>
  <c r="E48" i="81"/>
  <c r="AM201" i="100"/>
  <c r="AN206" i="100"/>
  <c r="AF125" i="98"/>
  <c r="AL201" i="100"/>
  <c r="AD128" i="98"/>
  <c r="X121" i="98"/>
  <c r="Z114" i="98"/>
  <c r="AB107" i="98"/>
  <c r="AC128" i="98"/>
  <c r="AG198" i="100"/>
  <c r="Y124" i="101"/>
  <c r="F37" i="82"/>
  <c r="G37" i="82"/>
  <c r="B39" i="82"/>
  <c r="C39" i="82"/>
  <c r="AC123" i="101"/>
  <c r="AA104" i="101"/>
  <c r="Y111" i="101"/>
  <c r="W118" i="101"/>
  <c r="K27" i="82"/>
  <c r="J27" i="82"/>
  <c r="J20" i="82"/>
  <c r="K20" i="82"/>
  <c r="G29" i="82"/>
  <c r="F29" i="82"/>
  <c r="V125" i="101"/>
  <c r="V122" i="101"/>
  <c r="G13" i="87"/>
  <c r="G9" i="87"/>
  <c r="C19" i="87"/>
  <c r="B19" i="87" s="1"/>
  <c r="C11" i="87"/>
  <c r="B11" i="87" s="1"/>
  <c r="C14" i="87"/>
  <c r="B14" i="87" s="1"/>
  <c r="C6" i="87"/>
  <c r="C17" i="87"/>
  <c r="B17" i="87" s="1"/>
  <c r="C9" i="87"/>
  <c r="B9" i="87" s="1"/>
  <c r="C20" i="87"/>
  <c r="B20" i="87" s="1"/>
  <c r="C12" i="87"/>
  <c r="B12" i="87" s="1"/>
  <c r="C15" i="87"/>
  <c r="B15" i="87" s="1"/>
  <c r="C7" i="87"/>
  <c r="B7" i="87" s="1"/>
  <c r="C18" i="87"/>
  <c r="B18" i="87" s="1"/>
  <c r="C10" i="87"/>
  <c r="B10" i="87" s="1"/>
  <c r="C13" i="87"/>
  <c r="B13" i="87" s="1"/>
  <c r="C16" i="87"/>
  <c r="B16" i="87" s="1"/>
  <c r="C8" i="87"/>
  <c r="B8" i="87" s="1"/>
  <c r="AB124" i="101"/>
  <c r="AJ122" i="101"/>
  <c r="Z122" i="101"/>
  <c r="AH101" i="101"/>
  <c r="AB111" i="101"/>
  <c r="I24" i="106"/>
  <c r="I7" i="106"/>
  <c r="Y102" i="101"/>
  <c r="AF110" i="101"/>
  <c r="I50" i="106"/>
  <c r="AI118" i="101"/>
  <c r="I22" i="106"/>
  <c r="H98" i="81"/>
  <c r="I98" i="81" s="1"/>
  <c r="F98" i="81"/>
  <c r="H119" i="81"/>
  <c r="I119" i="81" s="1"/>
  <c r="F119" i="81"/>
  <c r="E81" i="81"/>
  <c r="H94" i="81"/>
  <c r="J48" i="81"/>
  <c r="AF203" i="100"/>
  <c r="AF205" i="100"/>
  <c r="AB203" i="100"/>
  <c r="AB206" i="100"/>
  <c r="AB202" i="100"/>
  <c r="AF206" i="100"/>
  <c r="AN202" i="100"/>
  <c r="X125" i="98"/>
  <c r="AK202" i="100"/>
  <c r="AL197" i="100"/>
  <c r="V128" i="98"/>
  <c r="AF120" i="98"/>
  <c r="AH113" i="98"/>
  <c r="AJ106" i="98"/>
  <c r="AK127" i="98"/>
  <c r="C40" i="82"/>
  <c r="B40" i="82"/>
  <c r="G41" i="82"/>
  <c r="F41" i="82"/>
  <c r="AK123" i="101"/>
  <c r="AK110" i="101"/>
  <c r="AI104" i="101"/>
  <c r="AG111" i="101"/>
  <c r="AE118" i="101"/>
  <c r="G22" i="82"/>
  <c r="F22" i="82"/>
  <c r="J21" i="82"/>
  <c r="K21" i="82"/>
  <c r="D24" i="82"/>
  <c r="C24" i="82" s="1"/>
  <c r="B24" i="82" s="1"/>
  <c r="D28" i="82"/>
  <c r="C28" i="82" s="1"/>
  <c r="B28" i="82" s="1"/>
  <c r="D23" i="82"/>
  <c r="C23" i="82" s="1"/>
  <c r="B23" i="82" s="1"/>
  <c r="D26" i="82"/>
  <c r="C26" i="82" s="1"/>
  <c r="B26" i="82" s="1"/>
  <c r="D21" i="82"/>
  <c r="C21" i="82" s="1"/>
  <c r="B21" i="82" s="1"/>
  <c r="D29" i="82"/>
  <c r="C29" i="82" s="1"/>
  <c r="B29" i="82" s="1"/>
  <c r="D27" i="82"/>
  <c r="C27" i="82" s="1"/>
  <c r="B27" i="82" s="1"/>
  <c r="D22" i="82"/>
  <c r="C22" i="82" s="1"/>
  <c r="B22" i="82" s="1"/>
  <c r="D25" i="82"/>
  <c r="C25" i="82" s="1"/>
  <c r="B25" i="82" s="1"/>
  <c r="D20" i="82"/>
  <c r="C20" i="82" s="1"/>
  <c r="B20" i="82" s="1"/>
  <c r="AI102" i="101"/>
  <c r="G22" i="87"/>
  <c r="G17" i="87"/>
  <c r="AG123" i="101"/>
  <c r="AA122" i="101"/>
  <c r="AD125" i="101"/>
  <c r="Y101" i="101"/>
  <c r="I20" i="106"/>
  <c r="I29" i="106"/>
  <c r="I54" i="106"/>
  <c r="AF124" i="101"/>
  <c r="I52" i="106"/>
  <c r="AH103" i="101"/>
  <c r="I18" i="106"/>
  <c r="K89" i="81"/>
  <c r="F107" i="81"/>
  <c r="H107" i="81"/>
  <c r="I107" i="81" s="1"/>
  <c r="H111" i="81"/>
  <c r="I111" i="81" s="1"/>
  <c r="F111" i="81"/>
  <c r="K76" i="81"/>
  <c r="E78" i="81"/>
  <c r="H86" i="81"/>
  <c r="H77" i="81"/>
  <c r="J59" i="81"/>
  <c r="J44" i="81"/>
  <c r="H57" i="81"/>
  <c r="AE197" i="100"/>
  <c r="AE199" i="100"/>
  <c r="AE204" i="100"/>
  <c r="AE205" i="100"/>
  <c r="AE203" i="100"/>
  <c r="AE206" i="100"/>
  <c r="AM199" i="100"/>
  <c r="AF202" i="100"/>
  <c r="AA198" i="100"/>
  <c r="AA197" i="100"/>
  <c r="AA199" i="100"/>
  <c r="AK206" i="100"/>
  <c r="AL198" i="100"/>
  <c r="AH122" i="101"/>
  <c r="AH125" i="101"/>
  <c r="F40" i="82"/>
  <c r="G40" i="82"/>
  <c r="G39" i="82"/>
  <c r="F39" i="82"/>
  <c r="AG124" i="101"/>
  <c r="AC124" i="101"/>
  <c r="AJ125" i="101"/>
  <c r="AI117" i="101"/>
  <c r="AB110" i="101"/>
  <c r="Y108" i="101"/>
  <c r="W115" i="101"/>
  <c r="AC125" i="101"/>
  <c r="F23" i="82"/>
  <c r="G23" i="82"/>
  <c r="K22" i="82"/>
  <c r="J22" i="82"/>
  <c r="G6" i="87"/>
  <c r="G10" i="87"/>
  <c r="X123" i="101"/>
  <c r="I39" i="106"/>
  <c r="I48" i="106"/>
  <c r="I16" i="106"/>
  <c r="I9" i="106"/>
  <c r="I47" i="106"/>
  <c r="W125" i="101"/>
  <c r="I45" i="106"/>
  <c r="I46" i="106"/>
  <c r="H122" i="81"/>
  <c r="I122" i="81" s="1"/>
  <c r="F122" i="81"/>
  <c r="M41" i="81"/>
  <c r="H103" i="81"/>
  <c r="I103" i="81" s="1"/>
  <c r="F103" i="81"/>
  <c r="E73" i="81"/>
  <c r="H112" i="81"/>
  <c r="I112" i="81" s="1"/>
  <c r="F112" i="81"/>
  <c r="J46" i="81"/>
  <c r="M45" i="81"/>
  <c r="AH201" i="100"/>
  <c r="AH198" i="100"/>
  <c r="AH200" i="100"/>
  <c r="AF204" i="100"/>
  <c r="AJ206" i="100"/>
  <c r="AJ202" i="100"/>
  <c r="AJ203" i="100"/>
  <c r="AH199" i="100"/>
  <c r="AH204" i="100"/>
  <c r="AH197" i="100"/>
  <c r="X128" i="98"/>
  <c r="AK203" i="100"/>
  <c r="V127" i="98"/>
  <c r="AF119" i="98"/>
  <c r="AH112" i="98"/>
  <c r="AJ105" i="98"/>
  <c r="AK126" i="98"/>
  <c r="Y122" i="101"/>
  <c r="Y125" i="101"/>
  <c r="I53" i="106"/>
  <c r="I51" i="106"/>
  <c r="I49" i="106"/>
  <c r="B43" i="82"/>
  <c r="C43" i="82"/>
  <c r="B41" i="82"/>
  <c r="C41" i="82"/>
  <c r="AK124" i="101"/>
  <c r="AF109" i="101"/>
  <c r="AB102" i="101"/>
  <c r="AG108" i="101"/>
  <c r="AE115" i="101"/>
  <c r="AK125" i="101"/>
  <c r="G24" i="82"/>
  <c r="F24" i="82"/>
  <c r="K23" i="82"/>
  <c r="J23" i="82"/>
  <c r="AE124" i="101"/>
  <c r="G14" i="87"/>
  <c r="G18" i="87"/>
  <c r="AD124" i="101"/>
  <c r="AF128" i="98"/>
  <c r="AB125" i="101"/>
  <c r="AB122" i="101"/>
  <c r="AI124" i="101"/>
  <c r="AB109" i="101"/>
  <c r="AK109" i="101"/>
  <c r="I27" i="106"/>
  <c r="I44" i="106"/>
  <c r="I12" i="106"/>
  <c r="AI125" i="101"/>
  <c r="I35" i="106"/>
  <c r="Z118" i="101"/>
  <c r="I41" i="106"/>
  <c r="I42" i="106"/>
  <c r="I10" i="106"/>
  <c r="J56" i="81"/>
  <c r="AD198" i="100"/>
  <c r="AD201" i="100"/>
  <c r="AD197" i="100"/>
  <c r="AJ199" i="100"/>
  <c r="AC206" i="100"/>
  <c r="AF127" i="98"/>
  <c r="AD126" i="98"/>
  <c r="X119" i="98"/>
  <c r="Z112" i="98"/>
  <c r="AB105" i="98"/>
  <c r="AC126" i="98"/>
  <c r="G35" i="82"/>
  <c r="F35" i="82"/>
  <c r="B36" i="82"/>
  <c r="C36" i="82"/>
  <c r="G42" i="82"/>
  <c r="F42" i="82"/>
  <c r="W124" i="101"/>
  <c r="AD116" i="101"/>
  <c r="W109" i="101"/>
  <c r="AJ101" i="101"/>
  <c r="AJ104" i="101"/>
  <c r="AJ103" i="101"/>
  <c r="Y109" i="101"/>
  <c r="W116" i="101"/>
  <c r="I6" i="106"/>
  <c r="G25" i="82"/>
  <c r="F25" i="82"/>
  <c r="K24" i="82"/>
  <c r="J24" i="82"/>
  <c r="G11" i="87"/>
  <c r="G7" i="87"/>
  <c r="AH123" i="101"/>
  <c r="AJ124" i="101"/>
  <c r="Z124" i="101"/>
  <c r="AD102" i="101"/>
  <c r="AI101" i="101"/>
  <c r="I19" i="106"/>
  <c r="I40" i="106"/>
  <c r="I8" i="106"/>
  <c r="AK111" i="101"/>
  <c r="I23" i="106"/>
  <c r="AI116" i="101"/>
  <c r="I33" i="106"/>
  <c r="I38" i="106"/>
  <c r="I37" i="106"/>
  <c r="H114" i="81"/>
  <c r="I114" i="81" s="1"/>
  <c r="F114" i="81"/>
  <c r="F99" i="81"/>
  <c r="H99" i="81"/>
  <c r="I99" i="81" s="1"/>
  <c r="AK125" i="98"/>
  <c r="B37" i="82"/>
  <c r="C37" i="82"/>
  <c r="G38" i="82"/>
  <c r="F38" i="82"/>
  <c r="C44" i="82"/>
  <c r="B44" i="82"/>
  <c r="AG122" i="101"/>
  <c r="AG125" i="101"/>
  <c r="AB101" i="101"/>
  <c r="AB103" i="101"/>
  <c r="J28" i="82"/>
  <c r="K28" i="82"/>
  <c r="G26" i="82"/>
  <c r="F26" i="82"/>
  <c r="K25" i="82"/>
  <c r="J25" i="82"/>
  <c r="G19" i="87"/>
  <c r="G15" i="87"/>
  <c r="Y123" i="101"/>
  <c r="AA124" i="101"/>
  <c r="AF121" i="98"/>
  <c r="AE123" i="101"/>
  <c r="AA101" i="101"/>
  <c r="AD115" i="101"/>
  <c r="I11" i="106"/>
  <c r="I36" i="106"/>
  <c r="I43" i="106"/>
  <c r="W110" i="101"/>
  <c r="I25" i="106"/>
  <c r="AB104" i="101"/>
  <c r="I21" i="106"/>
  <c r="I34" i="106"/>
  <c r="I17" i="106"/>
  <c r="L18" i="117" l="1"/>
  <c r="L17" i="115"/>
  <c r="E14" i="87"/>
  <c r="H14" i="87"/>
  <c r="B6" i="87"/>
  <c r="C21" i="87"/>
  <c r="H15" i="87"/>
  <c r="E15" i="87"/>
  <c r="H10" i="87"/>
  <c r="E10" i="87"/>
  <c r="E17" i="87"/>
  <c r="H17" i="87"/>
  <c r="H19" i="87"/>
  <c r="E19" i="87"/>
  <c r="E6" i="87"/>
  <c r="G21" i="87"/>
  <c r="H6" i="87"/>
  <c r="H20" i="87"/>
  <c r="E20" i="87"/>
  <c r="E9" i="87"/>
  <c r="H9" i="87"/>
  <c r="H16" i="87"/>
  <c r="E16" i="87"/>
  <c r="H18" i="87"/>
  <c r="E18" i="87"/>
  <c r="H13" i="87"/>
  <c r="E13" i="87"/>
  <c r="H12" i="87"/>
  <c r="E12" i="87"/>
  <c r="H7" i="87"/>
  <c r="E7" i="87"/>
  <c r="H11" i="87"/>
  <c r="E11" i="87"/>
  <c r="H8" i="87"/>
  <c r="E8" i="8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<sst xmlns="http://schemas.openxmlformats.org/spreadsheetml/2006/main" count="7688" uniqueCount="1407">
  <si>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</si>
  <si>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</si>
  <si>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</si>
  <si>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</si>
  <si>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</si>
  <si>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</si>
  <si>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</si>
  <si>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</si>
  <si>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</si>
  <si>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</si>
  <si>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</si>
  <si>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</si>
  <si>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</si>
  <si>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</si>
  <si>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</si>
  <si>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</si>
  <si>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</si>
  <si>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</si>
  <si>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</si>
  <si>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</si>
  <si>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</si>
  <si>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</si>
  <si>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</si>
  <si>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</si>
  <si>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</si>
  <si>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</si>
  <si>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</si>
  <si>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</si>
  <si>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</si>
  <si>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</si>
  <si>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</si>
  <si>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</si>
  <si>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</si>
  <si>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</si>
  <si>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</si>
  <si>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</si>
  <si>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</si>
  <si>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</si>
  <si>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</si>
  <si>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</si>
  <si>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</si>
  <si>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</si>
  <si>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</si>
  <si>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</si>
  <si>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</si>
  <si>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</si>
  <si>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</si>
  <si>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</si>
  <si>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</si>
  <si>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</si>
  <si>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</si>
  <si>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</si>
  <si>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</si>
  <si>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</si>
  <si>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</si>
  <si>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</si>
  <si>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</si>
  <si>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</si>
  <si>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</si>
  <si>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</si>
  <si>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</si>
  <si>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</si>
  <si>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</si>
  <si>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</si>
  <si>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</si>
  <si>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</si>
  <si>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</si>
  <si>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</si>
  <si>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</si>
  <si>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</si>
  <si>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</si>
  <si>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</si>
  <si>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</si>
  <si>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</si>
  <si>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</si>
  <si>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</si>
  <si>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</si>
  <si>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</si>
  <si>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</si>
  <si>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</si>
  <si>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</si>
  <si>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</si>
  <si>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</si>
  <si>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</si>
  <si>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</si>
  <si>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</si>
  <si>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</si>
  <si>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</si>
  <si>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</si>
  <si>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</si>
  <si>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</si>
  <si>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</si>
  <si>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</si>
  <si>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</si>
  <si>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</si>
  <si>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</si>
  <si>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</si>
  <si>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</si>
  <si>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</si>
  <si>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</si>
  <si>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</si>
  <si>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</si>
  <si>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</si>
  <si>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</si>
  <si>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</si>
  <si>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</si>
  <si>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</si>
  <si>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</si>
  <si>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</si>
  <si>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</si>
  <si>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</si>
  <si>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</si>
  <si>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</si>
  <si>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</si>
  <si>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</si>
  <si>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</si>
  <si>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</si>
  <si>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</si>
  <si>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</si>
  <si>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</si>
  <si>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</si>
  <si>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</si>
  <si>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</si>
  <si>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</si>
  <si>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</si>
  <si>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</si>
  <si>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</si>
  <si>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</si>
  <si>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</si>
  <si>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</si>
  <si>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</si>
  <si>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</si>
  <si>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</si>
  <si>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</si>
  <si>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</si>
  <si>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</si>
  <si>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</si>
  <si>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</si>
  <si>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</si>
  <si>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</si>
  <si>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</si>
  <si>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</si>
  <si>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</si>
  <si>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</si>
  <si>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</si>
  <si>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</si>
  <si>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</si>
  <si>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</si>
  <si>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</si>
  <si>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</si>
  <si>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</si>
  <si>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</si>
  <si>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</si>
  <si>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</si>
  <si>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</si>
  <si>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</si>
  <si>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</si>
  <si>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</si>
  <si>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</si>
  <si>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</si>
  <si>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</si>
  <si>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</si>
  <si>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</si>
  <si>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</si>
  <si>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</si>
  <si>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</si>
  <si>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</si>
  <si>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</si>
  <si>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</si>
  <si>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</si>
  <si>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</si>
  <si>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</si>
  <si>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</si>
  <si>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</si>
  <si>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</si>
  <si>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</si>
  <si>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</si>
  <si>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</si>
  <si>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</si>
  <si>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</si>
  <si>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</si>
  <si>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</si>
  <si>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</si>
  <si>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</si>
  <si>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</si>
  <si>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</si>
  <si>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</si>
  <si>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</si>
  <si>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</si>
  <si>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</si>
  <si>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</si>
  <si>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</si>
  <si>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</si>
  <si>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</si>
  <si>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</si>
  <si>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</si>
  <si>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</si>
  <si>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</si>
  <si>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</si>
  <si>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</si>
  <si>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</si>
  <si>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</si>
  <si>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</si>
  <si>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</si>
  <si>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</si>
  <si>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</si>
  <si>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</si>
  <si>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</si>
  <si>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</si>
  <si>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</si>
  <si>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</si>
  <si>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</si>
  <si>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</si>
  <si>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</si>
  <si>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</si>
  <si>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</si>
  <si>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</si>
  <si>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</si>
  <si>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</si>
  <si>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</si>
  <si>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</si>
  <si>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</si>
  <si>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</si>
  <si>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</si>
  <si>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</si>
  <si>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</si>
  <si>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</si>
  <si>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</si>
  <si>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</si>
  <si>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</si>
  <si>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</si>
  <si>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</si>
  <si>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</si>
  <si>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</si>
  <si>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</si>
  <si>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</si>
  <si>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</si>
  <si>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</si>
  <si>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</si>
  <si>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</si>
  <si>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</si>
  <si>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</si>
  <si>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Awaiting Allocation HARINGEY</t>
  </si>
  <si>
    <t>Blackburn 3 - N51</t>
  </si>
  <si>
    <t>East Berks ACE Team</t>
  </si>
  <si>
    <t>Cardiff - IOM Wisdom Team</t>
  </si>
  <si>
    <t>Central Birmingham PQiP</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</si>
  <si>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</si>
  <si>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</si>
  <si>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</si>
  <si>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</si>
  <si>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</si>
  <si>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</si>
  <si>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</si>
  <si>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</si>
  <si>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</si>
  <si>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</si>
  <si>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</si>
  <si>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</si>
  <si>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</si>
  <si>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</si>
  <si>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</si>
  <si>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Inactive Level 2(N07)</t>
  </si>
  <si>
    <t>Liverpool South - N51</t>
  </si>
  <si>
    <t>Birmingham Central Short Term Custody</t>
  </si>
  <si>
    <t>Sheffield - N55</t>
  </si>
  <si>
    <t>Derbyshire County South</t>
  </si>
  <si>
    <t>EXN-Colchester SM</t>
  </si>
  <si>
    <t>GM Manchester N2</t>
  </si>
  <si>
    <t>KTW-Maidstone - N57</t>
  </si>
  <si>
    <t>Awaiting Allocation HFKCW</t>
  </si>
  <si>
    <t>Blackpool 2</t>
  </si>
  <si>
    <t>East Berkshire 2</t>
  </si>
  <si>
    <t>Cardiff - South Team</t>
  </si>
  <si>
    <t>Coventry Team 1 - N52</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</si>
  <si>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</si>
  <si>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</si>
  <si>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</si>
  <si>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</si>
  <si>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</si>
  <si>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</si>
  <si>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</si>
  <si>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</si>
  <si>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</si>
  <si>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</si>
  <si>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</si>
  <si>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</si>
  <si>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</si>
  <si>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</si>
  <si>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</si>
  <si>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Lambeth - N07</t>
  </si>
  <si>
    <t>North West Lancashire</t>
  </si>
  <si>
    <t>Unpaid Work and Attendance Centres - N55</t>
  </si>
  <si>
    <t>Grantham - N53</t>
  </si>
  <si>
    <t>GM Manchester N4</t>
  </si>
  <si>
    <t>Awaiting Allocation ISLINGTON</t>
  </si>
  <si>
    <t>Hartlepool 1</t>
  </si>
  <si>
    <t>Blackpool 5 - N51</t>
  </si>
  <si>
    <t>East Berkshire 4</t>
  </si>
  <si>
    <t>Cardiff - Women's Pathfinder Team</t>
  </si>
  <si>
    <t>Coventry Team 3 - N52</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</si>
  <si>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</si>
  <si>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</si>
  <si>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</si>
  <si>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</si>
  <si>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</si>
  <si>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</si>
  <si>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</si>
  <si>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</si>
  <si>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</si>
  <si>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</si>
  <si>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</si>
  <si>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</si>
  <si>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</si>
  <si>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</si>
  <si>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</si>
  <si>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</si>
  <si>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</si>
  <si>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</si>
  <si>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</si>
  <si>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</si>
  <si>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</si>
  <si>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</si>
  <si>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</si>
  <si>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</si>
  <si>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</si>
  <si>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</si>
  <si>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</si>
  <si>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</si>
  <si>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</si>
  <si>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</si>
  <si>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</si>
  <si>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</si>
  <si>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</si>
  <si>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</si>
  <si>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</si>
  <si>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</si>
  <si>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</si>
  <si>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</si>
  <si>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</si>
  <si>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</si>
  <si>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</si>
  <si>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</si>
  <si>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</si>
  <si>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</si>
  <si>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</si>
  <si>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</si>
  <si>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</si>
  <si>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</si>
  <si>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</si>
  <si>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</si>
  <si>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</si>
  <si>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</si>
  <si>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</si>
  <si>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</si>
  <si>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</si>
  <si>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</si>
  <si>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</si>
  <si>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</si>
  <si>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</si>
  <si>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</si>
  <si>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</si>
  <si>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</si>
  <si>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</si>
  <si>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Carlisle 1</t>
  </si>
  <si>
    <t>Denbighshire - Team 1</t>
  </si>
  <si>
    <t>East Birmingham 2</t>
  </si>
  <si>
    <t>Unallocated Level 2(N07)</t>
  </si>
  <si>
    <t>Leicester City 6</t>
  </si>
  <si>
    <t>GM Oldham 2</t>
  </si>
  <si>
    <t>Awaiting Allocation SOUTHWARK</t>
  </si>
  <si>
    <t>Carlisle 2</t>
  </si>
  <si>
    <t>East Gwent Team</t>
  </si>
  <si>
    <t>East Birmingham 3</t>
  </si>
  <si>
    <t>Unpaid Work and Attendance Centres - N07</t>
  </si>
  <si>
    <t>Leicester City 7</t>
  </si>
  <si>
    <t>HFS-St Albans SM</t>
  </si>
  <si>
    <t>GM Oldham 3 - N50</t>
  </si>
  <si>
    <t>SXE-Brighton 2 - N57</t>
  </si>
  <si>
    <t>Awaiting Allocation TOWER HAMLETS</t>
  </si>
  <si>
    <t>Carlisle 3 - N51</t>
  </si>
  <si>
    <t>Flintshire - Team 1</t>
  </si>
  <si>
    <t>Hereford</t>
  </si>
  <si>
    <t>Wandsworth, Merton and Sutton</t>
  </si>
  <si>
    <t>HFS-Stevenage SM</t>
  </si>
  <si>
    <t>GM Salford 1</t>
  </si>
  <si>
    <t>SXE-CP Standalone</t>
  </si>
  <si>
    <t>Awaiting Allocation WALTHAM FOREST</t>
  </si>
  <si>
    <t>NBR Northumberland LMC - N54</t>
  </si>
  <si>
    <t>Chester 1</t>
  </si>
  <si>
    <t>Gwent - IOM Team</t>
  </si>
  <si>
    <t>Inactive Team(N52)</t>
  </si>
  <si>
    <t>Leicester City Resettlement - N53</t>
  </si>
  <si>
    <t>HFS-UPW SA</t>
  </si>
  <si>
    <t>GM Salford 2</t>
  </si>
  <si>
    <t>SXE-Eastbourne</t>
  </si>
  <si>
    <t>Awaiting Allocation WANDSWORTH</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</si>
  <si>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</si>
  <si>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</si>
  <si>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</si>
  <si>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</si>
  <si>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</si>
  <si>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</si>
  <si>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</si>
  <si>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</si>
  <si>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</si>
  <si>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</si>
  <si>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</si>
  <si>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</si>
  <si>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</si>
  <si>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</si>
  <si>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</si>
  <si>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</si>
  <si>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</si>
  <si>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</si>
  <si>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</si>
  <si>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</si>
  <si>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</si>
  <si>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</si>
  <si>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</si>
  <si>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</si>
  <si>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</si>
  <si>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</si>
  <si>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</si>
  <si>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</si>
  <si>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</si>
  <si>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</si>
  <si>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</si>
  <si>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</si>
  <si>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</si>
  <si>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</si>
  <si>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</si>
  <si>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</si>
  <si>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</si>
  <si>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</si>
  <si>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</si>
  <si>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</si>
  <si>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</si>
  <si>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</si>
  <si>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</si>
  <si>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</si>
  <si>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</si>
  <si>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</si>
  <si>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</si>
  <si>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</si>
  <si>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</si>
  <si>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</si>
  <si>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</si>
  <si>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</si>
  <si>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</si>
  <si>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</si>
  <si>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</si>
  <si>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</si>
  <si>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</si>
  <si>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</si>
  <si>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</si>
  <si>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</si>
  <si>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</si>
  <si>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</si>
  <si>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</si>
  <si>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</si>
  <si>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</si>
  <si>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</si>
  <si>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</si>
  <si>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</si>
  <si>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</si>
  <si>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</si>
  <si>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</si>
  <si>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</si>
  <si>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</si>
  <si>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</si>
  <si>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</si>
  <si>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</si>
  <si>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</si>
  <si>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</si>
  <si>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</si>
  <si>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</si>
  <si>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</si>
  <si>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</si>
  <si>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</si>
  <si>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</si>
  <si>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</si>
  <si>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</si>
  <si>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</si>
  <si>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</si>
  <si>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</si>
  <si>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</si>
  <si>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</si>
  <si>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</si>
  <si>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</si>
  <si>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</si>
  <si>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</si>
  <si>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</si>
  <si>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</si>
  <si>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</si>
  <si>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</si>
  <si>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</si>
  <si>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</si>
  <si>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</si>
  <si>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</si>
  <si>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</si>
  <si>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</si>
  <si>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</si>
  <si>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</si>
  <si>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</si>
  <si>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</si>
  <si>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Nottingham City PQiP</t>
  </si>
  <si>
    <t>SFK-Ipswich SM</t>
  </si>
  <si>
    <t>GM Tameside 3 - N50</t>
  </si>
  <si>
    <t>BRE 1</t>
  </si>
  <si>
    <t>Redcar, Cleveland and Middlesbrough IOM</t>
  </si>
  <si>
    <t>Knowsley 1</t>
  </si>
  <si>
    <t>Pembrokeshire - Team 1</t>
  </si>
  <si>
    <t>Nottingham City South - N53</t>
  </si>
  <si>
    <t>SFK-Lowestoft SM</t>
  </si>
  <si>
    <t>GM Wigan 1 - N50</t>
  </si>
  <si>
    <t>BRE 2</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</si>
  <si>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</si>
  <si>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</si>
  <si>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</si>
  <si>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</si>
  <si>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</si>
  <si>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</si>
  <si>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</si>
  <si>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</si>
  <si>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</si>
  <si>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</si>
  <si>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</si>
  <si>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</si>
  <si>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</si>
  <si>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</si>
  <si>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</si>
  <si>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</si>
  <si>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</si>
  <si>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</si>
  <si>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</si>
  <si>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</si>
  <si>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</si>
  <si>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</si>
  <si>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</si>
  <si>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</si>
  <si>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</si>
  <si>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</si>
  <si>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</si>
  <si>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</si>
  <si>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</si>
  <si>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</si>
  <si>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</si>
  <si>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</si>
  <si>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</si>
  <si>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</si>
  <si>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</si>
  <si>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</si>
  <si>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</si>
  <si>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</si>
  <si>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</si>
  <si>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</si>
  <si>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</si>
  <si>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</si>
  <si>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</si>
  <si>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</si>
  <si>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</si>
  <si>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</si>
  <si>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</si>
  <si>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</si>
  <si>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</si>
  <si>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</si>
  <si>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</si>
  <si>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Bromley Service Centre - N07</t>
  </si>
  <si>
    <t>Liverpool North 10 - N51</t>
  </si>
  <si>
    <t>Swansea - Team 1</t>
  </si>
  <si>
    <t>Shrewsbury</t>
  </si>
  <si>
    <t>CAI 1</t>
  </si>
  <si>
    <t>Liverpool North 2</t>
  </si>
  <si>
    <t>Swansea - Team 2</t>
  </si>
  <si>
    <t>Solihull A</t>
  </si>
  <si>
    <t>CAI 2</t>
  </si>
  <si>
    <t>Liverpool North 3</t>
  </si>
  <si>
    <t>Swansea - Team 3</t>
  </si>
  <si>
    <t>Solihull B</t>
  </si>
  <si>
    <t>CAI 3</t>
  </si>
  <si>
    <t>Liverpool North 4</t>
  </si>
  <si>
    <t>Swansea - Team 4</t>
  </si>
  <si>
    <t>South Birmingham 1</t>
  </si>
  <si>
    <t>UPW Leicestershire - N53</t>
  </si>
  <si>
    <t>CAI 4 PQIP</t>
  </si>
  <si>
    <t>Swansea - Team 5</t>
  </si>
  <si>
    <t>South Birmingham 2</t>
  </si>
  <si>
    <t>UPW Lincolnshire</t>
  </si>
  <si>
    <t>CAI 6 - N07</t>
  </si>
  <si>
    <t>Liverpool North 8 - N51</t>
  </si>
  <si>
    <t>Swansea - Team 6</t>
  </si>
  <si>
    <t>South Birmingham 3</t>
  </si>
  <si>
    <t>CP North East 1 - N07</t>
  </si>
  <si>
    <t>Unallocated Team(N03)</t>
  </si>
  <si>
    <t>South Birmingham PQiP</t>
  </si>
  <si>
    <t>CP North East 2 - N07</t>
  </si>
  <si>
    <t>Liverpool North Unallocated</t>
  </si>
  <si>
    <t>Vale - IOM Women Team</t>
  </si>
  <si>
    <t>Stafford - N52</t>
  </si>
  <si>
    <t>CP North East Legacy Caseload - N07</t>
  </si>
  <si>
    <t>Liverpool South 1</t>
  </si>
  <si>
    <t>Vale - Team</t>
  </si>
  <si>
    <t>Staffordshire Community Hub - N52</t>
  </si>
  <si>
    <t>Liverpool South 2</t>
  </si>
  <si>
    <t>Unallocated Team(N59)</t>
  </si>
  <si>
    <t>Wrexham - Team 1</t>
  </si>
  <si>
    <t>Staffordshire Short Term Custody</t>
  </si>
  <si>
    <t>CP South 1 - N07</t>
  </si>
  <si>
    <t>Liverpool South 3</t>
  </si>
  <si>
    <t>UPW North Hub - N59</t>
  </si>
  <si>
    <t>Ynys Mon - Team 1</t>
  </si>
  <si>
    <t>Stoke Allocations - N52</t>
  </si>
  <si>
    <t>CP South 2 - N07</t>
  </si>
  <si>
    <t>Liverpool South 4</t>
  </si>
  <si>
    <t>UPW South Hub - N59</t>
  </si>
  <si>
    <t>Stoke Team 1 - N52</t>
  </si>
  <si>
    <t>Liverpool South 5</t>
  </si>
  <si>
    <t>West Berks ACE - N59</t>
  </si>
  <si>
    <t>Stoke Team 2 - N52</t>
  </si>
  <si>
    <t>CP South Legacy Caseload - N07</t>
  </si>
  <si>
    <t>Liverpool South 7 - N51</t>
  </si>
  <si>
    <t>Stoke Team 3 - N52</t>
  </si>
  <si>
    <t>CP West 1 - N07</t>
  </si>
  <si>
    <t>Liverpool South IOM</t>
  </si>
  <si>
    <t>Stoke Team 4 - N52</t>
  </si>
  <si>
    <t>CP West 2 - N07</t>
  </si>
  <si>
    <t>Liverpool South Unallocated</t>
  </si>
  <si>
    <t>West Berkshire Business Support Unit</t>
  </si>
  <si>
    <t>Tamworth - N52</t>
  </si>
  <si>
    <t>CRO 1</t>
  </si>
  <si>
    <t>Macclesfield 1</t>
  </si>
  <si>
    <t>Telford - N52</t>
  </si>
  <si>
    <t>CRO 2</t>
  </si>
  <si>
    <t>Merseyside and Cheshire UPW Hub Team 1</t>
  </si>
  <si>
    <t>Unallocated Team(N52)</t>
  </si>
  <si>
    <t>CRO 3</t>
  </si>
  <si>
    <t>Merseyside and Cheshire UPW Hub Team 2</t>
  </si>
  <si>
    <t>CRO 4</t>
  </si>
  <si>
    <t>Merseyside and Cheshire UPW Hub Team 3</t>
  </si>
  <si>
    <t>CRO 5 - N07</t>
  </si>
  <si>
    <t>Merseyside Resettle</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</si>
  <si>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</si>
  <si>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</si>
  <si>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</si>
  <si>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</si>
  <si>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</si>
  <si>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</si>
  <si>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</si>
  <si>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</si>
  <si>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</si>
  <si>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</si>
  <si>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</si>
  <si>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</si>
  <si>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</si>
  <si>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</si>
  <si>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</si>
  <si>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ENF 3 - N07</t>
  </si>
  <si>
    <t>Preston 4 - N51</t>
  </si>
  <si>
    <t>Walsall Team 2 - N52</t>
  </si>
  <si>
    <t>ENF 4 - N07</t>
  </si>
  <si>
    <t>Preston 5  - N51</t>
  </si>
  <si>
    <t>Walsall Team 3 - N52</t>
  </si>
  <si>
    <t>Sefton 2</t>
  </si>
  <si>
    <t>Wolverhampton and Walsall Team 5 PQuiP</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</si>
  <si>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</si>
  <si>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</si>
  <si>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</si>
  <si>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</si>
  <si>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</si>
  <si>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</si>
  <si>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</si>
  <si>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</si>
  <si>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</si>
  <si>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</si>
  <si>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</si>
  <si>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</si>
  <si>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</si>
  <si>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</si>
  <si>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</si>
  <si>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</si>
  <si>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</si>
  <si>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</si>
  <si>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</si>
  <si>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</si>
  <si>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</si>
  <si>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</si>
  <si>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</si>
  <si>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</si>
  <si>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</si>
  <si>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</si>
  <si>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</si>
  <si>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</si>
  <si>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</si>
  <si>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</si>
  <si>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</si>
  <si>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</si>
  <si>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</si>
  <si>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</si>
  <si>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</si>
  <si>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</si>
  <si>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</si>
  <si>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</si>
  <si>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</si>
  <si>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</si>
  <si>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</si>
  <si>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</si>
  <si>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</si>
  <si>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</si>
  <si>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</si>
  <si>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</si>
  <si>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</si>
  <si>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</si>
  <si>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</si>
  <si>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</si>
  <si>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</si>
  <si>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</si>
  <si>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</si>
  <si>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</si>
  <si>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</si>
  <si>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</si>
  <si>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</si>
  <si>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</si>
  <si>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</si>
  <si>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</si>
  <si>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</si>
  <si>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</si>
  <si>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</si>
  <si>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</si>
  <si>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</si>
  <si>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</si>
  <si>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</si>
  <si>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</si>
  <si>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</si>
  <si>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</si>
  <si>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</si>
  <si>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</si>
  <si>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</si>
  <si>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</si>
  <si>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</si>
  <si>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</si>
  <si>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</si>
  <si>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</si>
  <si>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</si>
  <si>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</si>
  <si>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</si>
  <si>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</si>
  <si>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</si>
  <si>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</si>
  <si>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</si>
  <si>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</si>
  <si>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</si>
  <si>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</si>
  <si>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</si>
  <si>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</si>
  <si>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</si>
  <si>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</si>
  <si>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</si>
  <si>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</si>
  <si>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</si>
  <si>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</si>
  <si>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</si>
  <si>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</si>
  <si>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</si>
  <si>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</si>
  <si>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</si>
  <si>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</si>
  <si>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</si>
  <si>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</si>
  <si>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</si>
  <si>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</si>
  <si>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</si>
  <si>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</si>
  <si>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</si>
  <si>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</si>
  <si>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</si>
  <si>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</si>
  <si>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</si>
  <si>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</si>
  <si>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</si>
  <si>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</si>
  <si>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</si>
  <si>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</si>
  <si>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</si>
  <si>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</si>
  <si>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</si>
  <si>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</si>
  <si>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</si>
  <si>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</si>
  <si>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</si>
  <si>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</si>
  <si>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</si>
  <si>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</si>
  <si>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</si>
  <si>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</si>
  <si>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</si>
  <si>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</si>
  <si>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</si>
  <si>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</si>
  <si>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</si>
  <si>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</si>
  <si>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</si>
  <si>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</si>
  <si>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</si>
  <si>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</si>
  <si>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</si>
  <si>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</si>
  <si>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</si>
  <si>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</si>
  <si>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</si>
  <si>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</si>
  <si>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</si>
  <si>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</si>
  <si>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</si>
  <si>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</si>
  <si>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</si>
  <si>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</si>
  <si>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</si>
  <si>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</si>
  <si>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</si>
  <si>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</si>
  <si>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</si>
  <si>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</si>
  <si>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</si>
  <si>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</si>
  <si>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</si>
  <si>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</si>
  <si>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</si>
  <si>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</si>
  <si>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</si>
  <si>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</si>
  <si>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</si>
  <si>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</si>
  <si>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</si>
  <si>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</si>
  <si>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</si>
  <si>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</si>
  <si>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</si>
  <si>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</si>
  <si>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</si>
  <si>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</si>
  <si>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</si>
  <si>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</si>
  <si>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</si>
  <si>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</si>
  <si>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</si>
  <si>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</si>
  <si>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</si>
  <si>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</si>
  <si>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</si>
  <si>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</si>
  <si>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</si>
  <si>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</si>
  <si>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</si>
  <si>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</si>
  <si>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</si>
  <si>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</si>
  <si>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</si>
  <si>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</si>
  <si>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</si>
  <si>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</si>
  <si>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</si>
  <si>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</si>
  <si>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</si>
  <si>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</si>
  <si>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</si>
  <si>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</si>
  <si>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</si>
  <si>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</si>
  <si>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</si>
  <si>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</si>
  <si>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</si>
  <si>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</si>
  <si>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</si>
  <si>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</si>
  <si>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</si>
  <si>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</si>
  <si>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</si>
  <si>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</si>
  <si>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</si>
  <si>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</si>
  <si>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</si>
  <si>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</si>
  <si>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</si>
  <si>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</si>
  <si>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</si>
  <si>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</si>
  <si>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</si>
  <si>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</si>
  <si>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</si>
  <si>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</si>
  <si>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</si>
  <si>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</si>
  <si>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</si>
  <si>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</si>
  <si>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</si>
  <si>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</si>
  <si>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</si>
  <si>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</si>
  <si>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</si>
  <si>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</si>
  <si>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</si>
  <si>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</si>
  <si>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</si>
  <si>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</si>
  <si>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</si>
  <si>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</si>
  <si>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</si>
  <si>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</si>
  <si>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</si>
  <si>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</si>
  <si>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</si>
  <si>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</si>
  <si>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</si>
  <si>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</si>
  <si>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</si>
  <si>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</si>
  <si>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</si>
  <si>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</si>
  <si>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</si>
  <si>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</si>
  <si>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</si>
  <si>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</si>
  <si>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</si>
  <si>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</si>
  <si>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</si>
  <si>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</si>
  <si>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</si>
  <si>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</si>
  <si>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</si>
  <si>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</si>
  <si>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</si>
  <si>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</si>
  <si>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</si>
  <si>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</si>
  <si>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</si>
  <si>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</si>
  <si>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</si>
  <si>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</si>
  <si>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</si>
  <si>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</si>
  <si>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</si>
  <si>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</si>
  <si>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</si>
  <si>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</si>
  <si>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</si>
  <si>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</si>
  <si>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</si>
  <si>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</si>
  <si>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</si>
  <si>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</si>
  <si>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</si>
  <si>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</si>
  <si>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</si>
  <si>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</si>
  <si>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</si>
  <si>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</si>
  <si>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</si>
  <si>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</si>
  <si>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</si>
  <si>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</si>
  <si>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</si>
  <si>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</si>
  <si>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</si>
  <si>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</si>
  <si>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</si>
  <si>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</si>
  <si>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</si>
  <si>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</si>
  <si>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</si>
  <si>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</si>
  <si>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</si>
  <si>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</si>
  <si>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</si>
  <si>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</si>
  <si>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</si>
  <si>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</si>
  <si>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</si>
  <si>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</si>
  <si>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</si>
  <si>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</si>
  <si>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</si>
  <si>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</si>
  <si>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</si>
  <si>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</si>
  <si>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</si>
  <si>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</si>
  <si>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</si>
  <si>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</si>
  <si>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</si>
  <si>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</si>
  <si>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</si>
  <si>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</si>
  <si>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</si>
  <si>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</si>
  <si>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</si>
  <si>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</si>
  <si>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</si>
  <si>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</si>
  <si>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</si>
  <si>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</si>
  <si>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</si>
  <si>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</si>
  <si>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</si>
  <si>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</si>
  <si>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</si>
  <si>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</si>
  <si>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</si>
  <si>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</si>
  <si>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</si>
  <si>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</si>
  <si>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</si>
  <si>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</si>
  <si>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</si>
  <si>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</si>
  <si>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</si>
  <si>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</si>
  <si>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</si>
  <si>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</si>
  <si>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</si>
  <si>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</si>
  <si>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</si>
  <si>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</si>
  <si>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</si>
  <si>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</si>
  <si>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</si>
  <si>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</si>
  <si>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</si>
  <si>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</si>
  <si>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</si>
  <si>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</si>
  <si>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</si>
  <si>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</si>
  <si>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</si>
  <si>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</si>
  <si>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</si>
  <si>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</si>
  <si>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</si>
  <si>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</si>
  <si>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</si>
  <si>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</si>
  <si>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</si>
  <si>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</si>
  <si>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</si>
  <si>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</si>
  <si>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</si>
  <si>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</si>
  <si>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</si>
  <si>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</si>
  <si>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</si>
  <si>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</si>
  <si>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</si>
  <si>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</si>
  <si>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</si>
  <si>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</si>
  <si>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</si>
  <si>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</si>
  <si>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</si>
  <si>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</si>
  <si>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</si>
  <si>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</si>
  <si>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</si>
  <si>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</si>
  <si>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</si>
  <si>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</si>
  <si>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</si>
  <si>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</si>
  <si>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</si>
  <si>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</si>
  <si>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</si>
  <si>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</si>
  <si>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</si>
  <si>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</si>
  <si>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</si>
  <si>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</si>
  <si>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</si>
  <si>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</si>
  <si>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</si>
  <si>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</si>
  <si>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</si>
  <si>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</si>
  <si>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</si>
  <si>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</si>
  <si>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</si>
  <si>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</si>
  <si>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</si>
  <si>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</si>
  <si>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</si>
  <si>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</si>
  <si>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</si>
  <si>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</si>
  <si>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</si>
  <si>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</si>
  <si>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</si>
  <si>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</si>
  <si>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</si>
  <si>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</si>
  <si>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</si>
  <si>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</si>
  <si>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</si>
  <si>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</si>
  <si>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</si>
  <si>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</si>
  <si>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</si>
  <si>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</si>
  <si>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</si>
  <si>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</si>
  <si>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</si>
  <si>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</si>
  <si>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</si>
  <si>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</si>
  <si>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</si>
  <si>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</si>
  <si>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</si>
  <si>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</si>
  <si>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</si>
  <si>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</si>
  <si>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</si>
  <si>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</si>
  <si>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</si>
  <si>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</si>
  <si>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</si>
  <si>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</si>
  <si>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</si>
  <si>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</si>
  <si>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</si>
  <si>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</si>
  <si>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</si>
  <si>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</si>
  <si>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</si>
  <si>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</si>
  <si>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</si>
  <si>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</si>
  <si>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</si>
  <si>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</si>
  <si>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</si>
  <si>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</si>
  <si>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</si>
  <si>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</si>
  <si>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</si>
  <si>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</si>
  <si>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</si>
  <si>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</si>
  <si>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</si>
  <si>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</si>
  <si>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</si>
  <si>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</si>
  <si>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</si>
  <si>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</si>
  <si>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</si>
  <si>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</si>
  <si>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</si>
  <si>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</si>
  <si>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</si>
  <si>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</si>
  <si>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</si>
  <si>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</si>
  <si>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</si>
  <si>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</si>
  <si>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</si>
  <si>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</si>
  <si>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</si>
  <si>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</si>
  <si>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</si>
  <si>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</si>
  <si>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</si>
  <si>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</si>
  <si>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</si>
  <si>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</si>
  <si>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</si>
  <si>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</si>
  <si>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</si>
  <si>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</si>
  <si>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</si>
  <si>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</si>
  <si>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</si>
  <si>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</si>
  <si>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</si>
  <si>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</si>
  <si>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</si>
  <si>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</si>
  <si>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</si>
  <si>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</si>
  <si>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</si>
  <si>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</si>
  <si>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</si>
  <si>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</si>
  <si>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</si>
  <si>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</si>
  <si>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</si>
  <si>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</si>
  <si>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</si>
  <si>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</si>
  <si>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</si>
  <si>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</si>
  <si>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</si>
  <si>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</si>
  <si>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</si>
  <si>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</si>
  <si>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</si>
  <si>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</si>
  <si>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</si>
  <si>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</si>
  <si>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</si>
  <si>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</si>
  <si>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</si>
  <si>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</si>
  <si>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</si>
  <si>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</si>
  <si>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</si>
  <si>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</si>
  <si>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</si>
  <si>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</si>
  <si>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</si>
  <si>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</si>
  <si>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</si>
  <si>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</si>
  <si>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</si>
  <si>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</si>
  <si>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</si>
  <si>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</si>
  <si>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</si>
  <si>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</si>
  <si>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</si>
  <si>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</si>
  <si>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</si>
  <si>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</si>
  <si>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</si>
  <si>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</si>
  <si>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</si>
  <si>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</si>
  <si>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</si>
  <si>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</si>
  <si>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</si>
  <si>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</si>
  <si>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</si>
  <si>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</si>
  <si>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</si>
  <si>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</si>
  <si>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</si>
  <si>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</si>
  <si>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</si>
  <si>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</si>
  <si>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</si>
  <si>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</si>
  <si>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</si>
  <si>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</si>
  <si>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</si>
  <si>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</si>
  <si>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</si>
  <si>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</si>
  <si>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</si>
  <si>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</si>
  <si>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</si>
  <si>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</si>
  <si>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</si>
  <si>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</si>
  <si>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</si>
  <si>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</si>
  <si>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</si>
  <si>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</si>
  <si>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</si>
  <si>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</si>
  <si>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</si>
  <si>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</si>
  <si>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</si>
  <si>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</si>
  <si>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</si>
  <si>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</si>
  <si>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</si>
  <si>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</si>
  <si>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</si>
  <si>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</si>
  <si>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</si>
  <si>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</si>
  <si>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</si>
  <si>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</si>
  <si>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</si>
  <si>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</si>
  <si>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</si>
  <si>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</si>
  <si>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</si>
  <si>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</si>
  <si>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</si>
  <si>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</si>
  <si>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</si>
  <si>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</si>
  <si>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Regional capacities by PDU, unallocated cases &amp; reductions in hours</t>
  </si>
  <si>
    <t>Awaiting Allocation East Yorkshire</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</si>
  <si>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</si>
  <si>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</si>
  <si>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</si>
  <si>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</si>
  <si>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</si>
  <si>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</si>
  <si>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</si>
  <si>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</si>
  <si>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</si>
  <si>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</si>
  <si>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</si>
  <si>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</si>
  <si>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</si>
  <si>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</si>
  <si>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</si>
  <si>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</si>
  <si>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</si>
  <si>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</si>
  <si>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</si>
  <si>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</si>
  <si>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</si>
  <si>
    <t>Doncaster Sentence Management Team 1</t>
  </si>
  <si>
    <t>Doncaster Sentence Management Team 2</t>
  </si>
  <si>
    <t>Doncaster Sentence Management Team 3</t>
  </si>
  <si>
    <t>Doncaster Sentence Management Team 4</t>
  </si>
  <si>
    <t>Doncaster Sentence Management Team 5</t>
  </si>
  <si>
    <t>Doncaster Community Integration Team</t>
  </si>
  <si>
    <t>UPW Derbyshire</t>
  </si>
  <si>
    <t>UPW Nottinghamshire</t>
  </si>
  <si>
    <t>Hull Community Integration Team 1</t>
  </si>
  <si>
    <t>Hull Community Integration Team 2</t>
  </si>
  <si>
    <t>Grimsby Community Integration Team</t>
  </si>
  <si>
    <t>Grimsby Sentence Management Team 1</t>
  </si>
  <si>
    <t>Grimsby Sentence Management Team 2</t>
  </si>
  <si>
    <t>Grimsby Sentence Management Team 3</t>
  </si>
  <si>
    <t>Grimsby Sentence Management Team 4</t>
  </si>
  <si>
    <t>Scunthorpe Community Integration Team</t>
  </si>
  <si>
    <t>Scunthorpe Sentence Management Team 1</t>
  </si>
  <si>
    <t>Scunthorpe Sentence Management Team 2</t>
  </si>
  <si>
    <t>Awaiting Allocation Scunthorpe</t>
  </si>
  <si>
    <t>Northumberland 1</t>
  </si>
  <si>
    <t>Northumberland 2</t>
  </si>
  <si>
    <t>County Durham and Darlington PQIP Team</t>
  </si>
  <si>
    <t>Gateshead and South Tyneside PQIP Team</t>
  </si>
  <si>
    <t>Newcastle upon Tyne PQIP Team</t>
  </si>
  <si>
    <t>North Tyneside and Northumberland PQIP Team</t>
  </si>
  <si>
    <t>Redcar, Cleveland and Middlesbrough PQIP Team</t>
  </si>
  <si>
    <t>Stockton and Hartlepool PQIP Team</t>
  </si>
  <si>
    <t>Sunderland PQIP Team</t>
  </si>
  <si>
    <t>Scarborough - NY Sentence Management Team 1</t>
  </si>
  <si>
    <t>Harrogate - NY Sentence Management Team 2</t>
  </si>
  <si>
    <t>Northallerton - NY Sentence Management Team 3</t>
  </si>
  <si>
    <t>Skipton - NY Sentence Management Team  4</t>
  </si>
  <si>
    <t>Selby - NY Sentence Management Team 5</t>
  </si>
  <si>
    <t>Hull Community Integration Team 3</t>
  </si>
  <si>
    <t>NY Community Integration Team West</t>
  </si>
  <si>
    <t>NY Community Integration Team East</t>
  </si>
  <si>
    <t>PO CMS % of overall available</t>
  </si>
  <si>
    <t>PP capacity</t>
  </si>
  <si>
    <t>The data presented in this dashboard is sourced from the Workload Measurement Tool for internal Management information only</t>
  </si>
  <si>
    <t>Data included in the dashboard is only as accurate as the data in WMT from the previous day</t>
  </si>
  <si>
    <t>Data issues:</t>
  </si>
  <si>
    <t>Dashboard Impact</t>
  </si>
  <si>
    <t>Regions not informing PWP to update/change team names to be the same as nDelius and WMT</t>
  </si>
  <si>
    <t>Teams have not ensured all staff have correct contracted hours</t>
  </si>
  <si>
    <t>Capacities in the teams/PDU/Regions will be inaccurate for staffing capacities</t>
  </si>
  <si>
    <t>Teams have not ensured all staff have accurate reductions</t>
  </si>
  <si>
    <t>Regional staff have not checked updates to the dashboard for accuracy</t>
  </si>
  <si>
    <t>Team names may be inconsistent in naming convention used in nDelius &amp; WMT - therefore will not show on the drop down options</t>
  </si>
  <si>
    <t>Staff who have left - yet cases remain either active or inactive</t>
  </si>
  <si>
    <t>Aggregated capacity percentages (e.g national, regional) mask the wider variance in capacity for PDU &amp; teams</t>
  </si>
  <si>
    <t>Cases not yet alllocated to an officer may not be picked up on the WMT (Unallocated or DMY) so the data may not accurately reflect capacity</t>
  </si>
  <si>
    <t>Capacities in the region will be incorrect as new teams have not been included, therefore staff &amp; caseload data will be excluded from the dashboard</t>
  </si>
  <si>
    <t>This data is for internal management information use only</t>
  </si>
  <si>
    <t>This data is for internal management information use only - this table information can be shared with HMIP</t>
  </si>
  <si>
    <t>Officers returning from long-term leave may be allocated a low number of cases</t>
  </si>
  <si>
    <t>Average capacities for teams, PDU and regions may be impacted</t>
  </si>
  <si>
    <t>Cases allocated to DMY (Dummy), Unallocated or Inactive teams will not gain capacity percentages for PP's</t>
  </si>
  <si>
    <t>Staff will transfer to the dashboard with contracted and reduction hours associated, they will not remove until all cases including inactive cases have been reallocated. In effect the staff member will show with zero capacity as they have zero time allocated</t>
  </si>
  <si>
    <t>There will be an impact of data issues reducting the validity of dashboard data summaries. These limitations need to be taken into account when using data to inform any management decisions</t>
  </si>
  <si>
    <t xml:space="preserve">The below factors listed may impact on the quality (reliability and validity) of data within the WMT Dashboard. </t>
  </si>
  <si>
    <t>GM Tameside 4</t>
  </si>
  <si>
    <t>Barnsley Sentence Management Team 1</t>
  </si>
  <si>
    <t>Barnsley Sentence Management Team 2</t>
  </si>
  <si>
    <t>Barnsley Sentence Management Team 3</t>
  </si>
  <si>
    <t>Barnsley Community Integration Team</t>
  </si>
  <si>
    <t>Rotherham Sentence Management Team 2</t>
  </si>
  <si>
    <t>Rotherham Sentence Management Team 3</t>
  </si>
  <si>
    <t>Awaiting Allocation BARKING DAGENHAM HAVERING</t>
  </si>
  <si>
    <t>Awaiting Allocation County Durham Darlington</t>
  </si>
  <si>
    <t>Awaiting Allocation GREENWICH</t>
  </si>
  <si>
    <t>Awaiting Allocation Cheshire</t>
  </si>
  <si>
    <t>Calderdale Sentence Management Team 1</t>
  </si>
  <si>
    <t>Calderdale Sentence Management Team 2</t>
  </si>
  <si>
    <t>Calderdale Sentence Management Team 3</t>
  </si>
  <si>
    <t>Calderdale Community Integration Team 1</t>
  </si>
  <si>
    <t>Bradford Community Integration Team 1</t>
  </si>
  <si>
    <t>Bradford Community Integration Team 2</t>
  </si>
  <si>
    <t>Bradford Sentence Management Team 1</t>
  </si>
  <si>
    <t>Bradford Sentence Management Team 2</t>
  </si>
  <si>
    <t>Bradford Sentence Management Team 3</t>
  </si>
  <si>
    <t>Bradford Sentence Management Team 4</t>
  </si>
  <si>
    <t>Bradford Sentence Management Team 5</t>
  </si>
  <si>
    <t>Bradford Sentence Management Team 6</t>
  </si>
  <si>
    <t>Bradford Sentence Management Team 7</t>
  </si>
  <si>
    <t>Bradford Sentence Management Team 8</t>
  </si>
  <si>
    <t>Bradford Sentence Management Team 9</t>
  </si>
  <si>
    <t>Bradford Sentence Management Team 10</t>
  </si>
  <si>
    <t>Derby City 4</t>
  </si>
  <si>
    <t>Leicester City PQIP</t>
  </si>
  <si>
    <t>EXS-UPW SA</t>
  </si>
  <si>
    <t>PQiPs North Staffordshire</t>
  </si>
  <si>
    <t>PQiPs South Staffordshire</t>
  </si>
  <si>
    <t>Rotherham Community Integration Team</t>
  </si>
  <si>
    <t>Rotherham Sentence Management Team 1</t>
  </si>
  <si>
    <r>
      <t>Total (</t>
    </r>
    <r>
      <rPr>
        <b/>
        <sz val="10"/>
        <color rgb="FFFF0000"/>
        <rFont val="Arial"/>
        <family val="2"/>
      </rPr>
      <t>including unallocated cases</t>
    </r>
    <r>
      <rPr>
        <b/>
        <sz val="10"/>
        <color theme="1"/>
        <rFont val="Arial"/>
        <family val="2"/>
      </rPr>
      <t>)</t>
    </r>
  </si>
  <si>
    <t>Total caseloads (all PP's inc DMY)</t>
  </si>
  <si>
    <t>PDU Total caseload (all PP's inc DMY)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</si>
</sst>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21"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
      <b/>
      <u/>
      <sz val="9"/>
      <color theme="1"/>
      <name val="Calibri"/>
      <family val="2"/>
      <scheme val="minor"/>
    </font>
    <font>
      <b/>
      <u/>
      <sz val="11"/>
      <color rgb="FF7030A0"/>
      <name val="Calibri"/>
      <family val="2"/>
      <scheme val="minor"/>
    </font>
    <font>
      <b/>
      <u/>
      <sz val="14"/>
      <color theme="1"/>
      <name val="Arial"/>
      <family val="2"/>
    </font>
    <font>
      <sz val="9"/>
      <color theme="1"/>
      <name val="Segoe UI"/>
      <family val="2"/>
    </font>
    <font>
      <sz val="9"/>
      <color rgb="FF7030A0"/>
      <name val="Segoe UI"/>
      <family val="2"/>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8" fillId="0" borderId="0" applyFont="0" applyFill="0" applyBorder="0" applyAlignment="0" applyProtection="0"/>
    <xf numFmtId="0" fontId="20" fillId="0" borderId="0" applyNumberFormat="0" applyFill="0" applyBorder="0" applyAlignment="0" applyProtection="0"/>
    <xf numFmtId="0" fontId="21" fillId="0" borderId="0"/>
    <xf numFmtId="0" fontId="25" fillId="0" borderId="0" applyNumberFormat="0" applyFill="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29" fillId="14" borderId="0" applyNumberFormat="0" applyBorder="0" applyAlignment="0" applyProtection="0"/>
    <xf numFmtId="0" fontId="30" fillId="15" borderId="0" applyNumberFormat="0" applyBorder="0" applyAlignment="0" applyProtection="0"/>
    <xf numFmtId="0" fontId="31" fillId="16" borderId="0" applyNumberFormat="0" applyBorder="0" applyAlignment="0" applyProtection="0"/>
    <xf numFmtId="0" fontId="32" fillId="17" borderId="39" applyNumberFormat="0" applyAlignment="0" applyProtection="0"/>
    <xf numFmtId="0" fontId="33" fillId="18" borderId="40" applyNumberFormat="0" applyAlignment="0" applyProtection="0"/>
    <xf numFmtId="0" fontId="34" fillId="18" borderId="39" applyNumberFormat="0" applyAlignment="0" applyProtection="0"/>
    <xf numFmtId="0" fontId="35" fillId="0" borderId="41" applyNumberFormat="0" applyFill="0" applyAlignment="0" applyProtection="0"/>
    <xf numFmtId="0" fontId="36" fillId="19" borderId="42" applyNumberFormat="0" applyAlignment="0" applyProtection="0"/>
    <xf numFmtId="0" fontId="37" fillId="0" borderId="0" applyNumberFormat="0" applyFill="0" applyBorder="0" applyAlignment="0" applyProtection="0"/>
    <xf numFmtId="0" fontId="21" fillId="20" borderId="43" applyNumberFormat="0" applyFont="0" applyAlignment="0" applyProtection="0"/>
    <xf numFmtId="0" fontId="38" fillId="0" borderId="0" applyNumberFormat="0" applyFill="0" applyBorder="0" applyAlignment="0" applyProtection="0"/>
    <xf numFmtId="0" fontId="39" fillId="0" borderId="44" applyNumberFormat="0" applyFill="0" applyAlignment="0" applyProtection="0"/>
    <xf numFmtId="0" fontId="40"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40"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40"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40"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41" fillId="0" borderId="0" applyNumberFormat="0" applyFill="0" applyBorder="0" applyAlignment="0" applyProtection="0"/>
    <xf numFmtId="0" fontId="5" fillId="0" borderId="0"/>
    <xf numFmtId="0" fontId="5" fillId="20" borderId="43" applyNumberFormat="0" applyFont="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30" fillId="15" borderId="0" applyNumberFormat="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64" fillId="0" borderId="0"/>
    <xf numFmtId="0" fontId="65" fillId="14" borderId="0" applyNumberFormat="0" applyBorder="0" applyAlignment="0" applyProtection="0"/>
    <xf numFmtId="0" fontId="66" fillId="15" borderId="0" applyNumberFormat="0" applyBorder="0" applyAlignment="0" applyProtection="0"/>
    <xf numFmtId="0" fontId="67" fillId="16" borderId="0" applyNumberFormat="0" applyBorder="0" applyAlignment="0" applyProtection="0"/>
    <xf numFmtId="0" fontId="68" fillId="17" borderId="39" applyNumberFormat="0" applyAlignment="0" applyProtection="0"/>
    <xf numFmtId="0" fontId="69" fillId="18" borderId="40" applyNumberFormat="0" applyAlignment="0" applyProtection="0"/>
    <xf numFmtId="0" fontId="70" fillId="18" borderId="39" applyNumberFormat="0" applyAlignment="0" applyProtection="0"/>
    <xf numFmtId="0" fontId="71" fillId="0" borderId="41" applyNumberFormat="0" applyFill="0" applyAlignment="0" applyProtection="0"/>
    <xf numFmtId="0" fontId="72" fillId="19" borderId="42" applyNumberFormat="0" applyAlignment="0" applyProtection="0"/>
    <xf numFmtId="0" fontId="73" fillId="0" borderId="0" applyNumberFormat="0" applyFill="0" applyBorder="0" applyAlignment="0" applyProtection="0"/>
    <xf numFmtId="0" fontId="64" fillId="20" borderId="43" applyNumberFormat="0" applyFont="0" applyAlignment="0" applyProtection="0"/>
    <xf numFmtId="0" fontId="74" fillId="0" borderId="0" applyNumberFormat="0" applyFill="0" applyBorder="0" applyAlignment="0" applyProtection="0"/>
    <xf numFmtId="0" fontId="75" fillId="0" borderId="44" applyNumberFormat="0" applyFill="0" applyAlignment="0" applyProtection="0"/>
    <xf numFmtId="0" fontId="76" fillId="21" borderId="0" applyNumberFormat="0" applyBorder="0" applyAlignment="0" applyProtection="0"/>
    <xf numFmtId="0" fontId="64" fillId="22" borderId="0" applyNumberFormat="0" applyBorder="0" applyAlignment="0" applyProtection="0"/>
    <xf numFmtId="0" fontId="64" fillId="23" borderId="0" applyNumberFormat="0" applyBorder="0" applyAlignment="0" applyProtection="0"/>
    <xf numFmtId="0" fontId="64" fillId="24" borderId="0" applyNumberFormat="0" applyBorder="0" applyAlignment="0" applyProtection="0"/>
    <xf numFmtId="0" fontId="76" fillId="25" borderId="0" applyNumberFormat="0" applyBorder="0" applyAlignment="0" applyProtection="0"/>
    <xf numFmtId="0" fontId="64" fillId="26" borderId="0" applyNumberFormat="0" applyBorder="0" applyAlignment="0" applyProtection="0"/>
    <xf numFmtId="0" fontId="64" fillId="27" borderId="0" applyNumberFormat="0" applyBorder="0" applyAlignment="0" applyProtection="0"/>
    <xf numFmtId="0" fontId="64" fillId="28" borderId="0" applyNumberFormat="0" applyBorder="0" applyAlignment="0" applyProtection="0"/>
    <xf numFmtId="0" fontId="76" fillId="29" borderId="0" applyNumberFormat="0" applyBorder="0" applyAlignment="0" applyProtection="0"/>
    <xf numFmtId="0" fontId="64" fillId="30" borderId="0" applyNumberFormat="0" applyBorder="0" applyAlignment="0" applyProtection="0"/>
    <xf numFmtId="0" fontId="64" fillId="31" borderId="0" applyNumberFormat="0" applyBorder="0" applyAlignment="0" applyProtection="0"/>
    <xf numFmtId="0" fontId="64" fillId="32" borderId="0" applyNumberFormat="0" applyBorder="0" applyAlignment="0" applyProtection="0"/>
    <xf numFmtId="0" fontId="76" fillId="33" borderId="0" applyNumberFormat="0" applyBorder="0" applyAlignment="0" applyProtection="0"/>
    <xf numFmtId="0" fontId="64" fillId="34" borderId="0" applyNumberFormat="0" applyBorder="0" applyAlignment="0" applyProtection="0"/>
    <xf numFmtId="0" fontId="64" fillId="35" borderId="0" applyNumberFormat="0" applyBorder="0" applyAlignment="0" applyProtection="0"/>
    <xf numFmtId="0" fontId="64" fillId="36" borderId="0" applyNumberFormat="0" applyBorder="0" applyAlignment="0" applyProtection="0"/>
    <xf numFmtId="0" fontId="76" fillId="37" borderId="0" applyNumberFormat="0" applyBorder="0" applyAlignment="0" applyProtection="0"/>
    <xf numFmtId="0" fontId="64" fillId="38" borderId="0" applyNumberFormat="0" applyBorder="0" applyAlignment="0" applyProtection="0"/>
    <xf numFmtId="0" fontId="64" fillId="39" borderId="0" applyNumberFormat="0" applyBorder="0" applyAlignment="0" applyProtection="0"/>
    <xf numFmtId="0" fontId="64" fillId="40" borderId="0" applyNumberFormat="0" applyBorder="0" applyAlignment="0" applyProtection="0"/>
    <xf numFmtId="0" fontId="76" fillId="41" borderId="0" applyNumberFormat="0" applyBorder="0" applyAlignment="0" applyProtection="0"/>
    <xf numFmtId="0" fontId="64" fillId="42" borderId="0" applyNumberFormat="0" applyBorder="0" applyAlignment="0" applyProtection="0"/>
    <xf numFmtId="0" fontId="64" fillId="43" borderId="0" applyNumberFormat="0" applyBorder="0" applyAlignment="0" applyProtection="0"/>
    <xf numFmtId="0" fontId="6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cellStyleXfs>
  <cellXfs count="637">
    <xf numFmtId="0" fontId="0" fillId="0" borderId="0" xfId="0"/>
    <xf numFmtId="0" fontId="6" fillId="0" borderId="0" xfId="0" applyFont="1"/>
    <xf numFmtId="0" fontId="6" fillId="0" borderId="0" xfId="0" applyFont="1" applyAlignment="1">
      <alignment horizontal="center"/>
    </xf>
    <xf numFmtId="0" fontId="8" fillId="0" borderId="0" xfId="0" applyFont="1"/>
    <xf numFmtId="0" fontId="9" fillId="0" borderId="0" xfId="0" applyFont="1" applyAlignment="1">
      <alignment vertical="center"/>
    </xf>
    <xf numFmtId="14" fontId="6" fillId="0" borderId="0" xfId="0" applyNumberFormat="1" applyFont="1" applyAlignment="1">
      <alignment vertical="center"/>
    </xf>
    <xf numFmtId="0" fontId="0" fillId="0" borderId="0" xfId="0" applyAlignment="1">
      <alignment horizontal="center"/>
    </xf>
    <xf numFmtId="0" fontId="20" fillId="0" borderId="0" xfId="2"/>
    <xf numFmtId="0" fontId="0" fillId="4" borderId="0" xfId="0" applyFill="1"/>
    <xf numFmtId="0" fontId="0" fillId="0" borderId="0" xfId="0" applyAlignment="1">
      <alignment horizontal="left"/>
    </xf>
    <xf numFmtId="0" fontId="6" fillId="4" borderId="0" xfId="0" applyFont="1" applyFill="1"/>
    <xf numFmtId="0" fontId="6" fillId="4" borderId="0" xfId="0" applyFont="1" applyFill="1" applyAlignment="1">
      <alignment horizontal="center" vertical="top" wrapText="1"/>
    </xf>
    <xf numFmtId="0" fontId="22" fillId="4" borderId="2" xfId="0" applyFont="1" applyFill="1" applyBorder="1" applyAlignment="1">
      <alignment horizontal="center"/>
    </xf>
    <xf numFmtId="0" fontId="11" fillId="10" borderId="2" xfId="0" applyFont="1" applyFill="1" applyBorder="1" applyAlignment="1">
      <alignment horizontal="center" vertical="center"/>
    </xf>
    <xf numFmtId="0" fontId="11" fillId="4" borderId="0" xfId="0" applyFont="1" applyFill="1" applyAlignment="1">
      <alignment horizontal="center" vertical="top" wrapText="1"/>
    </xf>
    <xf numFmtId="164" fontId="6" fillId="0" borderId="1" xfId="0" applyNumberFormat="1" applyFont="1" applyBorder="1"/>
    <xf numFmtId="0" fontId="23" fillId="0" borderId="0" xfId="0" applyFont="1" applyAlignment="1">
      <alignment vertical="center" wrapText="1"/>
    </xf>
    <xf numFmtId="0" fontId="19" fillId="0" borderId="0" xfId="0" applyFont="1" applyAlignment="1">
      <alignment horizontal="center"/>
    </xf>
    <xf numFmtId="166" fontId="6" fillId="0" borderId="4" xfId="0" applyNumberFormat="1" applyFont="1" applyBorder="1" applyAlignment="1">
      <alignment horizontal="center" vertical="center"/>
    </xf>
    <xf numFmtId="166" fontId="6" fillId="0" borderId="0" xfId="0" applyNumberFormat="1" applyFont="1" applyAlignment="1">
      <alignment horizontal="center" vertical="center"/>
    </xf>
    <xf numFmtId="0" fontId="16" fillId="10" borderId="0" xfId="0" applyFont="1" applyFill="1" applyAlignment="1">
      <alignment horizontal="left" vertical="center" wrapText="1"/>
    </xf>
    <xf numFmtId="0" fontId="8" fillId="0" borderId="0" xfId="0" applyFont="1" applyAlignment="1">
      <alignment horizontal="center"/>
    </xf>
    <xf numFmtId="10" fontId="6" fillId="0" borderId="1" xfId="0" applyNumberFormat="1" applyFont="1" applyBorder="1" applyAlignment="1">
      <alignment horizontal="center"/>
    </xf>
    <xf numFmtId="0" fontId="0" fillId="4" borderId="1" xfId="0" applyFill="1" applyBorder="1"/>
    <xf numFmtId="0" fontId="10" fillId="10" borderId="25" xfId="0" applyFont="1" applyFill="1" applyBorder="1" applyAlignment="1">
      <alignment horizontal="center" vertical="center"/>
    </xf>
    <xf numFmtId="0" fontId="11" fillId="10" borderId="1" xfId="0" applyFont="1" applyFill="1" applyBorder="1"/>
    <xf numFmtId="0" fontId="17" fillId="5" borderId="1" xfId="0" applyFont="1" applyFill="1" applyBorder="1" applyAlignment="1">
      <alignment vertical="center" wrapText="1"/>
    </xf>
    <xf numFmtId="0" fontId="0" fillId="4" borderId="0" xfId="0" applyFill="1" applyAlignment="1">
      <alignment horizontal="center"/>
    </xf>
    <xf numFmtId="164" fontId="6"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5" fillId="0" borderId="0" xfId="0" applyFont="1"/>
    <xf numFmtId="0" fontId="10" fillId="10" borderId="2" xfId="0" applyFont="1" applyFill="1" applyBorder="1" applyAlignment="1">
      <alignment horizontal="center" vertical="center"/>
    </xf>
    <xf numFmtId="0" fontId="11" fillId="0" borderId="0" xfId="0" applyFont="1" applyAlignment="1">
      <alignment horizontal="center"/>
    </xf>
    <xf numFmtId="0" fontId="47" fillId="0" borderId="0" xfId="0" applyFont="1" applyAlignment="1">
      <alignment horizontal="center" vertical="center" wrapText="1"/>
    </xf>
    <xf numFmtId="0" fontId="0" fillId="0" borderId="1" xfId="0" applyBorder="1" applyAlignment="1">
      <alignment horizontal="center"/>
    </xf>
    <xf numFmtId="0" fontId="42" fillId="0" borderId="0" xfId="0" applyFont="1" applyAlignment="1">
      <alignment wrapText="1"/>
    </xf>
    <xf numFmtId="0" fontId="16" fillId="10" borderId="1" xfId="0" applyFont="1" applyFill="1" applyBorder="1" applyAlignment="1">
      <alignment horizontal="center" vertical="center" wrapText="1"/>
    </xf>
    <xf numFmtId="0" fontId="16" fillId="10" borderId="0" xfId="0" applyFont="1" applyFill="1" applyAlignment="1">
      <alignment horizontal="center"/>
    </xf>
    <xf numFmtId="0" fontId="43" fillId="10" borderId="1" xfId="0" applyFont="1" applyFill="1" applyBorder="1" applyAlignment="1">
      <alignment horizontal="center"/>
    </xf>
    <xf numFmtId="10" fontId="0" fillId="0" borderId="0" xfId="0" applyNumberFormat="1"/>
    <xf numFmtId="0" fontId="48" fillId="2" borderId="0" xfId="0" applyFont="1" applyFill="1" applyAlignment="1">
      <alignment horizontal="center"/>
    </xf>
    <xf numFmtId="0" fontId="11" fillId="0" borderId="0" xfId="0" applyFont="1" applyAlignment="1">
      <alignment horizontal="center" wrapText="1"/>
    </xf>
    <xf numFmtId="0" fontId="6" fillId="4" borderId="2" xfId="0" applyFont="1" applyFill="1" applyBorder="1"/>
    <xf numFmtId="0" fontId="6" fillId="4" borderId="1" xfId="0" applyFont="1" applyFill="1" applyBorder="1" applyAlignment="1">
      <alignment wrapText="1"/>
    </xf>
    <xf numFmtId="0" fontId="6" fillId="0" borderId="1" xfId="0" applyFont="1" applyBorder="1" applyAlignment="1">
      <alignment horizontal="center" wrapText="1"/>
    </xf>
    <xf numFmtId="0" fontId="49" fillId="0" borderId="0" xfId="0" applyFont="1"/>
    <xf numFmtId="166" fontId="6" fillId="46" borderId="0" xfId="0" applyNumberFormat="1" applyFont="1" applyFill="1" applyAlignment="1">
      <alignment horizontal="left" vertical="center" indent="14"/>
    </xf>
    <xf numFmtId="0" fontId="0" fillId="2" borderId="0" xfId="0" applyFill="1"/>
    <xf numFmtId="2" fontId="0" fillId="0" borderId="0" xfId="0" applyNumberFormat="1"/>
    <xf numFmtId="10" fontId="6" fillId="0" borderId="0" xfId="0" applyNumberFormat="1" applyFont="1"/>
    <xf numFmtId="0" fontId="16" fillId="10" borderId="17" xfId="0" applyFont="1" applyFill="1" applyBorder="1" applyAlignment="1">
      <alignment horizontal="center"/>
    </xf>
    <xf numFmtId="0" fontId="42" fillId="48" borderId="1" xfId="0" applyFont="1" applyFill="1" applyBorder="1" applyAlignment="1">
      <alignment horizontal="center" vertical="center"/>
    </xf>
    <xf numFmtId="0" fontId="0" fillId="0" borderId="0" xfId="0" applyProtection="1">
      <protection locked="0"/>
    </xf>
    <xf numFmtId="0" fontId="42" fillId="3" borderId="1" xfId="0" applyFont="1" applyFill="1" applyBorder="1" applyAlignment="1" applyProtection="1">
      <alignment horizontal="center" vertical="center" wrapText="1"/>
      <protection locked="0"/>
    </xf>
    <xf numFmtId="0" fontId="42" fillId="13" borderId="1" xfId="0" applyFont="1" applyFill="1" applyBorder="1" applyAlignment="1" applyProtection="1">
      <alignment horizontal="center" vertical="center" wrapText="1"/>
      <protection locked="0"/>
    </xf>
    <xf numFmtId="0" fontId="6" fillId="0" borderId="0" xfId="0" applyFont="1" applyAlignment="1">
      <alignment horizontal="center" vertical="center"/>
    </xf>
    <xf numFmtId="0" fontId="6" fillId="2" borderId="0" xfId="0" applyFont="1" applyFill="1" applyAlignment="1">
      <alignment horizontal="center" vertical="center"/>
    </xf>
    <xf numFmtId="0" fontId="8" fillId="2" borderId="0" xfId="0" applyFont="1" applyFill="1" applyAlignment="1">
      <alignment horizontal="center"/>
    </xf>
    <xf numFmtId="0" fontId="51" fillId="0" borderId="0" xfId="0" applyFont="1"/>
    <xf numFmtId="0" fontId="52" fillId="0" borderId="0" xfId="0" applyFont="1"/>
    <xf numFmtId="166" fontId="50" fillId="46" borderId="0" xfId="0" applyNumberFormat="1" applyFont="1" applyFill="1" applyAlignment="1">
      <alignment horizontal="left" vertical="center" indent="14"/>
    </xf>
    <xf numFmtId="0" fontId="24" fillId="0" borderId="1" xfId="0" applyFont="1" applyBorder="1"/>
    <xf numFmtId="0" fontId="43" fillId="10" borderId="1" xfId="0" quotePrefix="1" applyFont="1" applyFill="1" applyBorder="1" applyAlignment="1">
      <alignment horizontal="center" vertical="center" wrapText="1"/>
    </xf>
    <xf numFmtId="0" fontId="54" fillId="0" borderId="0" xfId="0" applyFont="1"/>
    <xf numFmtId="0" fontId="24" fillId="6" borderId="1" xfId="0" applyFont="1" applyFill="1" applyBorder="1"/>
    <xf numFmtId="10" fontId="24" fillId="0" borderId="1" xfId="0" applyNumberFormat="1" applyFont="1" applyBorder="1" applyAlignment="1">
      <alignment horizontal="center"/>
    </xf>
    <xf numFmtId="9" fontId="24" fillId="0" borderId="1" xfId="0" applyNumberFormat="1" applyFont="1" applyBorder="1" applyAlignment="1">
      <alignment horizontal="center"/>
    </xf>
    <xf numFmtId="0" fontId="24" fillId="12" borderId="18" xfId="0" quotePrefix="1" applyFont="1" applyFill="1" applyBorder="1" applyAlignment="1">
      <alignment horizontal="left" vertical="center" wrapText="1"/>
    </xf>
    <xf numFmtId="0" fontId="54" fillId="0" borderId="1" xfId="0" applyFont="1" applyBorder="1"/>
    <xf numFmtId="0" fontId="55" fillId="10" borderId="17" xfId="0" applyFont="1" applyFill="1" applyBorder="1" applyAlignment="1">
      <alignment horizontal="center" vertical="center" wrapText="1"/>
    </xf>
    <xf numFmtId="0" fontId="55" fillId="10" borderId="22" xfId="0" applyFont="1" applyFill="1" applyBorder="1" applyAlignment="1">
      <alignment horizontal="center" vertical="center" wrapText="1"/>
    </xf>
    <xf numFmtId="0" fontId="24" fillId="2" borderId="1" xfId="0" applyFont="1" applyFill="1" applyBorder="1" applyAlignment="1">
      <alignment horizontal="left" vertical="center" wrapText="1"/>
    </xf>
    <xf numFmtId="9" fontId="24" fillId="0" borderId="0" xfId="0" applyNumberFormat="1" applyFont="1" applyAlignment="1">
      <alignment horizontal="center" vertical="center"/>
    </xf>
    <xf numFmtId="9" fontId="24" fillId="2" borderId="1" xfId="0" applyNumberFormat="1" applyFont="1" applyFill="1" applyBorder="1" applyAlignment="1">
      <alignment horizontal="center" vertical="center" wrapText="1"/>
    </xf>
    <xf numFmtId="0" fontId="24" fillId="0" borderId="1" xfId="0" applyFont="1" applyBorder="1" applyAlignment="1">
      <alignment horizontal="center"/>
    </xf>
    <xf numFmtId="0" fontId="43" fillId="10" borderId="1" xfId="0" applyFont="1" applyFill="1" applyBorder="1" applyAlignment="1">
      <alignment horizontal="center" vertical="center"/>
    </xf>
    <xf numFmtId="1" fontId="24" fillId="0" borderId="1" xfId="1" applyNumberFormat="1" applyFont="1" applyBorder="1" applyAlignment="1">
      <alignment horizontal="center"/>
    </xf>
    <xf numFmtId="0" fontId="24" fillId="0" borderId="1" xfId="0" applyFont="1" applyBorder="1" applyAlignment="1">
      <alignment horizontal="center" vertical="center"/>
    </xf>
    <xf numFmtId="0" fontId="24" fillId="7" borderId="1" xfId="0" quotePrefix="1" applyFont="1" applyFill="1" applyBorder="1" applyAlignment="1">
      <alignment horizontal="left"/>
    </xf>
    <xf numFmtId="0" fontId="24" fillId="7" borderId="1" xfId="0" applyFont="1" applyFill="1" applyBorder="1" applyAlignment="1">
      <alignment horizontal="center"/>
    </xf>
    <xf numFmtId="1" fontId="24" fillId="7" borderId="1" xfId="0" applyNumberFormat="1" applyFont="1" applyFill="1" applyBorder="1" applyAlignment="1">
      <alignment horizontal="center"/>
    </xf>
    <xf numFmtId="10" fontId="24" fillId="7" borderId="1" xfId="0" applyNumberFormat="1" applyFont="1" applyFill="1" applyBorder="1" applyAlignment="1">
      <alignment horizontal="center"/>
    </xf>
    <xf numFmtId="0" fontId="24" fillId="12" borderId="1" xfId="0" quotePrefix="1" applyFont="1" applyFill="1" applyBorder="1" applyAlignment="1">
      <alignment horizontal="left" vertical="center" wrapText="1"/>
    </xf>
    <xf numFmtId="0" fontId="54" fillId="10" borderId="1" xfId="0" applyFont="1" applyFill="1" applyBorder="1"/>
    <xf numFmtId="1" fontId="24" fillId="0" borderId="1" xfId="0" applyNumberFormat="1" applyFont="1" applyBorder="1" applyAlignment="1">
      <alignment horizontal="center" vertical="top" wrapText="1"/>
    </xf>
    <xf numFmtId="0" fontId="24" fillId="0" borderId="1" xfId="0" applyFont="1" applyBorder="1" applyAlignment="1">
      <alignment horizontal="center" vertical="top" wrapText="1"/>
    </xf>
    <xf numFmtId="10" fontId="24" fillId="0" borderId="1" xfId="0" applyNumberFormat="1" applyFont="1" applyBorder="1" applyAlignment="1">
      <alignment horizontal="center" vertical="top" wrapText="1"/>
    </xf>
    <xf numFmtId="164" fontId="24" fillId="0" borderId="1" xfId="0" applyNumberFormat="1" applyFont="1" applyBorder="1" applyAlignment="1">
      <alignment horizontal="center" vertical="top" wrapText="1"/>
    </xf>
    <xf numFmtId="0" fontId="24" fillId="0" borderId="20" xfId="0" applyFont="1" applyBorder="1" applyAlignment="1">
      <alignment horizontal="center" vertical="center"/>
    </xf>
    <xf numFmtId="0" fontId="24" fillId="2" borderId="18" xfId="0" applyFont="1" applyFill="1" applyBorder="1" applyAlignment="1">
      <alignment horizontal="center" vertical="center"/>
    </xf>
    <xf numFmtId="0" fontId="24" fillId="0" borderId="0" xfId="0" applyFont="1"/>
    <xf numFmtId="10" fontId="24" fillId="2" borderId="1" xfId="0" applyNumberFormat="1" applyFont="1" applyFill="1" applyBorder="1" applyAlignment="1">
      <alignment horizontal="center" vertical="center"/>
    </xf>
    <xf numFmtId="0" fontId="58" fillId="48" borderId="1" xfId="0" applyFont="1" applyFill="1" applyBorder="1" applyAlignment="1">
      <alignment horizontal="center"/>
    </xf>
    <xf numFmtId="1" fontId="24" fillId="0" borderId="1" xfId="0" applyNumberFormat="1" applyFont="1" applyBorder="1" applyAlignment="1">
      <alignment horizontal="center"/>
    </xf>
    <xf numFmtId="0" fontId="43" fillId="10" borderId="17" xfId="0" applyFont="1" applyFill="1" applyBorder="1" applyAlignment="1">
      <alignment horizontal="center"/>
    </xf>
    <xf numFmtId="0" fontId="24" fillId="0" borderId="22" xfId="0" applyFont="1" applyBorder="1" applyAlignment="1">
      <alignment horizontal="center"/>
    </xf>
    <xf numFmtId="0" fontId="24" fillId="0" borderId="56" xfId="0" applyFont="1" applyBorder="1" applyAlignment="1">
      <alignment horizontal="center"/>
    </xf>
    <xf numFmtId="0" fontId="24" fillId="0" borderId="20" xfId="0" applyFont="1" applyBorder="1" applyAlignment="1">
      <alignment horizontal="center"/>
    </xf>
    <xf numFmtId="10" fontId="24" fillId="50" borderId="1" xfId="0" applyNumberFormat="1" applyFont="1" applyFill="1" applyBorder="1" applyAlignment="1">
      <alignment horizontal="center"/>
    </xf>
    <xf numFmtId="0" fontId="24" fillId="50" borderId="1" xfId="0" applyFont="1" applyFill="1" applyBorder="1" applyAlignment="1">
      <alignment horizontal="center"/>
    </xf>
    <xf numFmtId="9" fontId="24" fillId="50" borderId="1" xfId="0" applyNumberFormat="1" applyFont="1" applyFill="1" applyBorder="1" applyAlignment="1">
      <alignment horizontal="center"/>
    </xf>
    <xf numFmtId="9" fontId="24" fillId="50" borderId="1" xfId="0" applyNumberFormat="1" applyFont="1" applyFill="1" applyBorder="1" applyAlignment="1">
      <alignment horizontal="center" vertical="center"/>
    </xf>
    <xf numFmtId="9" fontId="24" fillId="50" borderId="18" xfId="0" applyNumberFormat="1" applyFont="1" applyFill="1" applyBorder="1" applyAlignment="1">
      <alignment horizontal="center" vertical="center"/>
    </xf>
    <xf numFmtId="165" fontId="24" fillId="50" borderId="1" xfId="1" applyNumberFormat="1" applyFont="1" applyFill="1" applyBorder="1" applyAlignment="1">
      <alignment horizontal="center"/>
    </xf>
    <xf numFmtId="0" fontId="24" fillId="50" borderId="1" xfId="0" applyFont="1" applyFill="1" applyBorder="1"/>
    <xf numFmtId="0" fontId="24" fillId="7" borderId="1" xfId="0" applyFont="1" applyFill="1" applyBorder="1"/>
    <xf numFmtId="9" fontId="24" fillId="7" borderId="1" xfId="0" applyNumberFormat="1" applyFont="1" applyFill="1" applyBorder="1" applyAlignment="1">
      <alignment horizontal="center"/>
    </xf>
    <xf numFmtId="1" fontId="24" fillId="7" borderId="1" xfId="0" applyNumberFormat="1" applyFont="1" applyFill="1" applyBorder="1" applyAlignment="1">
      <alignment horizontal="center" vertical="top" wrapText="1"/>
    </xf>
    <xf numFmtId="10" fontId="24" fillId="7" borderId="1" xfId="0" applyNumberFormat="1" applyFont="1" applyFill="1" applyBorder="1" applyAlignment="1">
      <alignment horizontal="center" vertical="top" wrapText="1"/>
    </xf>
    <xf numFmtId="0" fontId="58" fillId="50" borderId="1" xfId="0" applyFont="1" applyFill="1" applyBorder="1" applyAlignment="1">
      <alignment horizontal="center"/>
    </xf>
    <xf numFmtId="10" fontId="24" fillId="0" borderId="0" xfId="0" applyNumberFormat="1" applyFont="1" applyAlignment="1">
      <alignment horizontal="center"/>
    </xf>
    <xf numFmtId="164" fontId="24" fillId="0" borderId="18" xfId="0" applyNumberFormat="1" applyFont="1" applyBorder="1" applyAlignment="1">
      <alignment horizontal="center"/>
    </xf>
    <xf numFmtId="164" fontId="24" fillId="0" borderId="1" xfId="0" applyNumberFormat="1" applyFont="1" applyBorder="1" applyAlignment="1">
      <alignment horizontal="center"/>
    </xf>
    <xf numFmtId="0" fontId="24" fillId="8" borderId="1" xfId="0" applyFont="1" applyFill="1" applyBorder="1" applyAlignment="1">
      <alignment horizontal="center"/>
    </xf>
    <xf numFmtId="10" fontId="58" fillId="50" borderId="1" xfId="0" applyNumberFormat="1" applyFont="1" applyFill="1" applyBorder="1" applyAlignment="1">
      <alignment horizontal="center"/>
    </xf>
    <xf numFmtId="0" fontId="24" fillId="50" borderId="1" xfId="0" quotePrefix="1" applyFont="1" applyFill="1" applyBorder="1" applyAlignment="1">
      <alignment horizontal="left" vertical="center" wrapText="1"/>
    </xf>
    <xf numFmtId="10" fontId="58" fillId="7" borderId="1" xfId="0" applyNumberFormat="1" applyFont="1" applyFill="1" applyBorder="1" applyAlignment="1">
      <alignment horizontal="center"/>
    </xf>
    <xf numFmtId="10" fontId="58" fillId="7" borderId="1" xfId="0" applyNumberFormat="1" applyFont="1" applyFill="1" applyBorder="1" applyAlignment="1">
      <alignment horizontal="center" vertical="center"/>
    </xf>
    <xf numFmtId="0" fontId="24" fillId="50" borderId="18" xfId="0" quotePrefix="1" applyFont="1" applyFill="1" applyBorder="1" applyAlignment="1">
      <alignment horizontal="left" vertical="center" wrapText="1"/>
    </xf>
    <xf numFmtId="10" fontId="24" fillId="50" borderId="18" xfId="0" applyNumberFormat="1" applyFont="1" applyFill="1" applyBorder="1" applyAlignment="1">
      <alignment horizontal="center" vertical="center"/>
    </xf>
    <xf numFmtId="10" fontId="24" fillId="50" borderId="1" xfId="0" applyNumberFormat="1" applyFont="1" applyFill="1" applyBorder="1" applyAlignment="1">
      <alignment horizontal="center" vertical="center"/>
    </xf>
    <xf numFmtId="10" fontId="24" fillId="2" borderId="0" xfId="0" applyNumberFormat="1" applyFont="1" applyFill="1" applyAlignment="1">
      <alignment horizontal="center"/>
    </xf>
    <xf numFmtId="9" fontId="24" fillId="2" borderId="1" xfId="0" applyNumberFormat="1" applyFont="1" applyFill="1" applyBorder="1" applyAlignment="1">
      <alignment horizontal="center"/>
    </xf>
    <xf numFmtId="0" fontId="43" fillId="10" borderId="7" xfId="0" applyFont="1" applyFill="1" applyBorder="1" applyAlignment="1">
      <alignment horizontal="center"/>
    </xf>
    <xf numFmtId="0" fontId="43" fillId="10" borderId="57" xfId="0" applyFont="1" applyFill="1" applyBorder="1" applyAlignment="1">
      <alignment horizontal="center"/>
    </xf>
    <xf numFmtId="0" fontId="43" fillId="10" borderId="8" xfId="0" applyFont="1" applyFill="1" applyBorder="1" applyAlignment="1">
      <alignment horizontal="center"/>
    </xf>
    <xf numFmtId="0" fontId="43" fillId="10" borderId="18" xfId="0" applyFont="1" applyFill="1" applyBorder="1" applyAlignment="1">
      <alignment horizontal="center"/>
    </xf>
    <xf numFmtId="0" fontId="24" fillId="8" borderId="17" xfId="0" applyFont="1" applyFill="1" applyBorder="1" applyAlignment="1">
      <alignment horizontal="center"/>
    </xf>
    <xf numFmtId="0" fontId="24" fillId="8" borderId="3" xfId="0" applyFont="1" applyFill="1" applyBorder="1" applyAlignment="1">
      <alignment horizontal="center"/>
    </xf>
    <xf numFmtId="0" fontId="24" fillId="8" borderId="18" xfId="0" applyFont="1" applyFill="1" applyBorder="1" applyAlignment="1">
      <alignment horizontal="center"/>
    </xf>
    <xf numFmtId="0" fontId="24" fillId="0" borderId="0" xfId="0" applyFont="1" applyAlignment="1">
      <alignment horizontal="center" vertical="center"/>
    </xf>
    <xf numFmtId="0" fontId="24" fillId="0" borderId="0" xfId="0" applyFont="1" applyAlignment="1">
      <alignment horizontal="center" wrapText="1"/>
    </xf>
    <xf numFmtId="1" fontId="24" fillId="0" borderId="0" xfId="0" applyNumberFormat="1" applyFont="1" applyAlignment="1">
      <alignment horizontal="center"/>
    </xf>
    <xf numFmtId="1" fontId="58" fillId="50" borderId="1" xfId="0" applyNumberFormat="1" applyFont="1" applyFill="1" applyBorder="1" applyAlignment="1">
      <alignment horizontal="center" vertical="center"/>
    </xf>
    <xf numFmtId="0" fontId="58" fillId="50" borderId="1" xfId="0" applyFont="1" applyFill="1" applyBorder="1" applyAlignment="1">
      <alignment horizontal="center" vertical="center"/>
    </xf>
    <xf numFmtId="1" fontId="58" fillId="7" borderId="1" xfId="0" applyNumberFormat="1" applyFont="1" applyFill="1" applyBorder="1" applyAlignment="1">
      <alignment horizontal="center"/>
    </xf>
    <xf numFmtId="0" fontId="58" fillId="7" borderId="3" xfId="0" applyFont="1" applyFill="1" applyBorder="1" applyAlignment="1">
      <alignment horizontal="center"/>
    </xf>
    <xf numFmtId="165" fontId="58" fillId="7" borderId="1" xfId="0" applyNumberFormat="1" applyFont="1" applyFill="1" applyBorder="1" applyAlignment="1">
      <alignment horizontal="center"/>
    </xf>
    <xf numFmtId="0" fontId="54" fillId="0" borderId="2" xfId="0" applyFont="1" applyBorder="1"/>
    <xf numFmtId="0" fontId="0" fillId="0" borderId="2" xfId="0" applyBorder="1" applyAlignment="1">
      <alignment horizontal="left"/>
    </xf>
    <xf numFmtId="0" fontId="24" fillId="0" borderId="2" xfId="0" applyFont="1" applyBorder="1" applyAlignment="1">
      <alignment horizontal="left"/>
    </xf>
    <xf numFmtId="0" fontId="58" fillId="48" borderId="1" xfId="0" applyFont="1" applyFill="1" applyBorder="1" applyAlignment="1">
      <alignment horizontal="center" vertical="center"/>
    </xf>
    <xf numFmtId="0" fontId="58" fillId="0" borderId="0" xfId="0" applyFont="1" applyAlignment="1">
      <alignment wrapText="1"/>
    </xf>
    <xf numFmtId="0" fontId="24" fillId="0" borderId="18" xfId="0" applyFont="1" applyBorder="1" applyAlignment="1">
      <alignment horizontal="center"/>
    </xf>
    <xf numFmtId="1" fontId="30" fillId="51" borderId="1" xfId="66" applyNumberFormat="1" applyFill="1" applyBorder="1" applyAlignment="1">
      <alignment horizontal="center"/>
    </xf>
    <xf numFmtId="0" fontId="24" fillId="0" borderId="9" xfId="0" applyFont="1" applyBorder="1"/>
    <xf numFmtId="9" fontId="24" fillId="0" borderId="10" xfId="0" applyNumberFormat="1" applyFont="1" applyBorder="1" applyAlignment="1">
      <alignment horizontal="center"/>
    </xf>
    <xf numFmtId="10" fontId="24" fillId="0" borderId="0" xfId="0" applyNumberFormat="1" applyFont="1"/>
    <xf numFmtId="9" fontId="58" fillId="50" borderId="1" xfId="0" applyNumberFormat="1" applyFont="1" applyFill="1" applyBorder="1" applyAlignment="1">
      <alignment horizontal="center"/>
    </xf>
    <xf numFmtId="0" fontId="58" fillId="50" borderId="45" xfId="0" applyFont="1" applyFill="1" applyBorder="1"/>
    <xf numFmtId="9" fontId="58" fillId="50" borderId="45" xfId="0" applyNumberFormat="1" applyFont="1" applyFill="1" applyBorder="1" applyAlignment="1">
      <alignment horizontal="center"/>
    </xf>
    <xf numFmtId="10" fontId="58" fillId="50" borderId="45" xfId="0" applyNumberFormat="1" applyFont="1" applyFill="1" applyBorder="1" applyAlignment="1">
      <alignment horizontal="center"/>
    </xf>
    <xf numFmtId="0" fontId="54" fillId="0" borderId="0" xfId="0" applyFont="1" applyAlignment="1">
      <alignment horizontal="center"/>
    </xf>
    <xf numFmtId="0" fontId="58" fillId="5" borderId="1" xfId="0" applyFont="1" applyFill="1" applyBorder="1" applyAlignment="1">
      <alignment horizontal="left" vertical="top" wrapText="1"/>
    </xf>
    <xf numFmtId="9" fontId="24" fillId="5" borderId="0" xfId="0" applyNumberFormat="1" applyFont="1" applyFill="1" applyAlignment="1">
      <alignment horizontal="center"/>
    </xf>
    <xf numFmtId="9" fontId="24" fillId="5" borderId="1" xfId="0" applyNumberFormat="1" applyFont="1" applyFill="1" applyBorder="1" applyAlignment="1">
      <alignment horizontal="center"/>
    </xf>
    <xf numFmtId="0" fontId="55" fillId="10" borderId="1" xfId="0" applyFont="1" applyFill="1" applyBorder="1" applyAlignment="1">
      <alignment horizontal="center" vertical="center" wrapText="1"/>
    </xf>
    <xf numFmtId="0" fontId="55" fillId="10" borderId="2" xfId="0" applyFont="1" applyFill="1" applyBorder="1" applyAlignment="1">
      <alignment horizontal="center" vertical="center" wrapText="1"/>
    </xf>
    <xf numFmtId="0" fontId="24" fillId="12" borderId="1" xfId="0" applyFont="1" applyFill="1" applyBorder="1" applyAlignment="1">
      <alignment horizontal="center"/>
    </xf>
    <xf numFmtId="10" fontId="24" fillId="12" borderId="1" xfId="0" applyNumberFormat="1" applyFont="1" applyFill="1" applyBorder="1" applyAlignment="1">
      <alignment horizontal="center"/>
    </xf>
    <xf numFmtId="1" fontId="24" fillId="5" borderId="1" xfId="0" applyNumberFormat="1" applyFont="1" applyFill="1" applyBorder="1" applyAlignment="1">
      <alignment horizontal="center" vertical="top" wrapText="1"/>
    </xf>
    <xf numFmtId="10" fontId="24" fillId="5" borderId="1" xfId="0" applyNumberFormat="1" applyFont="1" applyFill="1" applyBorder="1" applyAlignment="1">
      <alignment horizontal="center" vertical="top" wrapText="1"/>
    </xf>
    <xf numFmtId="0" fontId="24" fillId="5" borderId="1" xfId="0" applyFont="1" applyFill="1" applyBorder="1" applyAlignment="1">
      <alignment horizontal="center" vertical="top" wrapText="1"/>
    </xf>
    <xf numFmtId="10" fontId="24" fillId="12" borderId="1" xfId="0" applyNumberFormat="1" applyFont="1" applyFill="1" applyBorder="1" applyAlignment="1">
      <alignment horizontal="center" vertical="top" wrapText="1"/>
    </xf>
    <xf numFmtId="0" fontId="43" fillId="0" borderId="0" xfId="0" applyFont="1"/>
    <xf numFmtId="0" fontId="43" fillId="10" borderId="1" xfId="0" applyFont="1" applyFill="1" applyBorder="1" applyAlignment="1">
      <alignment horizontal="center" wrapText="1"/>
    </xf>
    <xf numFmtId="165" fontId="24" fillId="0" borderId="1" xfId="0" applyNumberFormat="1" applyFont="1" applyBorder="1" applyAlignment="1">
      <alignment horizontal="center"/>
    </xf>
    <xf numFmtId="0" fontId="24" fillId="10" borderId="1" xfId="0" applyFont="1" applyFill="1" applyBorder="1"/>
    <xf numFmtId="10" fontId="54" fillId="0" borderId="0" xfId="0" applyNumberFormat="1" applyFont="1"/>
    <xf numFmtId="0" fontId="55" fillId="0" borderId="0" xfId="0" applyFont="1" applyAlignment="1">
      <alignment horizontal="center" vertical="center" wrapText="1"/>
    </xf>
    <xf numFmtId="0" fontId="24" fillId="0" borderId="0" xfId="0" applyFont="1" applyAlignment="1">
      <alignment horizontal="center"/>
    </xf>
    <xf numFmtId="9" fontId="24" fillId="0" borderId="1" xfId="0" applyNumberFormat="1" applyFont="1" applyBorder="1"/>
    <xf numFmtId="0" fontId="58" fillId="50" borderId="1" xfId="0" applyFont="1" applyFill="1" applyBorder="1"/>
    <xf numFmtId="0" fontId="16" fillId="10" borderId="45" xfId="0" quotePrefix="1" applyFont="1" applyFill="1" applyBorder="1" applyAlignment="1">
      <alignment horizontal="center" vertical="center" wrapText="1"/>
    </xf>
    <xf numFmtId="0" fontId="16" fillId="10" borderId="45" xfId="0" applyFont="1" applyFill="1" applyBorder="1" applyAlignment="1">
      <alignment horizontal="center" vertical="center" wrapText="1"/>
    </xf>
    <xf numFmtId="0" fontId="24" fillId="0" borderId="32" xfId="0" applyFont="1" applyBorder="1" applyAlignment="1">
      <alignment horizontal="center"/>
    </xf>
    <xf numFmtId="165" fontId="24" fillId="0" borderId="20" xfId="1" applyNumberFormat="1" applyFont="1" applyBorder="1" applyAlignment="1">
      <alignment horizontal="center"/>
    </xf>
    <xf numFmtId="0" fontId="58" fillId="50" borderId="30" xfId="0" quotePrefix="1" applyFont="1" applyFill="1" applyBorder="1" applyAlignment="1">
      <alignment horizontal="left"/>
    </xf>
    <xf numFmtId="0" fontId="58" fillId="50" borderId="46" xfId="0" applyFont="1" applyFill="1" applyBorder="1" applyAlignment="1">
      <alignment horizontal="center"/>
    </xf>
    <xf numFmtId="165" fontId="58" fillId="50" borderId="48" xfId="1" applyNumberFormat="1" applyFont="1" applyFill="1" applyBorder="1" applyAlignment="1">
      <alignment horizontal="center"/>
    </xf>
    <xf numFmtId="0" fontId="60" fillId="5" borderId="1" xfId="0" applyFont="1" applyFill="1" applyBorder="1" applyAlignment="1">
      <alignment vertical="center" wrapText="1"/>
    </xf>
    <xf numFmtId="0" fontId="58" fillId="5" borderId="1" xfId="0" applyFont="1" applyFill="1" applyBorder="1"/>
    <xf numFmtId="2" fontId="58" fillId="50" borderId="1" xfId="0" applyNumberFormat="1" applyFont="1" applyFill="1" applyBorder="1"/>
    <xf numFmtId="10" fontId="58" fillId="50" borderId="1" xfId="0" applyNumberFormat="1" applyFont="1" applyFill="1" applyBorder="1"/>
    <xf numFmtId="0" fontId="57" fillId="2" borderId="1" xfId="0" applyFont="1" applyFill="1" applyBorder="1" applyAlignment="1">
      <alignment horizontal="left" vertical="center" wrapText="1"/>
    </xf>
    <xf numFmtId="0" fontId="24" fillId="0" borderId="1" xfId="0" applyFont="1" applyBorder="1" applyAlignment="1">
      <alignment horizontal="left" vertical="center" wrapText="1"/>
    </xf>
    <xf numFmtId="0" fontId="16" fillId="10" borderId="9" xfId="0" applyFont="1" applyFill="1" applyBorder="1" applyAlignment="1">
      <alignment horizontal="center" vertical="center" wrapText="1"/>
    </xf>
    <xf numFmtId="0" fontId="16" fillId="10" borderId="10" xfId="0" quotePrefix="1" applyFont="1" applyFill="1" applyBorder="1" applyAlignment="1">
      <alignment horizontal="center" vertical="center" wrapText="1"/>
    </xf>
    <xf numFmtId="0" fontId="44" fillId="0" borderId="0" xfId="0" applyFont="1" applyAlignment="1">
      <alignment vertical="center" wrapText="1"/>
    </xf>
    <xf numFmtId="0" fontId="8" fillId="0" borderId="0" xfId="0" applyFont="1" applyAlignment="1">
      <alignment wrapText="1"/>
    </xf>
    <xf numFmtId="1" fontId="24" fillId="0" borderId="2" xfId="0" applyNumberFormat="1" applyFont="1" applyBorder="1" applyAlignment="1">
      <alignment horizontal="center"/>
    </xf>
    <xf numFmtId="0" fontId="55" fillId="10" borderId="47" xfId="0" applyFont="1" applyFill="1" applyBorder="1" applyAlignment="1">
      <alignment horizontal="center" vertical="center" wrapText="1"/>
    </xf>
    <xf numFmtId="0" fontId="55" fillId="10" borderId="23" xfId="0" applyFont="1" applyFill="1" applyBorder="1" applyAlignment="1">
      <alignment horizontal="center" vertical="center" wrapText="1"/>
    </xf>
    <xf numFmtId="9" fontId="6" fillId="0" borderId="10" xfId="0" applyNumberFormat="1" applyFont="1" applyBorder="1" applyAlignment="1">
      <alignment horizontal="center" vertical="center"/>
    </xf>
    <xf numFmtId="0" fontId="7" fillId="50" borderId="29" xfId="0" applyFont="1" applyFill="1" applyBorder="1" applyAlignment="1">
      <alignment vertical="center"/>
    </xf>
    <xf numFmtId="9" fontId="7" fillId="50" borderId="14" xfId="0" applyNumberFormat="1" applyFont="1" applyFill="1" applyBorder="1" applyAlignment="1">
      <alignment horizontal="center" vertical="center"/>
    </xf>
    <xf numFmtId="1" fontId="6" fillId="0" borderId="1" xfId="0" applyNumberFormat="1" applyFont="1" applyBorder="1" applyAlignment="1">
      <alignment horizontal="center" vertical="center"/>
    </xf>
    <xf numFmtId="1" fontId="7" fillId="50" borderId="15" xfId="0" applyNumberFormat="1" applyFont="1" applyFill="1" applyBorder="1" applyAlignment="1">
      <alignment horizontal="center" vertical="center"/>
    </xf>
    <xf numFmtId="1" fontId="7" fillId="50" borderId="16" xfId="0" applyNumberFormat="1" applyFont="1" applyFill="1" applyBorder="1" applyAlignment="1">
      <alignment horizontal="center" vertical="center"/>
    </xf>
    <xf numFmtId="1" fontId="6" fillId="0" borderId="9" xfId="0" applyNumberFormat="1" applyFont="1" applyBorder="1" applyAlignment="1">
      <alignment horizontal="center" vertical="center"/>
    </xf>
    <xf numFmtId="1" fontId="6" fillId="0" borderId="25" xfId="0" applyNumberFormat="1" applyFont="1" applyBorder="1" applyAlignment="1">
      <alignment horizontal="center" vertical="center"/>
    </xf>
    <xf numFmtId="0" fontId="16" fillId="10" borderId="25" xfId="0" applyFont="1" applyFill="1" applyBorder="1" applyAlignment="1">
      <alignment horizontal="center" vertical="center" wrapText="1"/>
    </xf>
    <xf numFmtId="10" fontId="24" fillId="5" borderId="1" xfId="0" applyNumberFormat="1" applyFont="1" applyFill="1" applyBorder="1" applyAlignment="1">
      <alignment horizontal="center" vertical="center"/>
    </xf>
    <xf numFmtId="10" fontId="24" fillId="5" borderId="1" xfId="0" applyNumberFormat="1" applyFont="1" applyFill="1" applyBorder="1" applyAlignment="1">
      <alignment horizontal="center"/>
    </xf>
    <xf numFmtId="14" fontId="6" fillId="2" borderId="0" xfId="0" applyNumberFormat="1" applyFont="1" applyFill="1" applyAlignment="1">
      <alignment horizontal="center" vertical="center" wrapText="1"/>
    </xf>
    <xf numFmtId="0" fontId="12" fillId="2" borderId="0" xfId="0" applyFont="1" applyFill="1" applyAlignment="1">
      <alignment horizontal="center" vertical="center" wrapText="1"/>
    </xf>
    <xf numFmtId="9" fontId="58" fillId="5" borderId="1" xfId="0" applyNumberFormat="1" applyFont="1" applyFill="1" applyBorder="1" applyAlignment="1">
      <alignment horizontal="center"/>
    </xf>
    <xf numFmtId="9" fontId="58" fillId="5" borderId="1" xfId="0" applyNumberFormat="1" applyFont="1" applyFill="1" applyBorder="1"/>
    <xf numFmtId="0" fontId="53" fillId="0" borderId="0" xfId="2" quotePrefix="1" applyFont="1" applyAlignment="1" applyProtection="1">
      <protection locked="0"/>
    </xf>
    <xf numFmtId="0" fontId="53" fillId="0" borderId="0" xfId="2" applyFont="1" applyAlignment="1"/>
    <xf numFmtId="10" fontId="24" fillId="0" borderId="1" xfId="0" applyNumberFormat="1" applyFont="1" applyBorder="1" applyAlignment="1">
      <alignment horizontal="center" vertical="center"/>
    </xf>
    <xf numFmtId="0" fontId="11" fillId="10" borderId="1" xfId="0" applyFont="1" applyFill="1" applyBorder="1" applyAlignment="1">
      <alignment horizontal="center"/>
    </xf>
    <xf numFmtId="0" fontId="24"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57" fillId="2" borderId="1" xfId="0" applyFont="1" applyFill="1" applyBorder="1" applyAlignment="1">
      <alignment horizontal="center" vertical="center" wrapText="1"/>
    </xf>
    <xf numFmtId="0" fontId="11" fillId="10" borderId="0" xfId="0" applyFont="1" applyFill="1" applyAlignment="1">
      <alignment horizontal="center" vertical="center" wrapText="1"/>
    </xf>
    <xf numFmtId="0" fontId="58" fillId="50" borderId="1" xfId="0" applyFont="1" applyFill="1" applyBorder="1" applyAlignment="1">
      <alignment wrapText="1"/>
    </xf>
    <xf numFmtId="0" fontId="60" fillId="50" borderId="1" xfId="0" applyFont="1" applyFill="1" applyBorder="1" applyAlignment="1">
      <alignment vertical="center" wrapText="1"/>
    </xf>
    <xf numFmtId="0" fontId="43" fillId="10" borderId="1" xfId="0" applyFont="1" applyFill="1" applyBorder="1" applyAlignment="1">
      <alignment horizontal="center" vertical="center" wrapText="1"/>
    </xf>
    <xf numFmtId="0" fontId="16" fillId="10" borderId="1" xfId="0" applyFont="1" applyFill="1" applyBorder="1" applyAlignment="1">
      <alignment horizontal="center" vertical="center"/>
    </xf>
    <xf numFmtId="0" fontId="22" fillId="4" borderId="0" xfId="0" applyFont="1" applyFill="1" applyAlignment="1">
      <alignment horizontal="center"/>
    </xf>
    <xf numFmtId="10" fontId="6" fillId="4" borderId="1" xfId="0" applyNumberFormat="1" applyFont="1" applyFill="1" applyBorder="1"/>
    <xf numFmtId="10" fontId="8" fillId="0" borderId="1" xfId="0" applyNumberFormat="1" applyFont="1" applyBorder="1"/>
    <xf numFmtId="0" fontId="54" fillId="0" borderId="17" xfId="0" applyFont="1" applyBorder="1"/>
    <xf numFmtId="165" fontId="0" fillId="0" borderId="0" xfId="0" applyNumberFormat="1"/>
    <xf numFmtId="9" fontId="0" fillId="0" borderId="0" xfId="0" applyNumberFormat="1"/>
    <xf numFmtId="1" fontId="6" fillId="0" borderId="0" xfId="0" applyNumberFormat="1" applyFont="1"/>
    <xf numFmtId="9" fontId="54" fillId="0" borderId="0" xfId="0" applyNumberFormat="1" applyFont="1" applyAlignment="1">
      <alignment horizontal="center"/>
    </xf>
    <xf numFmtId="0" fontId="24" fillId="52" borderId="1" xfId="0" applyFont="1" applyFill="1" applyBorder="1"/>
    <xf numFmtId="0" fontId="24" fillId="52" borderId="1" xfId="0" quotePrefix="1" applyFont="1" applyFill="1" applyBorder="1" applyAlignment="1">
      <alignment horizontal="left"/>
    </xf>
    <xf numFmtId="0" fontId="24" fillId="0" borderId="2" xfId="0" applyFont="1" applyBorder="1"/>
    <xf numFmtId="0" fontId="8" fillId="0" borderId="2" xfId="0" applyFont="1" applyBorder="1"/>
    <xf numFmtId="164" fontId="24" fillId="2" borderId="1" xfId="0" applyNumberFormat="1" applyFont="1" applyFill="1" applyBorder="1" applyAlignment="1">
      <alignment horizontal="center"/>
    </xf>
    <xf numFmtId="1" fontId="24" fillId="2" borderId="1" xfId="0" applyNumberFormat="1" applyFont="1" applyFill="1" applyBorder="1" applyAlignment="1">
      <alignment horizontal="center"/>
    </xf>
    <xf numFmtId="164" fontId="24" fillId="2" borderId="1" xfId="0" applyNumberFormat="1" applyFont="1" applyFill="1" applyBorder="1" applyAlignment="1">
      <alignment horizontal="center" vertical="center"/>
    </xf>
    <xf numFmtId="164" fontId="24" fillId="2" borderId="18" xfId="0" applyNumberFormat="1" applyFont="1" applyFill="1" applyBorder="1" applyAlignment="1">
      <alignment horizontal="center" vertical="center"/>
    </xf>
    <xf numFmtId="1" fontId="24" fillId="2" borderId="0" xfId="0" applyNumberFormat="1" applyFont="1" applyFill="1" applyAlignment="1">
      <alignment horizontal="center"/>
    </xf>
    <xf numFmtId="164" fontId="24" fillId="2" borderId="0" xfId="0" applyNumberFormat="1" applyFont="1" applyFill="1" applyAlignment="1">
      <alignment horizontal="center" vertical="center"/>
    </xf>
    <xf numFmtId="1" fontId="0" fillId="0" borderId="0" xfId="0" applyNumberFormat="1"/>
    <xf numFmtId="0" fontId="78" fillId="0" borderId="0" xfId="0" quotePrefix="1" applyFont="1" applyAlignment="1">
      <alignment vertical="center"/>
    </xf>
    <xf numFmtId="166" fontId="6" fillId="0" borderId="0" xfId="0" applyNumberFormat="1" applyFont="1" applyAlignment="1">
      <alignment horizontal="left" vertical="center" indent="14"/>
    </xf>
    <xf numFmtId="0" fontId="44" fillId="3" borderId="1" xfId="0" applyFont="1" applyFill="1" applyBorder="1" applyAlignment="1" applyProtection="1">
      <alignment horizontal="center" vertical="center" wrapText="1"/>
      <protection locked="0"/>
    </xf>
    <xf numFmtId="0" fontId="81" fillId="3" borderId="1" xfId="0" applyFont="1" applyFill="1" applyBorder="1" applyAlignment="1" applyProtection="1">
      <alignment horizontal="center" vertical="center" wrapText="1"/>
      <protection locked="0"/>
    </xf>
    <xf numFmtId="0" fontId="62" fillId="0" borderId="0" xfId="0" quotePrefix="1" applyFont="1" applyAlignment="1">
      <alignment horizontal="left" vertical="center" wrapText="1" indent="14"/>
    </xf>
    <xf numFmtId="0" fontId="3" fillId="0" borderId="0" xfId="0" applyFont="1"/>
    <xf numFmtId="0" fontId="83" fillId="0" borderId="0" xfId="0" applyFont="1"/>
    <xf numFmtId="9" fontId="3" fillId="0" borderId="0" xfId="1" applyFont="1"/>
    <xf numFmtId="0" fontId="84" fillId="0" borderId="1" xfId="0" applyFont="1" applyBorder="1" applyAlignment="1">
      <alignment horizontal="center"/>
    </xf>
    <xf numFmtId="0" fontId="84" fillId="0" borderId="2" xfId="0" applyFont="1" applyBorder="1" applyAlignment="1">
      <alignment horizontal="center"/>
    </xf>
    <xf numFmtId="0" fontId="84" fillId="0" borderId="0" xfId="0" applyFont="1" applyAlignment="1">
      <alignment horizontal="center"/>
    </xf>
    <xf numFmtId="0" fontId="39" fillId="0" borderId="0" xfId="0" applyFont="1"/>
    <xf numFmtId="0" fontId="59" fillId="0" borderId="0" xfId="0" quotePrefix="1" applyFont="1" applyAlignment="1">
      <alignment horizontal="center" vertical="top"/>
    </xf>
    <xf numFmtId="166" fontId="6" fillId="11" borderId="0" xfId="0" applyNumberFormat="1" applyFont="1" applyFill="1" applyAlignment="1">
      <alignment horizontal="left" vertical="center" indent="19"/>
    </xf>
    <xf numFmtId="0" fontId="59" fillId="53" borderId="0" xfId="0" quotePrefix="1" applyFont="1" applyFill="1" applyAlignment="1">
      <alignment horizontal="center" vertical="top" wrapText="1"/>
    </xf>
    <xf numFmtId="0" fontId="82" fillId="53" borderId="0" xfId="0" quotePrefix="1" applyFont="1" applyFill="1" applyAlignment="1">
      <alignment horizontal="center" vertical="center" wrapText="1"/>
    </xf>
    <xf numFmtId="0" fontId="82" fillId="0" borderId="0" xfId="0" quotePrefix="1" applyFont="1" applyAlignment="1">
      <alignment horizontal="center" vertical="center" wrapText="1"/>
    </xf>
    <xf numFmtId="166" fontId="6" fillId="0" borderId="0" xfId="0" applyNumberFormat="1" applyFont="1" applyAlignment="1">
      <alignment horizontal="left" vertical="center" indent="20"/>
    </xf>
    <xf numFmtId="166" fontId="6" fillId="11" borderId="0" xfId="0" applyNumberFormat="1" applyFont="1" applyFill="1" applyAlignment="1">
      <alignment horizontal="center" vertical="center"/>
    </xf>
    <xf numFmtId="0" fontId="86" fillId="53" borderId="0" xfId="0" quotePrefix="1" applyFont="1" applyFill="1" applyAlignment="1">
      <alignment horizontal="center" vertical="center" wrapText="1"/>
    </xf>
    <xf numFmtId="0" fontId="86" fillId="0" borderId="0" xfId="0" quotePrefix="1" applyFont="1" applyAlignment="1">
      <alignment horizontal="center" vertical="center" wrapText="1"/>
    </xf>
    <xf numFmtId="166" fontId="6" fillId="0" borderId="0" xfId="0" applyNumberFormat="1" applyFont="1" applyAlignment="1">
      <alignment horizontal="left" vertical="center" indent="19"/>
    </xf>
    <xf numFmtId="166" fontId="6" fillId="0" borderId="0" xfId="0" applyNumberFormat="1" applyFont="1" applyAlignment="1">
      <alignment horizontal="left" vertical="center" indent="15"/>
    </xf>
    <xf numFmtId="166" fontId="6" fillId="0" borderId="0" xfId="0" applyNumberFormat="1" applyFont="1" applyAlignment="1">
      <alignment horizontal="left" vertical="center" indent="4"/>
    </xf>
    <xf numFmtId="0" fontId="86" fillId="0" borderId="0" xfId="0" quotePrefix="1" applyFont="1" applyAlignment="1">
      <alignment vertical="center" wrapText="1"/>
    </xf>
    <xf numFmtId="166" fontId="6" fillId="0" borderId="0" xfId="0" applyNumberFormat="1" applyFont="1" applyAlignment="1">
      <alignment vertical="center"/>
    </xf>
    <xf numFmtId="166" fontId="6" fillId="0" borderId="0" xfId="0" applyNumberFormat="1" applyFont="1" applyAlignment="1">
      <alignment horizontal="left" vertical="center" indent="13"/>
    </xf>
    <xf numFmtId="166" fontId="6" fillId="0" borderId="0" xfId="0" applyNumberFormat="1" applyFont="1" applyAlignment="1">
      <alignment horizontal="left" vertical="center" indent="11"/>
    </xf>
    <xf numFmtId="0" fontId="43" fillId="0" borderId="0" xfId="0" applyFont="1" applyAlignment="1">
      <alignment horizontal="center" vertical="center" wrapText="1"/>
    </xf>
    <xf numFmtId="166" fontId="6" fillId="0" borderId="0" xfId="0" applyNumberFormat="1" applyFont="1" applyAlignment="1">
      <alignment horizontal="left" vertical="center" indent="17"/>
    </xf>
    <xf numFmtId="166" fontId="6" fillId="0" borderId="0" xfId="0" applyNumberFormat="1" applyFont="1" applyAlignment="1">
      <alignment horizontal="left" vertical="center" indent="16"/>
    </xf>
    <xf numFmtId="0" fontId="89" fillId="55" borderId="9" xfId="0" applyFont="1" applyFill="1" applyBorder="1" applyAlignment="1">
      <alignment horizontal="center" vertical="center" wrapText="1"/>
    </xf>
    <xf numFmtId="0" fontId="89" fillId="55" borderId="1" xfId="0" applyFont="1" applyFill="1" applyBorder="1" applyAlignment="1">
      <alignment horizontal="center" vertical="center" wrapText="1"/>
    </xf>
    <xf numFmtId="0" fontId="89" fillId="55" borderId="10" xfId="0" quotePrefix="1" applyFont="1" applyFill="1" applyBorder="1" applyAlignment="1">
      <alignment horizontal="center" vertical="center" wrapText="1"/>
    </xf>
    <xf numFmtId="0" fontId="89" fillId="54" borderId="9" xfId="0" applyFont="1" applyFill="1" applyBorder="1" applyAlignment="1">
      <alignment horizontal="center" vertical="center" wrapText="1"/>
    </xf>
    <xf numFmtId="0" fontId="89" fillId="54" borderId="1" xfId="0" applyFont="1" applyFill="1" applyBorder="1" applyAlignment="1">
      <alignment horizontal="center" vertical="center" wrapText="1"/>
    </xf>
    <xf numFmtId="0" fontId="89" fillId="54" borderId="10" xfId="0" quotePrefix="1" applyFont="1" applyFill="1" applyBorder="1" applyAlignment="1">
      <alignment horizontal="center" vertical="center" wrapText="1"/>
    </xf>
    <xf numFmtId="0" fontId="79" fillId="0" borderId="0" xfId="0" quotePrefix="1" applyFont="1" applyAlignment="1">
      <alignment horizontal="center" wrapText="1"/>
    </xf>
    <xf numFmtId="0" fontId="82" fillId="0" borderId="0" xfId="0" quotePrefix="1" applyFont="1" applyAlignment="1">
      <alignment horizontal="center" wrapText="1"/>
    </xf>
    <xf numFmtId="0" fontId="91" fillId="48" borderId="2" xfId="0" quotePrefix="1" applyFont="1" applyFill="1" applyBorder="1" applyAlignment="1">
      <alignment horizontal="left" vertical="center"/>
    </xf>
    <xf numFmtId="0" fontId="92" fillId="48" borderId="26" xfId="0" quotePrefix="1" applyFont="1" applyFill="1" applyBorder="1" applyAlignment="1">
      <alignment horizontal="center" vertical="center"/>
    </xf>
    <xf numFmtId="0" fontId="92" fillId="48" borderId="25" xfId="0" quotePrefix="1" applyFont="1" applyFill="1" applyBorder="1" applyAlignment="1">
      <alignment horizontal="center" vertical="center"/>
    </xf>
    <xf numFmtId="0" fontId="90" fillId="10" borderId="17" xfId="0" applyFont="1" applyFill="1" applyBorder="1" applyAlignment="1">
      <alignment horizontal="center"/>
    </xf>
    <xf numFmtId="0" fontId="91" fillId="48" borderId="2" xfId="0" quotePrefix="1" applyFont="1" applyFill="1" applyBorder="1" applyAlignment="1">
      <alignment vertical="center"/>
    </xf>
    <xf numFmtId="0" fontId="91" fillId="48" borderId="26" xfId="0" quotePrefix="1" applyFont="1" applyFill="1" applyBorder="1" applyAlignment="1">
      <alignment vertical="center"/>
    </xf>
    <xf numFmtId="0" fontId="96" fillId="48" borderId="1" xfId="0" quotePrefix="1" applyFont="1" applyFill="1" applyBorder="1" applyAlignment="1">
      <alignment horizontal="center" vertical="center" wrapText="1"/>
    </xf>
    <xf numFmtId="0" fontId="91" fillId="48" borderId="26" xfId="0" quotePrefix="1" applyFont="1" applyFill="1" applyBorder="1" applyAlignment="1">
      <alignment horizontal="left" vertical="center"/>
    </xf>
    <xf numFmtId="0" fontId="43" fillId="10" borderId="0" xfId="0" applyFont="1" applyFill="1" applyAlignment="1">
      <alignment horizontal="center"/>
    </xf>
    <xf numFmtId="0" fontId="58" fillId="48" borderId="1" xfId="0" applyFont="1" applyFill="1" applyBorder="1" applyAlignment="1">
      <alignment horizontal="center" vertical="center" wrapText="1"/>
    </xf>
    <xf numFmtId="0" fontId="43" fillId="10" borderId="17" xfId="0" applyFont="1" applyFill="1" applyBorder="1" applyAlignment="1">
      <alignment horizontal="center" wrapText="1"/>
    </xf>
    <xf numFmtId="1" fontId="54" fillId="0" borderId="0" xfId="0" applyNumberFormat="1" applyFont="1"/>
    <xf numFmtId="0" fontId="7" fillId="13" borderId="1" xfId="0" applyFont="1" applyFill="1" applyBorder="1" applyAlignment="1" applyProtection="1">
      <alignment horizontal="center" vertical="center" wrapText="1"/>
      <protection locked="0"/>
    </xf>
    <xf numFmtId="10" fontId="104" fillId="0" borderId="1" xfId="0" applyNumberFormat="1" applyFont="1" applyBorder="1" applyAlignment="1">
      <alignment horizontal="center" vertical="center"/>
    </xf>
    <xf numFmtId="0" fontId="96" fillId="48" borderId="2" xfId="0" quotePrefix="1" applyFont="1" applyFill="1" applyBorder="1" applyAlignment="1">
      <alignment horizontal="left" vertical="center"/>
    </xf>
    <xf numFmtId="0" fontId="96" fillId="48" borderId="26" xfId="0" quotePrefix="1" applyFont="1" applyFill="1" applyBorder="1" applyAlignment="1">
      <alignment horizontal="center" vertical="center"/>
    </xf>
    <xf numFmtId="2" fontId="54" fillId="0" borderId="0" xfId="0" applyNumberFormat="1" applyFont="1"/>
    <xf numFmtId="0" fontId="46" fillId="48" borderId="2" xfId="0" quotePrefix="1" applyFont="1" applyFill="1" applyBorder="1" applyAlignment="1">
      <alignment horizontal="left" vertical="center"/>
    </xf>
    <xf numFmtId="0" fontId="7" fillId="48" borderId="1" xfId="0" applyFont="1" applyFill="1" applyBorder="1" applyAlignment="1">
      <alignment horizontal="center" vertical="center"/>
    </xf>
    <xf numFmtId="0" fontId="7" fillId="8" borderId="1" xfId="0" applyFont="1" applyFill="1" applyBorder="1" applyAlignment="1" applyProtection="1">
      <alignment horizontal="center" vertical="center" wrapText="1"/>
      <protection locked="0"/>
    </xf>
    <xf numFmtId="0" fontId="8" fillId="8" borderId="1" xfId="0" applyFont="1" applyFill="1" applyBorder="1" applyAlignment="1">
      <alignment horizontal="center" wrapText="1"/>
    </xf>
    <xf numFmtId="0" fontId="58" fillId="0" borderId="1" xfId="0" applyFont="1" applyBorder="1" applyAlignment="1">
      <alignment wrapText="1"/>
    </xf>
    <xf numFmtId="10" fontId="104" fillId="0" borderId="1" xfId="0" applyNumberFormat="1" applyFont="1" applyBorder="1" applyAlignment="1">
      <alignment horizontal="center"/>
    </xf>
    <xf numFmtId="0" fontId="42" fillId="48" borderId="1" xfId="0" applyFont="1" applyFill="1" applyBorder="1" applyAlignment="1" applyProtection="1">
      <alignment horizontal="center" vertical="center" wrapText="1"/>
      <protection locked="0"/>
    </xf>
    <xf numFmtId="0" fontId="84" fillId="0" borderId="25" xfId="0" applyFont="1" applyBorder="1" applyAlignment="1">
      <alignment horizontal="center"/>
    </xf>
    <xf numFmtId="0" fontId="96" fillId="8" borderId="1" xfId="0" applyFont="1" applyFill="1" applyBorder="1"/>
    <xf numFmtId="0" fontId="63" fillId="8" borderId="1" xfId="0" applyFont="1" applyFill="1" applyBorder="1" applyAlignment="1">
      <alignment horizontal="left"/>
    </xf>
    <xf numFmtId="0" fontId="105" fillId="0" borderId="0" xfId="0" applyFont="1" applyAlignment="1">
      <alignment vertical="center" wrapText="1"/>
    </xf>
    <xf numFmtId="0" fontId="107" fillId="0" borderId="0" xfId="0" applyFont="1"/>
    <xf numFmtId="10" fontId="107" fillId="0" borderId="0" xfId="0" applyNumberFormat="1" applyFont="1"/>
    <xf numFmtId="2" fontId="104" fillId="0" borderId="1" xfId="0" applyNumberFormat="1" applyFont="1" applyBorder="1" applyAlignment="1">
      <alignment horizontal="center" vertical="center"/>
    </xf>
    <xf numFmtId="2" fontId="24" fillId="50" borderId="1" xfId="0" applyNumberFormat="1" applyFont="1" applyFill="1" applyBorder="1" applyAlignment="1">
      <alignment horizontal="center" vertical="center"/>
    </xf>
    <xf numFmtId="2" fontId="104" fillId="0" borderId="1" xfId="0" applyNumberFormat="1" applyFont="1" applyBorder="1" applyAlignment="1">
      <alignment horizontal="center"/>
    </xf>
    <xf numFmtId="0" fontId="24" fillId="2" borderId="1" xfId="0" applyFont="1" applyFill="1" applyBorder="1" applyAlignment="1">
      <alignment horizontal="center" vertical="center"/>
    </xf>
    <xf numFmtId="0" fontId="0" fillId="0" borderId="1" xfId="0" applyBorder="1" applyAlignment="1">
      <alignment horizontal="center"/>
    </xf>
    <xf numFmtId="0" fontId="108" fillId="0" borderId="0" xfId="0" applyFont="1"/>
    <xf numFmtId="0" fontId="0" fillId="0" borderId="0" xfId="0" applyFont="1"/>
    <xf numFmtId="0" fontId="0" fillId="0" borderId="1" xfId="0" applyBorder="1" applyAlignment="1">
      <alignment horizontal="center"/>
    </xf>
    <xf numFmtId="0" fontId="84" fillId="0" borderId="17" xfId="0" applyFont="1" applyBorder="1" applyAlignment="1">
      <alignment horizontal="center"/>
    </xf>
    <xf numFmtId="0" fontId="110" fillId="0" borderId="1" xfId="0" applyFont="1" applyBorder="1" applyAlignment="1">
      <alignment vertical="center" wrapText="1"/>
    </xf>
    <xf numFmtId="0" fontId="0" fillId="0" borderId="25" xfId="0" applyBorder="1" applyAlignment="1">
      <alignment horizontal="center"/>
    </xf>
    <xf numFmtId="0" fontId="109" fillId="0" borderId="1" xfId="0" applyFont="1" applyBorder="1" applyAlignment="1">
      <alignment horizontal="center" vertical="center" wrapText="1"/>
    </xf>
    <xf numFmtId="164" fontId="24" fillId="0" borderId="0" xfId="0" applyNumberFormat="1" applyFont="1" applyBorder="1" applyAlignment="1">
      <alignment horizontal="center"/>
    </xf>
    <xf numFmtId="0" fontId="24" fillId="0" borderId="0" xfId="0" applyFont="1" applyBorder="1" applyAlignment="1">
      <alignment horizontal="center" vertical="center"/>
    </xf>
    <xf numFmtId="0" fontId="24" fillId="2" borderId="0" xfId="0" applyFont="1" applyFill="1" applyBorder="1" applyAlignment="1">
      <alignment horizontal="center" vertical="center"/>
    </xf>
    <xf numFmtId="0" fontId="24" fillId="0" borderId="25" xfId="0" applyFont="1" applyBorder="1" applyAlignment="1">
      <alignment horizontal="center" vertical="center"/>
    </xf>
    <xf numFmtId="0" fontId="24" fillId="0" borderId="4" xfId="0" applyFont="1" applyBorder="1" applyAlignment="1">
      <alignment horizontal="center" vertical="center"/>
    </xf>
    <xf numFmtId="0" fontId="111" fillId="0" borderId="0" xfId="0" applyFont="1"/>
    <xf numFmtId="0" fontId="24" fillId="0" borderId="1" xfId="0" applyFont="1" applyBorder="1" applyAlignment="1">
      <alignment horizontal="center" vertical="center" wrapText="1"/>
    </xf>
    <xf numFmtId="0" fontId="24" fillId="2" borderId="1" xfId="0" applyFont="1" applyFill="1" applyBorder="1" applyAlignment="1">
      <alignment horizontal="center" vertical="center" wrapText="1"/>
    </xf>
    <xf numFmtId="0" fontId="84" fillId="0" borderId="0" xfId="0" applyFont="1" applyBorder="1" applyAlignment="1">
      <alignment horizontal="center"/>
    </xf>
    <xf numFmtId="0" fontId="84" fillId="0" borderId="26" xfId="0" applyFont="1" applyBorder="1" applyAlignment="1">
      <alignment horizontal="center"/>
    </xf>
    <xf numFmtId="9" fontId="84" fillId="0" borderId="0" xfId="1" applyFont="1" applyBorder="1" applyAlignment="1">
      <alignment horizontal="center"/>
    </xf>
    <xf numFmtId="0" fontId="24" fillId="8" borderId="1" xfId="0" applyFont="1" applyFill="1" applyBorder="1" applyAlignment="1">
      <alignment horizontal="center" wrapText="1"/>
    </xf>
    <xf numFmtId="0" fontId="24" fillId="0" borderId="1" xfId="0" applyFont="1" applyBorder="1" applyAlignment="1">
      <alignment horizontal="center" wrapText="1"/>
    </xf>
    <xf numFmtId="0" fontId="24" fillId="6" borderId="1" xfId="0" applyFont="1" applyFill="1" applyBorder="1" applyAlignment="1">
      <alignment horizontal="center" wrapText="1"/>
    </xf>
    <xf numFmtId="0" fontId="58" fillId="0" borderId="0" xfId="0" applyFont="1" applyAlignment="1">
      <alignment horizontal="center" wrapText="1"/>
    </xf>
    <xf numFmtId="0" fontId="3" fillId="56" borderId="0" xfId="0" applyFont="1" applyFill="1"/>
    <xf numFmtId="0" fontId="3" fillId="56" borderId="0" xfId="0" applyFont="1" applyFill="1" applyBorder="1"/>
    <xf numFmtId="0" fontId="0" fillId="56" borderId="0" xfId="0" applyFill="1"/>
    <xf numFmtId="9" fontId="3" fillId="56" borderId="0" xfId="1" applyFont="1" applyFill="1" applyBorder="1"/>
    <xf numFmtId="0" fontId="105" fillId="56" borderId="0" xfId="0" applyFont="1" applyFill="1" applyBorder="1"/>
    <xf numFmtId="0" fontId="0" fillId="56" borderId="0" xfId="0" applyFill="1" applyBorder="1"/>
    <xf numFmtId="0" fontId="106" fillId="56" borderId="0" xfId="0" applyFont="1" applyFill="1" applyBorder="1" applyAlignment="1">
      <alignment vertical="center"/>
    </xf>
    <xf numFmtId="0" fontId="0" fillId="0" borderId="0" xfId="0" quotePrefix="1" applyFill="1"/>
    <xf numFmtId="0" fontId="0" fillId="0" borderId="0" xfId="0" applyFill="1"/>
    <xf numFmtId="0" fontId="112" fillId="0" borderId="0" xfId="0" quotePrefix="1" applyFont="1" applyFill="1" applyAlignment="1">
      <alignment horizontal="center" vertical="center"/>
    </xf>
    <xf numFmtId="0" fontId="79" fillId="0" borderId="0" xfId="0" quotePrefix="1" applyFont="1" applyFill="1" applyAlignment="1">
      <alignment horizontal="center" vertical="center"/>
    </xf>
    <xf numFmtId="0" fontId="0" fillId="0" borderId="0" xfId="0" applyAlignment="1">
      <alignment wrapText="1"/>
    </xf>
    <xf numFmtId="0" fontId="79" fillId="0" borderId="0" xfId="0" quotePrefix="1" applyFont="1" applyFill="1" applyAlignment="1">
      <alignment horizontal="center" vertical="center" wrapText="1"/>
    </xf>
    <xf numFmtId="0" fontId="51" fillId="0" borderId="0" xfId="0" applyFont="1" applyAlignment="1">
      <alignment wrapText="1"/>
    </xf>
    <xf numFmtId="0" fontId="53" fillId="0" borderId="0" xfId="2" applyFont="1" applyAlignment="1">
      <alignment wrapText="1"/>
    </xf>
    <xf numFmtId="0" fontId="53" fillId="0" borderId="0" xfId="2" quotePrefix="1" applyFont="1" applyAlignment="1" applyProtection="1">
      <alignment wrapText="1"/>
      <protection locked="0"/>
    </xf>
    <xf numFmtId="0" fontId="0" fillId="0" borderId="0" xfId="0" applyFill="1" applyAlignment="1">
      <alignment wrapText="1"/>
    </xf>
    <xf numFmtId="0" fontId="52" fillId="0" borderId="0" xfId="0" applyFont="1" applyAlignment="1">
      <alignment wrapText="1"/>
    </xf>
    <xf numFmtId="0" fontId="0" fillId="0" borderId="0" xfId="0" quotePrefix="1" applyFill="1" applyAlignment="1">
      <alignment wrapText="1"/>
    </xf>
    <xf numFmtId="0" fontId="103" fillId="0" borderId="0" xfId="0" applyFont="1"/>
    <xf numFmtId="0" fontId="56" fillId="10" borderId="1" xfId="0" quotePrefix="1" applyFont="1" applyFill="1" applyBorder="1" applyAlignment="1">
      <alignment horizontal="center" vertical="center" wrapText="1"/>
    </xf>
    <xf numFmtId="0" fontId="113" fillId="10" borderId="1" xfId="0" quotePrefix="1" applyFont="1" applyFill="1" applyBorder="1" applyAlignment="1">
      <alignment horizontal="center" vertical="center"/>
    </xf>
    <xf numFmtId="0" fontId="13" fillId="0" borderId="0" xfId="0" quotePrefix="1" applyFont="1" applyFill="1" applyBorder="1" applyAlignment="1">
      <alignment horizontal="center" vertical="center"/>
    </xf>
    <xf numFmtId="0" fontId="13" fillId="58" borderId="1" xfId="0" quotePrefix="1" applyFont="1" applyFill="1" applyBorder="1" applyAlignment="1">
      <alignment horizontal="left" vertical="center" wrapText="1"/>
    </xf>
    <xf numFmtId="0" fontId="13" fillId="58" borderId="1" xfId="0" quotePrefix="1" applyFont="1" applyFill="1" applyBorder="1" applyAlignment="1">
      <alignment horizontal="left" vertical="center"/>
    </xf>
    <xf numFmtId="0" fontId="54" fillId="0" borderId="18" xfId="0" applyFont="1" applyBorder="1" applyAlignment="1">
      <alignment horizontal="center" vertical="center"/>
    </xf>
    <xf numFmtId="0" fontId="24" fillId="0" borderId="17" xfId="0" applyFont="1" applyBorder="1" applyAlignment="1">
      <alignment horizontal="center"/>
    </xf>
    <xf numFmtId="0" fontId="24" fillId="0" borderId="3" xfId="0" applyFont="1" applyBorder="1" applyAlignment="1">
      <alignment horizontal="center"/>
    </xf>
    <xf numFmtId="1" fontId="24" fillId="2" borderId="25" xfId="0" applyNumberFormat="1" applyFont="1" applyFill="1" applyBorder="1" applyAlignment="1">
      <alignment horizontal="center"/>
    </xf>
    <xf numFmtId="0" fontId="7" fillId="48" borderId="17" xfId="0" applyFont="1" applyFill="1" applyBorder="1" applyAlignment="1">
      <alignment horizontal="center" vertical="center"/>
    </xf>
    <xf numFmtId="0" fontId="43" fillId="10" borderId="3" xfId="0" applyFont="1" applyFill="1" applyBorder="1" applyAlignment="1">
      <alignment horizontal="center"/>
    </xf>
    <xf numFmtId="164" fontId="24" fillId="2" borderId="25" xfId="0" applyNumberFormat="1" applyFont="1" applyFill="1" applyBorder="1" applyAlignment="1">
      <alignment horizontal="center"/>
    </xf>
    <xf numFmtId="1" fontId="24" fillId="0" borderId="25" xfId="0" applyNumberFormat="1" applyFont="1" applyBorder="1" applyAlignment="1">
      <alignment horizontal="center"/>
    </xf>
    <xf numFmtId="0" fontId="43" fillId="10" borderId="61" xfId="0" applyFont="1" applyFill="1" applyBorder="1" applyAlignment="1">
      <alignment horizontal="center"/>
    </xf>
    <xf numFmtId="0" fontId="58" fillId="7" borderId="21" xfId="0" applyFont="1" applyFill="1" applyBorder="1" applyAlignment="1">
      <alignment horizontal="center"/>
    </xf>
    <xf numFmtId="165" fontId="24" fillId="0" borderId="17" xfId="0" applyNumberFormat="1" applyFont="1" applyBorder="1" applyAlignment="1">
      <alignment horizontal="center"/>
    </xf>
    <xf numFmtId="0" fontId="58" fillId="7" borderId="61" xfId="0" applyFont="1" applyFill="1" applyBorder="1" applyAlignment="1">
      <alignment horizontal="center"/>
    </xf>
    <xf numFmtId="0" fontId="58" fillId="7" borderId="12" xfId="0" applyFont="1" applyFill="1" applyBorder="1" applyAlignment="1">
      <alignment horizontal="center"/>
    </xf>
    <xf numFmtId="0" fontId="58" fillId="7" borderId="13" xfId="0" applyFont="1" applyFill="1" applyBorder="1" applyAlignment="1">
      <alignment horizontal="center"/>
    </xf>
    <xf numFmtId="1" fontId="24" fillId="0" borderId="17" xfId="0" applyNumberFormat="1" applyFont="1" applyBorder="1" applyAlignment="1">
      <alignment horizontal="center"/>
    </xf>
    <xf numFmtId="0" fontId="58" fillId="7" borderId="63" xfId="0" applyFont="1" applyFill="1" applyBorder="1" applyAlignment="1">
      <alignment horizontal="center"/>
    </xf>
    <xf numFmtId="1" fontId="58" fillId="7" borderId="62" xfId="0" applyNumberFormat="1" applyFont="1" applyFill="1" applyBorder="1" applyAlignment="1">
      <alignment horizontal="center"/>
    </xf>
    <xf numFmtId="0" fontId="58" fillId="7" borderId="8" xfId="0" applyFont="1" applyFill="1" applyBorder="1" applyAlignment="1">
      <alignment horizontal="center"/>
    </xf>
    <xf numFmtId="0" fontId="58" fillId="7" borderId="10" xfId="0" applyFont="1" applyFill="1" applyBorder="1" applyAlignment="1">
      <alignment horizontal="center"/>
    </xf>
    <xf numFmtId="0" fontId="58" fillId="50" borderId="16" xfId="0" applyFont="1" applyFill="1" applyBorder="1" applyAlignment="1">
      <alignment horizontal="center" vertical="center" wrapText="1"/>
    </xf>
    <xf numFmtId="1" fontId="58" fillId="50" borderId="16" xfId="0" applyNumberFormat="1" applyFont="1" applyFill="1" applyBorder="1" applyAlignment="1">
      <alignment horizontal="center" vertical="center"/>
    </xf>
    <xf numFmtId="0" fontId="58" fillId="50" borderId="14" xfId="0" applyFont="1" applyFill="1" applyBorder="1" applyAlignment="1">
      <alignment horizontal="center" vertical="center"/>
    </xf>
    <xf numFmtId="0" fontId="58" fillId="7" borderId="64" xfId="0" applyFont="1" applyFill="1" applyBorder="1" applyAlignment="1">
      <alignment horizontal="center"/>
    </xf>
    <xf numFmtId="0" fontId="58" fillId="7" borderId="65" xfId="0" applyFont="1" applyFill="1" applyBorder="1" applyAlignment="1">
      <alignment horizontal="center"/>
    </xf>
    <xf numFmtId="0" fontId="58" fillId="7" borderId="66" xfId="0" applyFont="1" applyFill="1" applyBorder="1" applyAlignment="1">
      <alignment horizontal="center"/>
    </xf>
    <xf numFmtId="165" fontId="58" fillId="7" borderId="62" xfId="0" applyNumberFormat="1" applyFont="1" applyFill="1" applyBorder="1" applyAlignment="1">
      <alignment horizontal="center"/>
    </xf>
    <xf numFmtId="165" fontId="58" fillId="7" borderId="16" xfId="0" applyNumberFormat="1" applyFont="1" applyFill="1" applyBorder="1" applyAlignment="1">
      <alignment horizontal="center"/>
    </xf>
    <xf numFmtId="165" fontId="58" fillId="7" borderId="8" xfId="0" applyNumberFormat="1" applyFont="1" applyFill="1" applyBorder="1" applyAlignment="1">
      <alignment horizontal="center"/>
    </xf>
    <xf numFmtId="165" fontId="58" fillId="7" borderId="10" xfId="0" applyNumberFormat="1" applyFont="1" applyFill="1" applyBorder="1" applyAlignment="1">
      <alignment horizontal="center"/>
    </xf>
    <xf numFmtId="165" fontId="58" fillId="7" borderId="14" xfId="0" applyNumberFormat="1" applyFont="1" applyFill="1" applyBorder="1" applyAlignment="1">
      <alignment horizontal="center"/>
    </xf>
    <xf numFmtId="0" fontId="0" fillId="0" borderId="0" xfId="0" applyAlignment="1">
      <alignment horizontal="left" indent="1"/>
    </xf>
    <xf numFmtId="0" fontId="24" fillId="2" borderId="1" xfId="0" applyFont="1" applyFill="1" applyBorder="1" applyAlignment="1">
      <alignment horizontal="center" vertical="center"/>
    </xf>
    <xf numFmtId="0" fontId="0" fillId="0" borderId="1" xfId="0" applyBorder="1" applyAlignment="1">
      <alignment horizontal="center"/>
    </xf>
    <xf numFmtId="49" fontId="115" fillId="57" borderId="0" xfId="0" applyNumberFormat="1" applyFont="1" applyFill="1" applyBorder="1" applyAlignment="1">
      <alignment horizontal="left"/>
    </xf>
    <xf numFmtId="0" fontId="3" fillId="56" borderId="0" xfId="0" applyFont="1" applyFill="1" applyBorder="1" applyAlignment="1">
      <alignment horizontal="left"/>
    </xf>
    <xf numFmtId="0" fontId="0" fillId="0" borderId="1" xfId="0" applyBorder="1"/>
    <xf numFmtId="0" fontId="2" fillId="56" borderId="0" xfId="0" applyFont="1" applyFill="1" applyBorder="1"/>
    <xf numFmtId="49" fontId="3" fillId="56" borderId="0" xfId="0" applyNumberFormat="1" applyFont="1" applyFill="1" applyBorder="1"/>
    <xf numFmtId="49" fontId="2" fillId="56" borderId="0" xfId="0" applyNumberFormat="1" applyFont="1" applyFill="1" applyBorder="1"/>
    <xf numFmtId="10" fontId="0" fillId="0" borderId="0" xfId="1" applyNumberFormat="1" applyFont="1"/>
    <xf numFmtId="0" fontId="2" fillId="0" borderId="0" xfId="0" applyFont="1"/>
    <xf numFmtId="0" fontId="2"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0" fontId="119"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16" fillId="0" borderId="1" xfId="0" applyFont="1" applyBorder="1" applyAlignment="1">
      <alignment horizontal="left"/>
    </xf>
    <xf numFmtId="0" fontId="116" fillId="0" borderId="1" xfId="0" applyFont="1" applyBorder="1"/>
    <xf numFmtId="164" fontId="6" fillId="0" borderId="1" xfId="0" applyNumberFormat="1" applyFont="1" applyFill="1" applyBorder="1" applyAlignment="1">
      <alignment horizontal="center"/>
    </xf>
    <xf numFmtId="10" fontId="6" fillId="0" borderId="1" xfId="0" applyNumberFormat="1" applyFont="1" applyFill="1" applyBorder="1" applyAlignment="1">
      <alignment horizontal="center"/>
    </xf>
    <xf numFmtId="0" fontId="3" fillId="0" borderId="0" xfId="0" applyFont="1" applyFill="1"/>
    <xf numFmtId="49" fontId="83" fillId="56" borderId="0" xfId="0" applyNumberFormat="1" applyFont="1" applyFill="1" applyBorder="1" applyAlignment="1">
      <alignment vertical="center" wrapText="1"/>
    </xf>
    <xf numFmtId="0" fontId="2" fillId="56" borderId="0" xfId="0" applyFont="1" applyFill="1"/>
    <xf numFmtId="0" fontId="1" fillId="56" borderId="0" xfId="0" applyFont="1" applyFill="1" applyBorder="1" applyAlignment="1">
      <alignment vertical="center"/>
    </xf>
    <xf numFmtId="0" fontId="1" fillId="56" borderId="0" xfId="0" applyFont="1" applyFill="1" applyBorder="1"/>
    <xf numFmtId="0" fontId="1" fillId="56" borderId="0" xfId="0" applyFont="1" applyFill="1"/>
    <xf numFmtId="0" fontId="0" fillId="3" borderId="0" xfId="0" applyFill="1"/>
    <xf numFmtId="9" fontId="1" fillId="56" borderId="0" xfId="1" applyFont="1" applyFill="1" applyBorder="1" applyAlignment="1">
      <alignment horizontal="left"/>
    </xf>
    <xf numFmtId="0" fontId="83" fillId="56" borderId="0" xfId="0" applyFont="1" applyFill="1"/>
    <xf numFmtId="0" fontId="99" fillId="56" borderId="1" xfId="0" applyFont="1" applyFill="1" applyBorder="1" applyAlignment="1">
      <alignment horizontal="center" vertical="center" wrapText="1"/>
    </xf>
    <xf numFmtId="0" fontId="24" fillId="56" borderId="1" xfId="0" applyFont="1" applyFill="1" applyBorder="1" applyAlignment="1">
      <alignment horizontal="center"/>
    </xf>
    <xf numFmtId="1" fontId="24" fillId="56" borderId="1" xfId="0" applyNumberFormat="1" applyFont="1" applyFill="1" applyBorder="1" applyAlignment="1">
      <alignment horizontal="center"/>
    </xf>
    <xf numFmtId="0" fontId="46" fillId="0" borderId="0" xfId="0" quotePrefix="1" applyFont="1" applyFill="1" applyBorder="1" applyAlignment="1">
      <alignment vertical="center"/>
    </xf>
    <xf numFmtId="164" fontId="0" fillId="0" borderId="0" xfId="0" applyNumberFormat="1"/>
    <xf numFmtId="0" fontId="114" fillId="53" borderId="0" xfId="0" quotePrefix="1" applyFont="1" applyFill="1" applyAlignment="1">
      <alignment horizontal="center" vertical="center" wrapText="1"/>
    </xf>
    <xf numFmtId="0" fontId="117" fillId="0" borderId="0" xfId="0" applyFont="1" applyAlignment="1">
      <alignment horizontal="center"/>
    </xf>
    <xf numFmtId="0" fontId="120" fillId="0" borderId="0" xfId="0" applyFont="1" applyAlignment="1">
      <alignment horizontal="center" vertical="center" wrapText="1"/>
    </xf>
    <xf numFmtId="0" fontId="79" fillId="53" borderId="0" xfId="0" quotePrefix="1" applyFont="1" applyFill="1" applyAlignment="1">
      <alignment horizontal="center" vertical="top" wrapText="1"/>
    </xf>
    <xf numFmtId="0" fontId="44" fillId="45" borderId="2" xfId="0" applyFont="1" applyFill="1" applyBorder="1" applyAlignment="1">
      <alignment horizontal="center"/>
    </xf>
    <xf numFmtId="0" fontId="44" fillId="45" borderId="26" xfId="0" applyFont="1" applyFill="1" applyBorder="1" applyAlignment="1">
      <alignment horizontal="center"/>
    </xf>
    <xf numFmtId="0" fontId="44" fillId="45" borderId="2" xfId="0" applyNumberFormat="1" applyFont="1" applyFill="1" applyBorder="1" applyAlignment="1">
      <alignment horizontal="center"/>
    </xf>
    <xf numFmtId="0" fontId="44" fillId="45" borderId="25" xfId="0" applyNumberFormat="1" applyFont="1" applyFill="1" applyBorder="1" applyAlignment="1">
      <alignment horizontal="center"/>
    </xf>
    <xf numFmtId="0" fontId="91" fillId="48" borderId="20" xfId="0" applyFont="1" applyFill="1" applyBorder="1" applyAlignment="1">
      <alignment horizontal="left" vertical="center"/>
    </xf>
    <xf numFmtId="0" fontId="91" fillId="48" borderId="4" xfId="0" applyFont="1" applyFill="1" applyBorder="1" applyAlignment="1">
      <alignment horizontal="left" vertical="center"/>
    </xf>
    <xf numFmtId="0" fontId="93" fillId="48" borderId="4" xfId="0" applyFont="1" applyFill="1" applyBorder="1" applyAlignment="1">
      <alignment horizontal="left"/>
    </xf>
    <xf numFmtId="0" fontId="94" fillId="48" borderId="4" xfId="0" applyFont="1" applyFill="1" applyBorder="1" applyAlignment="1">
      <alignment horizontal="left"/>
    </xf>
    <xf numFmtId="0" fontId="91" fillId="48" borderId="2" xfId="0" quotePrefix="1" applyFont="1" applyFill="1" applyBorder="1" applyAlignment="1">
      <alignment horizontal="left" vertical="center"/>
    </xf>
    <xf numFmtId="0" fontId="91" fillId="48" borderId="26" xfId="0" quotePrefix="1" applyFont="1" applyFill="1" applyBorder="1" applyAlignment="1">
      <alignment horizontal="left" vertical="center"/>
    </xf>
    <xf numFmtId="0" fontId="79" fillId="53" borderId="0" xfId="0" quotePrefix="1" applyFont="1" applyFill="1" applyAlignment="1">
      <alignment horizontal="center" vertical="center"/>
    </xf>
    <xf numFmtId="0" fontId="13" fillId="8" borderId="56" xfId="0" applyFont="1" applyFill="1" applyBorder="1" applyAlignment="1">
      <alignment horizontal="center"/>
    </xf>
    <xf numFmtId="0" fontId="13" fillId="8" borderId="0" xfId="0" applyFont="1" applyFill="1" applyAlignment="1">
      <alignment horizontal="center"/>
    </xf>
    <xf numFmtId="0" fontId="24" fillId="0" borderId="1" xfId="0" applyFont="1" applyBorder="1" applyAlignment="1">
      <alignment horizontal="center" vertical="center" wrapText="1"/>
    </xf>
    <xf numFmtId="0" fontId="54" fillId="0" borderId="1" xfId="0" applyFont="1" applyBorder="1" applyAlignment="1">
      <alignment wrapText="1"/>
    </xf>
    <xf numFmtId="0" fontId="54" fillId="0" borderId="1" xfId="0" applyFont="1" applyBorder="1" applyAlignment="1"/>
    <xf numFmtId="10" fontId="24" fillId="0" borderId="1" xfId="0" applyNumberFormat="1" applyFont="1" applyBorder="1" applyAlignment="1">
      <alignment horizontal="center" vertical="center"/>
    </xf>
    <xf numFmtId="0" fontId="91" fillId="48" borderId="1" xfId="0" applyFont="1" applyFill="1" applyBorder="1" applyAlignment="1">
      <alignment horizontal="left"/>
    </xf>
    <xf numFmtId="0" fontId="12" fillId="48" borderId="20" xfId="0" applyFont="1" applyFill="1" applyBorder="1" applyAlignment="1">
      <alignment horizontal="center" vertical="center" wrapText="1"/>
    </xf>
    <xf numFmtId="0" fontId="95" fillId="48" borderId="4" xfId="0" applyFont="1" applyFill="1" applyBorder="1" applyAlignment="1">
      <alignment wrapText="1"/>
    </xf>
    <xf numFmtId="0" fontId="13" fillId="48" borderId="1" xfId="0" applyFont="1" applyFill="1" applyBorder="1" applyAlignment="1">
      <alignment horizontal="center" vertical="center"/>
    </xf>
    <xf numFmtId="166" fontId="118" fillId="11" borderId="0" xfId="0" applyNumberFormat="1" applyFont="1" applyFill="1" applyAlignment="1">
      <alignment horizontal="left" vertical="center"/>
    </xf>
    <xf numFmtId="166" fontId="6" fillId="11" borderId="0" xfId="0" applyNumberFormat="1" applyFont="1" applyFill="1" applyAlignment="1">
      <alignment horizontal="left" vertical="center"/>
    </xf>
    <xf numFmtId="1" fontId="12" fillId="48" borderId="56" xfId="0" applyNumberFormat="1" applyFont="1" applyFill="1" applyBorder="1" applyAlignment="1">
      <alignment horizontal="center" vertical="center"/>
    </xf>
    <xf numFmtId="1" fontId="12" fillId="48" borderId="0" xfId="0" applyNumberFormat="1" applyFont="1" applyFill="1" applyBorder="1" applyAlignment="1">
      <alignment horizontal="center" vertical="center"/>
    </xf>
    <xf numFmtId="0" fontId="12" fillId="48" borderId="56" xfId="0" applyFont="1" applyFill="1" applyBorder="1" applyAlignment="1">
      <alignment horizontal="center"/>
    </xf>
    <xf numFmtId="0" fontId="12" fillId="48" borderId="0" xfId="0" applyFont="1" applyFill="1" applyBorder="1" applyAlignment="1">
      <alignment horizontal="center"/>
    </xf>
    <xf numFmtId="0" fontId="82" fillId="53" borderId="0" xfId="0" quotePrefix="1" applyFont="1" applyFill="1" applyAlignment="1">
      <alignment horizontal="center" vertical="center"/>
    </xf>
    <xf numFmtId="166" fontId="22" fillId="11" borderId="0" xfId="0" applyNumberFormat="1" applyFont="1" applyFill="1" applyAlignment="1">
      <alignment horizontal="left" vertical="center"/>
    </xf>
    <xf numFmtId="0" fontId="91" fillId="48" borderId="0" xfId="0" applyFont="1" applyFill="1" applyBorder="1" applyAlignment="1">
      <alignment horizontal="center" vertical="center"/>
    </xf>
    <xf numFmtId="0" fontId="91" fillId="48" borderId="0" xfId="0" applyFont="1" applyFill="1" applyAlignment="1">
      <alignment horizontal="center" vertical="center"/>
    </xf>
    <xf numFmtId="0" fontId="46" fillId="48" borderId="20" xfId="0" quotePrefix="1" applyFont="1" applyFill="1" applyBorder="1" applyAlignment="1">
      <alignment horizontal="center" vertical="center"/>
    </xf>
    <xf numFmtId="0" fontId="46" fillId="48" borderId="4" xfId="0" quotePrefix="1" applyFont="1" applyFill="1" applyBorder="1" applyAlignment="1">
      <alignment horizontal="center" vertical="center"/>
    </xf>
    <xf numFmtId="0" fontId="59" fillId="53" borderId="0" xfId="0" quotePrefix="1" applyFont="1" applyFill="1" applyAlignment="1">
      <alignment horizontal="center" vertical="center"/>
    </xf>
    <xf numFmtId="0" fontId="91" fillId="48" borderId="56" xfId="0" applyFont="1" applyFill="1" applyBorder="1" applyAlignment="1">
      <alignment horizontal="center" vertical="center"/>
    </xf>
    <xf numFmtId="0" fontId="91" fillId="48" borderId="1" xfId="0" applyFont="1" applyFill="1" applyBorder="1" applyAlignment="1">
      <alignment horizontal="center" vertical="center"/>
    </xf>
    <xf numFmtId="166" fontId="7" fillId="11" borderId="0" xfId="0" applyNumberFormat="1" applyFont="1" applyFill="1" applyAlignment="1">
      <alignment horizontal="left" vertical="center"/>
    </xf>
    <xf numFmtId="0" fontId="91" fillId="48" borderId="20" xfId="0" quotePrefix="1" applyFont="1" applyFill="1" applyBorder="1" applyAlignment="1">
      <alignment horizontal="center" vertical="center"/>
    </xf>
    <xf numFmtId="0" fontId="91" fillId="48" borderId="4" xfId="0" quotePrefix="1" applyFont="1" applyFill="1" applyBorder="1" applyAlignment="1">
      <alignment horizontal="center" vertical="center"/>
    </xf>
    <xf numFmtId="0" fontId="11" fillId="10" borderId="2" xfId="0" applyFont="1" applyFill="1" applyBorder="1" applyAlignment="1">
      <alignment horizontal="center"/>
    </xf>
    <xf numFmtId="0" fontId="11" fillId="10" borderId="26" xfId="0" applyFont="1" applyFill="1" applyBorder="1" applyAlignment="1">
      <alignment horizontal="center"/>
    </xf>
    <xf numFmtId="0" fontId="11" fillId="10" borderId="25" xfId="0" applyFont="1" applyFill="1" applyBorder="1" applyAlignment="1">
      <alignment horizontal="center"/>
    </xf>
    <xf numFmtId="1" fontId="12" fillId="8" borderId="56" xfId="0" applyNumberFormat="1" applyFont="1" applyFill="1" applyBorder="1" applyAlignment="1">
      <alignment horizontal="center" vertical="center"/>
    </xf>
    <xf numFmtId="1" fontId="12" fillId="8" borderId="0" xfId="0" applyNumberFormat="1" applyFont="1" applyFill="1" applyBorder="1" applyAlignment="1">
      <alignment horizontal="center" vertical="center"/>
    </xf>
    <xf numFmtId="0" fontId="91" fillId="8" borderId="2" xfId="0" quotePrefix="1" applyFont="1" applyFill="1" applyBorder="1" applyAlignment="1">
      <alignment horizontal="left" vertical="center"/>
    </xf>
    <xf numFmtId="0" fontId="91" fillId="8" borderId="26" xfId="0" quotePrefix="1" applyFont="1" applyFill="1" applyBorder="1" applyAlignment="1">
      <alignment horizontal="left" vertical="center"/>
    </xf>
    <xf numFmtId="0" fontId="91" fillId="8" borderId="25" xfId="0" quotePrefix="1" applyFont="1" applyFill="1" applyBorder="1" applyAlignment="1">
      <alignment horizontal="left" vertical="center"/>
    </xf>
    <xf numFmtId="0" fontId="56" fillId="8" borderId="2" xfId="0" quotePrefix="1" applyFont="1" applyFill="1" applyBorder="1" applyAlignment="1">
      <alignment horizontal="left" vertical="center"/>
    </xf>
    <xf numFmtId="0" fontId="56" fillId="8" borderId="26" xfId="0" quotePrefix="1" applyFont="1" applyFill="1" applyBorder="1" applyAlignment="1">
      <alignment horizontal="left" vertical="center"/>
    </xf>
    <xf numFmtId="0" fontId="24" fillId="0" borderId="17" xfId="0" applyFont="1" applyBorder="1" applyAlignment="1">
      <alignment horizontal="center" vertical="center" wrapText="1"/>
    </xf>
    <xf numFmtId="0" fontId="54" fillId="0" borderId="3" xfId="0" applyFont="1" applyBorder="1" applyAlignment="1">
      <alignment horizontal="center" vertical="center" wrapText="1"/>
    </xf>
    <xf numFmtId="0" fontId="54" fillId="0" borderId="18" xfId="0" applyFont="1" applyBorder="1" applyAlignment="1">
      <alignment horizontal="center" vertical="center" wrapText="1"/>
    </xf>
    <xf numFmtId="10" fontId="24" fillId="0" borderId="17" xfId="0" applyNumberFormat="1" applyFont="1" applyBorder="1" applyAlignment="1">
      <alignment horizontal="center" vertical="center"/>
    </xf>
    <xf numFmtId="0" fontId="54" fillId="0" borderId="3" xfId="0" applyFont="1" applyBorder="1" applyAlignment="1">
      <alignment horizontal="center" vertical="center"/>
    </xf>
    <xf numFmtId="0" fontId="54" fillId="0" borderId="18" xfId="0" applyFont="1" applyBorder="1" applyAlignment="1">
      <alignment horizontal="center" vertical="center"/>
    </xf>
    <xf numFmtId="0" fontId="57"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91" fillId="8" borderId="2" xfId="0" quotePrefix="1" applyFont="1" applyFill="1" applyBorder="1" applyAlignment="1">
      <alignment horizontal="center" vertical="center"/>
    </xf>
    <xf numFmtId="0" fontId="91" fillId="8" borderId="26" xfId="0" quotePrefix="1" applyFont="1" applyFill="1" applyBorder="1" applyAlignment="1">
      <alignment horizontal="center" vertical="center"/>
    </xf>
    <xf numFmtId="0" fontId="46" fillId="8" borderId="2" xfId="0" quotePrefix="1" applyFont="1" applyFill="1" applyBorder="1" applyAlignment="1">
      <alignment horizontal="center" vertical="center"/>
    </xf>
    <xf numFmtId="0" fontId="46" fillId="8" borderId="26" xfId="0" quotePrefix="1" applyFont="1" applyFill="1" applyBorder="1" applyAlignment="1">
      <alignment horizontal="center" vertical="center"/>
    </xf>
    <xf numFmtId="0" fontId="24" fillId="2" borderId="1" xfId="0" applyFont="1" applyFill="1" applyBorder="1" applyAlignment="1">
      <alignment horizontal="center" vertical="center" wrapText="1"/>
    </xf>
    <xf numFmtId="0" fontId="24" fillId="2" borderId="17" xfId="0" applyFont="1" applyFill="1" applyBorder="1" applyAlignment="1">
      <alignment horizontal="center" vertical="center" wrapText="1"/>
    </xf>
    <xf numFmtId="0" fontId="24" fillId="2" borderId="3" xfId="0" applyFont="1" applyFill="1" applyBorder="1" applyAlignment="1">
      <alignment horizontal="center" vertical="center" wrapText="1"/>
    </xf>
    <xf numFmtId="10" fontId="24" fillId="2" borderId="17" xfId="0" applyNumberFormat="1" applyFont="1" applyFill="1" applyBorder="1" applyAlignment="1">
      <alignment horizontal="center" vertical="center"/>
    </xf>
    <xf numFmtId="10" fontId="24" fillId="2" borderId="3" xfId="0" applyNumberFormat="1" applyFont="1" applyFill="1" applyBorder="1" applyAlignment="1">
      <alignment horizontal="center" vertical="center"/>
    </xf>
    <xf numFmtId="0" fontId="12" fillId="8" borderId="2" xfId="0" quotePrefix="1" applyFont="1" applyFill="1" applyBorder="1" applyAlignment="1">
      <alignment horizontal="center" vertical="center"/>
    </xf>
    <xf numFmtId="0" fontId="12" fillId="8" borderId="26" xfId="0" quotePrefix="1" applyFont="1" applyFill="1" applyBorder="1" applyAlignment="1">
      <alignment horizontal="center" vertical="center"/>
    </xf>
    <xf numFmtId="0" fontId="46" fillId="8" borderId="1" xfId="0" applyFont="1" applyFill="1" applyBorder="1" applyAlignment="1">
      <alignment horizontal="center" vertical="center"/>
    </xf>
    <xf numFmtId="0" fontId="59" fillId="53" borderId="0" xfId="0" quotePrefix="1" applyFont="1" applyFill="1" applyAlignment="1">
      <alignment horizontal="center" vertical="top" wrapText="1"/>
    </xf>
    <xf numFmtId="0" fontId="59" fillId="0" borderId="0" xfId="0" quotePrefix="1" applyFont="1" applyAlignment="1">
      <alignment horizontal="center" vertical="center" wrapText="1"/>
    </xf>
    <xf numFmtId="0" fontId="24" fillId="2" borderId="11" xfId="0" applyFont="1" applyFill="1" applyBorder="1" applyAlignment="1">
      <alignment horizontal="center" vertical="center"/>
    </xf>
    <xf numFmtId="0" fontId="24" fillId="2" borderId="12" xfId="0" applyFont="1" applyFill="1" applyBorder="1" applyAlignment="1">
      <alignment horizontal="center" vertical="center"/>
    </xf>
    <xf numFmtId="0" fontId="24" fillId="2" borderId="49" xfId="0" applyFont="1" applyFill="1" applyBorder="1" applyAlignment="1">
      <alignment horizontal="center" vertical="center"/>
    </xf>
    <xf numFmtId="0" fontId="58" fillId="50" borderId="52" xfId="0" applyFont="1" applyFill="1" applyBorder="1" applyAlignment="1">
      <alignment horizontal="center" vertical="center"/>
    </xf>
    <xf numFmtId="0" fontId="58" fillId="50" borderId="24" xfId="0" applyFont="1" applyFill="1" applyBorder="1" applyAlignment="1">
      <alignment horizontal="center" vertical="center"/>
    </xf>
    <xf numFmtId="0" fontId="58" fillId="50" borderId="60" xfId="0" applyFont="1" applyFill="1" applyBorder="1" applyAlignment="1">
      <alignment horizontal="center" vertical="center"/>
    </xf>
    <xf numFmtId="0" fontId="24" fillId="2" borderId="58" xfId="0" applyFont="1" applyFill="1" applyBorder="1" applyAlignment="1">
      <alignment horizontal="center" vertical="center"/>
    </xf>
    <xf numFmtId="0" fontId="24" fillId="2" borderId="24" xfId="0" applyFont="1" applyFill="1" applyBorder="1" applyAlignment="1">
      <alignment horizontal="center" vertical="center"/>
    </xf>
    <xf numFmtId="0" fontId="24" fillId="2" borderId="59" xfId="0" applyFont="1" applyFill="1" applyBorder="1" applyAlignment="1">
      <alignment horizontal="center" vertical="center"/>
    </xf>
    <xf numFmtId="0" fontId="82" fillId="53" borderId="0" xfId="0" quotePrefix="1" applyFont="1" applyFill="1" applyAlignment="1">
      <alignment horizontal="center" vertical="center" wrapText="1"/>
    </xf>
    <xf numFmtId="0" fontId="59" fillId="53" borderId="0" xfId="0" quotePrefix="1" applyFont="1" applyFill="1" applyAlignment="1">
      <alignment horizontal="center" vertical="center" wrapText="1"/>
    </xf>
    <xf numFmtId="17" fontId="13" fillId="48" borderId="50" xfId="0" applyNumberFormat="1" applyFont="1" applyFill="1" applyBorder="1" applyAlignment="1">
      <alignment horizontal="center" vertical="center"/>
    </xf>
    <xf numFmtId="17" fontId="13" fillId="48" borderId="35" xfId="0" applyNumberFormat="1" applyFont="1" applyFill="1" applyBorder="1" applyAlignment="1">
      <alignment horizontal="center" vertical="center"/>
    </xf>
    <xf numFmtId="0" fontId="97" fillId="48" borderId="51" xfId="0" applyFont="1" applyFill="1" applyBorder="1" applyAlignment="1">
      <alignment vertical="center"/>
    </xf>
    <xf numFmtId="166" fontId="22" fillId="11" borderId="0" xfId="0" applyNumberFormat="1" applyFont="1" applyFill="1" applyAlignment="1">
      <alignment vertical="center"/>
    </xf>
    <xf numFmtId="166" fontId="50" fillId="11" borderId="0" xfId="0" applyNumberFormat="1" applyFont="1" applyFill="1" applyAlignment="1">
      <alignment vertical="center"/>
    </xf>
    <xf numFmtId="17" fontId="13" fillId="48" borderId="24" xfId="0" applyNumberFormat="1" applyFont="1" applyFill="1" applyBorder="1" applyAlignment="1">
      <alignment horizontal="center" vertical="center"/>
    </xf>
    <xf numFmtId="17" fontId="13" fillId="48" borderId="0" xfId="0" applyNumberFormat="1" applyFont="1" applyFill="1" applyAlignment="1">
      <alignment horizontal="center" vertical="center"/>
    </xf>
    <xf numFmtId="0" fontId="24" fillId="2" borderId="17" xfId="0" applyFont="1" applyFill="1" applyBorder="1" applyAlignment="1">
      <alignment horizontal="center" vertical="center"/>
    </xf>
    <xf numFmtId="0" fontId="24" fillId="2" borderId="3" xfId="0" applyFont="1" applyFill="1" applyBorder="1" applyAlignment="1">
      <alignment horizontal="center" vertical="center"/>
    </xf>
    <xf numFmtId="17" fontId="13" fillId="48" borderId="24" xfId="0" applyNumberFormat="1" applyFont="1" applyFill="1" applyBorder="1" applyAlignment="1">
      <alignment horizontal="center"/>
    </xf>
    <xf numFmtId="17" fontId="13" fillId="48" borderId="0" xfId="0" applyNumberFormat="1" applyFont="1" applyFill="1" applyAlignment="1">
      <alignment horizontal="center"/>
    </xf>
    <xf numFmtId="17" fontId="13" fillId="48" borderId="50" xfId="0" applyNumberFormat="1" applyFont="1" applyFill="1" applyBorder="1" applyAlignment="1">
      <alignment horizontal="center"/>
    </xf>
    <xf numFmtId="17" fontId="13" fillId="48" borderId="35" xfId="0" applyNumberFormat="1" applyFont="1" applyFill="1" applyBorder="1" applyAlignment="1">
      <alignment horizontal="center"/>
    </xf>
    <xf numFmtId="0" fontId="97" fillId="48" borderId="51" xfId="0" applyFont="1" applyFill="1" applyBorder="1" applyAlignment="1"/>
    <xf numFmtId="0" fontId="58" fillId="50" borderId="61" xfId="0" applyFont="1" applyFill="1" applyBorder="1" applyAlignment="1">
      <alignment horizontal="center" vertical="center"/>
    </xf>
    <xf numFmtId="0" fontId="58" fillId="50" borderId="12" xfId="0" applyFont="1" applyFill="1" applyBorder="1" applyAlignment="1">
      <alignment horizontal="center" vertical="center"/>
    </xf>
    <xf numFmtId="0" fontId="58" fillId="50" borderId="13" xfId="0" applyFont="1" applyFill="1" applyBorder="1" applyAlignment="1">
      <alignment horizontal="center" vertical="center"/>
    </xf>
    <xf numFmtId="0" fontId="58" fillId="50" borderId="27" xfId="0" applyFont="1" applyFill="1" applyBorder="1" applyAlignment="1">
      <alignment horizontal="center" vertical="center"/>
    </xf>
    <xf numFmtId="0" fontId="58" fillId="50" borderId="53" xfId="0" applyFont="1" applyFill="1" applyBorder="1" applyAlignment="1">
      <alignment horizontal="center" vertical="center"/>
    </xf>
    <xf numFmtId="0" fontId="58" fillId="50" borderId="54" xfId="0" applyFont="1" applyFill="1" applyBorder="1" applyAlignment="1">
      <alignment horizontal="center" vertical="center"/>
    </xf>
    <xf numFmtId="0" fontId="46" fillId="48" borderId="56" xfId="0" applyFont="1" applyFill="1" applyBorder="1" applyAlignment="1">
      <alignment horizontal="center" vertical="center"/>
    </xf>
    <xf numFmtId="0" fontId="46" fillId="48" borderId="0" xfId="0" applyFont="1" applyFill="1" applyAlignment="1">
      <alignment horizontal="center" vertical="center"/>
    </xf>
    <xf numFmtId="0" fontId="46" fillId="48" borderId="56" xfId="0" applyFont="1" applyFill="1" applyBorder="1" applyAlignment="1">
      <alignment horizontal="center"/>
    </xf>
    <xf numFmtId="0" fontId="46" fillId="48" borderId="0" xfId="0" applyFont="1" applyFill="1" applyAlignment="1">
      <alignment horizontal="center"/>
    </xf>
    <xf numFmtId="0" fontId="98" fillId="48" borderId="0" xfId="0" applyFont="1" applyFill="1" applyAlignment="1">
      <alignment horizontal="center"/>
    </xf>
    <xf numFmtId="0" fontId="98" fillId="48" borderId="0" xfId="0" applyFont="1" applyFill="1" applyAlignment="1">
      <alignment horizontal="center" vertical="center"/>
    </xf>
    <xf numFmtId="0" fontId="13" fillId="48" borderId="2" xfId="0" applyFont="1" applyFill="1" applyBorder="1" applyAlignment="1">
      <alignment horizontal="center" vertical="center" wrapText="1"/>
    </xf>
    <xf numFmtId="0" fontId="13" fillId="48" borderId="26" xfId="0" applyFont="1" applyFill="1" applyBorder="1" applyAlignment="1">
      <alignment horizontal="center" vertical="center" wrapText="1"/>
    </xf>
    <xf numFmtId="0" fontId="13" fillId="48" borderId="25" xfId="0" applyFont="1" applyFill="1" applyBorder="1" applyAlignment="1">
      <alignment horizontal="center" vertical="center" wrapText="1"/>
    </xf>
    <xf numFmtId="0" fontId="60" fillId="47" borderId="2" xfId="0" applyFont="1" applyFill="1" applyBorder="1" applyAlignment="1">
      <alignment horizontal="center" vertical="center" wrapText="1"/>
    </xf>
    <xf numFmtId="0" fontId="57" fillId="47" borderId="26" xfId="0" applyFont="1" applyFill="1" applyBorder="1" applyAlignment="1">
      <alignment horizontal="center" vertical="center" wrapText="1"/>
    </xf>
    <xf numFmtId="0" fontId="57" fillId="47" borderId="25" xfId="0" applyFont="1" applyFill="1" applyBorder="1" applyAlignment="1">
      <alignment horizontal="center" vertical="center" wrapText="1"/>
    </xf>
    <xf numFmtId="0" fontId="60" fillId="47" borderId="26" xfId="0" applyFont="1" applyFill="1" applyBorder="1" applyAlignment="1">
      <alignment horizontal="center" vertical="center" wrapText="1"/>
    </xf>
    <xf numFmtId="0" fontId="60" fillId="47" borderId="25" xfId="0" applyFont="1" applyFill="1" applyBorder="1" applyAlignment="1">
      <alignment horizontal="center" vertical="center" wrapText="1"/>
    </xf>
    <xf numFmtId="0" fontId="63" fillId="48" borderId="2" xfId="0" applyFont="1" applyFill="1" applyBorder="1" applyAlignment="1">
      <alignment horizontal="center" vertical="center" wrapText="1"/>
    </xf>
    <xf numFmtId="0" fontId="63" fillId="48" borderId="26" xfId="0" applyFont="1" applyFill="1" applyBorder="1" applyAlignment="1">
      <alignment horizontal="center" vertical="center" wrapText="1"/>
    </xf>
    <xf numFmtId="0" fontId="63" fillId="48" borderId="25" xfId="0" applyFont="1" applyFill="1" applyBorder="1" applyAlignment="1">
      <alignment horizontal="center" vertical="center" wrapText="1"/>
    </xf>
    <xf numFmtId="0" fontId="85" fillId="48" borderId="26" xfId="0" applyFont="1" applyFill="1" applyBorder="1" applyAlignment="1">
      <alignment horizontal="center" vertical="center" wrapText="1"/>
    </xf>
    <xf numFmtId="0" fontId="85" fillId="48" borderId="25" xfId="0" applyFont="1" applyFill="1" applyBorder="1" applyAlignment="1">
      <alignment horizontal="center" vertical="center" wrapText="1"/>
    </xf>
    <xf numFmtId="0" fontId="99" fillId="48" borderId="26" xfId="0" applyFont="1" applyFill="1" applyBorder="1" applyAlignment="1">
      <alignment horizontal="center" vertical="center" wrapText="1"/>
    </xf>
    <xf numFmtId="0" fontId="99" fillId="48" borderId="25" xfId="0" applyFont="1" applyFill="1" applyBorder="1" applyAlignment="1">
      <alignment horizontal="center" vertical="center" wrapText="1"/>
    </xf>
    <xf numFmtId="166" fontId="6" fillId="11" borderId="0" xfId="0" applyNumberFormat="1" applyFont="1" applyFill="1" applyAlignment="1">
      <alignment vertical="center"/>
    </xf>
    <xf numFmtId="0" fontId="13" fillId="8" borderId="2"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00" fillId="8" borderId="26" xfId="0" applyFont="1" applyFill="1" applyBorder="1" applyAlignment="1">
      <alignment horizontal="center" vertical="center" wrapText="1"/>
    </xf>
    <xf numFmtId="0" fontId="100" fillId="8" borderId="25" xfId="0" applyFont="1" applyFill="1" applyBorder="1" applyAlignment="1">
      <alignment horizontal="center" vertical="center" wrapText="1"/>
    </xf>
    <xf numFmtId="0" fontId="61" fillId="47" borderId="26" xfId="0" applyFont="1" applyFill="1" applyBorder="1" applyAlignment="1">
      <alignment horizontal="center" vertical="center" wrapText="1"/>
    </xf>
    <xf numFmtId="0" fontId="61" fillId="47" borderId="25" xfId="0" applyFont="1" applyFill="1" applyBorder="1" applyAlignment="1">
      <alignment horizontal="center" vertical="center" wrapText="1"/>
    </xf>
    <xf numFmtId="0" fontId="7" fillId="2" borderId="0" xfId="0" applyFont="1" applyFill="1" applyAlignment="1">
      <alignment horizontal="center"/>
    </xf>
    <xf numFmtId="0" fontId="19" fillId="2" borderId="0" xfId="0" applyFont="1" applyFill="1" applyAlignment="1">
      <alignment horizontal="center"/>
    </xf>
    <xf numFmtId="0" fontId="86" fillId="53" borderId="0" xfId="0" quotePrefix="1" applyFont="1" applyFill="1" applyAlignment="1">
      <alignment horizontal="center" vertical="center" wrapText="1"/>
    </xf>
    <xf numFmtId="166" fontId="22" fillId="11" borderId="24" xfId="0" applyNumberFormat="1" applyFont="1" applyFill="1" applyBorder="1" applyAlignment="1">
      <alignment horizontal="left" vertical="center"/>
    </xf>
    <xf numFmtId="0" fontId="88" fillId="8" borderId="26" xfId="0" applyFont="1" applyFill="1" applyBorder="1" applyAlignment="1">
      <alignment horizontal="center" vertical="center" wrapText="1"/>
    </xf>
    <xf numFmtId="0" fontId="88" fillId="8" borderId="25" xfId="0" applyFont="1" applyFill="1" applyBorder="1" applyAlignment="1">
      <alignment horizontal="center" vertical="center" wrapText="1"/>
    </xf>
    <xf numFmtId="0" fontId="101" fillId="48" borderId="26" xfId="0" applyFont="1" applyFill="1" applyBorder="1" applyAlignment="1">
      <alignment horizontal="center" vertical="center" wrapText="1"/>
    </xf>
    <xf numFmtId="0" fontId="101" fillId="48" borderId="25" xfId="0" applyFont="1" applyFill="1" applyBorder="1" applyAlignment="1">
      <alignment horizontal="center" vertical="center" wrapText="1"/>
    </xf>
    <xf numFmtId="0" fontId="88" fillId="48" borderId="26" xfId="0" applyFont="1" applyFill="1" applyBorder="1" applyAlignment="1">
      <alignment horizontal="center" vertical="center" wrapText="1"/>
    </xf>
    <xf numFmtId="0" fontId="88" fillId="48" borderId="25" xfId="0" applyFont="1" applyFill="1" applyBorder="1" applyAlignment="1">
      <alignment horizontal="center" vertical="center" wrapText="1"/>
    </xf>
    <xf numFmtId="166" fontId="22" fillId="49" borderId="0" xfId="0" applyNumberFormat="1" applyFont="1" applyFill="1" applyAlignment="1">
      <alignment horizontal="left" vertical="center"/>
    </xf>
    <xf numFmtId="0" fontId="11" fillId="10" borderId="0" xfId="0" applyFont="1" applyFill="1" applyAlignment="1">
      <alignment horizontal="center" vertical="center" wrapText="1"/>
    </xf>
    <xf numFmtId="0" fontId="11" fillId="10" borderId="4" xfId="0" applyFont="1" applyFill="1" applyBorder="1" applyAlignment="1">
      <alignment horizontal="center" vertical="center" wrapText="1"/>
    </xf>
    <xf numFmtId="0" fontId="11" fillId="10" borderId="20" xfId="0" applyFont="1" applyFill="1" applyBorder="1" applyAlignment="1">
      <alignment horizontal="center"/>
    </xf>
    <xf numFmtId="0" fontId="11" fillId="10" borderId="4" xfId="0" applyFont="1" applyFill="1" applyBorder="1" applyAlignment="1">
      <alignment horizontal="center"/>
    </xf>
    <xf numFmtId="0" fontId="11" fillId="10" borderId="0" xfId="0" applyFont="1" applyFill="1" applyAlignment="1">
      <alignment horizontal="center"/>
    </xf>
    <xf numFmtId="0" fontId="11" fillId="10" borderId="21" xfId="0" applyFont="1" applyFill="1" applyBorder="1" applyAlignment="1">
      <alignment horizontal="center"/>
    </xf>
    <xf numFmtId="0" fontId="11" fillId="10" borderId="22" xfId="0" applyFont="1" applyFill="1" applyBorder="1" applyAlignment="1">
      <alignment horizontal="center" vertical="center" wrapText="1"/>
    </xf>
    <xf numFmtId="0" fontId="11" fillId="10" borderId="34" xfId="0" applyFont="1" applyFill="1" applyBorder="1" applyAlignment="1">
      <alignment horizontal="center" vertical="center" wrapText="1"/>
    </xf>
    <xf numFmtId="0" fontId="11"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6" fillId="10" borderId="22" xfId="0" applyFont="1" applyFill="1" applyBorder="1" applyAlignment="1">
      <alignment horizontal="center"/>
    </xf>
    <xf numFmtId="0" fontId="0" fillId="0" borderId="34" xfId="0" applyBorder="1" applyAlignment="1">
      <alignment horizontal="center"/>
    </xf>
    <xf numFmtId="0" fontId="16" fillId="10" borderId="2" xfId="0" applyFont="1" applyFill="1" applyBorder="1" applyAlignment="1">
      <alignment horizontal="center"/>
    </xf>
    <xf numFmtId="0" fontId="0" fillId="0" borderId="26" xfId="0" applyBorder="1" applyAlignment="1">
      <alignment horizontal="center"/>
    </xf>
    <xf numFmtId="0" fontId="16" fillId="10" borderId="1" xfId="0" applyFont="1" applyFill="1" applyBorder="1" applyAlignment="1">
      <alignment horizontal="center"/>
    </xf>
    <xf numFmtId="0" fontId="0" fillId="0" borderId="1" xfId="0" applyBorder="1" applyAlignment="1">
      <alignment horizontal="center"/>
    </xf>
    <xf numFmtId="0" fontId="86" fillId="0" borderId="0" xfId="0" quotePrefix="1" applyFont="1" applyAlignment="1">
      <alignment horizontal="center" vertical="center" wrapText="1"/>
    </xf>
    <xf numFmtId="166" fontId="22" fillId="11" borderId="0" xfId="0" applyNumberFormat="1" applyFont="1" applyFill="1" applyAlignment="1">
      <alignment horizontal="right" vertical="center"/>
    </xf>
    <xf numFmtId="0" fontId="16" fillId="10" borderId="50" xfId="0" quotePrefix="1" applyFont="1" applyFill="1" applyBorder="1" applyAlignment="1">
      <alignment horizontal="center" wrapText="1"/>
    </xf>
    <xf numFmtId="0" fontId="16" fillId="10" borderId="35" xfId="0" applyFont="1" applyFill="1" applyBorder="1" applyAlignment="1">
      <alignment horizontal="center" wrapText="1"/>
    </xf>
    <xf numFmtId="0" fontId="16" fillId="10" borderId="27" xfId="0" applyFont="1" applyFill="1" applyBorder="1" applyAlignment="1">
      <alignment horizontal="center" vertical="center" wrapText="1"/>
    </xf>
    <xf numFmtId="0" fontId="16" fillId="10" borderId="28" xfId="0" applyFont="1" applyFill="1" applyBorder="1" applyAlignment="1">
      <alignment horizontal="center" vertical="center" wrapText="1"/>
    </xf>
    <xf numFmtId="0" fontId="16" fillId="10" borderId="52" xfId="0" quotePrefix="1" applyFont="1" applyFill="1" applyBorder="1" applyAlignment="1">
      <alignment horizontal="center" vertical="center" wrapText="1"/>
    </xf>
    <xf numFmtId="0" fontId="16" fillId="10" borderId="28" xfId="0" quotePrefix="1" applyFont="1" applyFill="1" applyBorder="1" applyAlignment="1">
      <alignment horizontal="center" vertical="center" wrapText="1"/>
    </xf>
    <xf numFmtId="0" fontId="16" fillId="10" borderId="31" xfId="0" applyFont="1" applyFill="1" applyBorder="1" applyAlignment="1">
      <alignment horizontal="center" vertical="center" wrapText="1"/>
    </xf>
    <xf numFmtId="0" fontId="16" fillId="10" borderId="55" xfId="0" quotePrefix="1" applyFont="1" applyFill="1" applyBorder="1" applyAlignment="1">
      <alignment horizontal="center" vertical="center" wrapText="1"/>
    </xf>
    <xf numFmtId="0" fontId="16" fillId="10" borderId="29" xfId="0" quotePrefix="1" applyFont="1" applyFill="1" applyBorder="1" applyAlignment="1">
      <alignment horizontal="center" vertical="center" wrapText="1"/>
    </xf>
    <xf numFmtId="0" fontId="24" fillId="0" borderId="1" xfId="0" applyFont="1" applyBorder="1" applyAlignment="1"/>
    <xf numFmtId="0" fontId="0" fillId="0" borderId="1" xfId="0" applyBorder="1" applyAlignment="1"/>
    <xf numFmtId="0" fontId="12" fillId="48" borderId="4" xfId="0" applyFont="1" applyFill="1" applyBorder="1" applyAlignment="1">
      <alignment horizontal="center"/>
    </xf>
    <xf numFmtId="0" fontId="102" fillId="48" borderId="4" xfId="0" applyFont="1" applyFill="1" applyBorder="1" applyAlignment="1">
      <alignment horizontal="center"/>
    </xf>
    <xf numFmtId="0" fontId="103" fillId="0" borderId="20" xfId="0" applyFont="1" applyBorder="1" applyAlignment="1">
      <alignment horizontal="center" vertical="center" wrapText="1"/>
    </xf>
    <xf numFmtId="0" fontId="103" fillId="0" borderId="32" xfId="0" applyFont="1" applyBorder="1" applyAlignment="1">
      <alignment horizontal="center" vertical="center" wrapText="1"/>
    </xf>
    <xf numFmtId="0" fontId="60" fillId="50" borderId="1" xfId="0" applyFont="1" applyFill="1" applyBorder="1" applyAlignment="1">
      <alignment vertical="center" wrapText="1"/>
    </xf>
    <xf numFmtId="0" fontId="0" fillId="0" borderId="1" xfId="0" applyBorder="1" applyAlignment="1">
      <alignment wrapText="1"/>
    </xf>
    <xf numFmtId="0" fontId="16" fillId="10" borderId="1" xfId="0" applyFont="1" applyFill="1" applyBorder="1" applyAlignment="1">
      <alignment horizontal="center" vertical="center" wrapText="1"/>
    </xf>
    <xf numFmtId="1" fontId="58"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8" fillId="50" borderId="1" xfId="0" applyFont="1" applyFill="1" applyBorder="1" applyAlignment="1">
      <alignment wrapText="1"/>
    </xf>
    <xf numFmtId="0" fontId="11" fillId="10" borderId="56" xfId="0" applyFont="1" applyFill="1" applyBorder="1" applyAlignment="1">
      <alignment horizontal="center" vertical="center" wrapText="1"/>
    </xf>
    <xf numFmtId="0" fontId="103" fillId="0" borderId="0" xfId="0" applyFont="1" applyAlignment="1">
      <alignment horizontal="center" vertical="center" wrapText="1"/>
    </xf>
    <xf numFmtId="0" fontId="103" fillId="0" borderId="4" xfId="0" applyFont="1" applyBorder="1" applyAlignment="1">
      <alignment horizontal="center" vertical="center" wrapText="1"/>
    </xf>
    <xf numFmtId="0" fontId="95" fillId="48" borderId="4" xfId="0" applyFont="1" applyFill="1" applyBorder="1" applyAlignment="1">
      <alignment horizontal="center" wrapText="1"/>
    </xf>
    <xf numFmtId="0" fontId="16" fillId="10" borderId="1" xfId="0" applyFont="1" applyFill="1" applyBorder="1" applyAlignment="1">
      <alignment horizontal="center" vertical="center"/>
    </xf>
    <xf numFmtId="0" fontId="16" fillId="10" borderId="5" xfId="0" applyFont="1" applyFill="1" applyBorder="1" applyAlignment="1">
      <alignment horizontal="center" vertical="center"/>
    </xf>
    <xf numFmtId="0" fontId="16" fillId="10" borderId="6" xfId="0" applyFont="1" applyFill="1" applyBorder="1" applyAlignment="1">
      <alignment horizontal="center" vertical="center"/>
    </xf>
    <xf numFmtId="0" fontId="16" fillId="10" borderId="19" xfId="0" applyFont="1" applyFill="1" applyBorder="1" applyAlignment="1">
      <alignment horizontal="center" vertical="center"/>
    </xf>
    <xf numFmtId="0" fontId="89" fillId="54" borderId="5" xfId="0" applyFont="1" applyFill="1" applyBorder="1" applyAlignment="1">
      <alignment horizontal="center" vertical="center"/>
    </xf>
    <xf numFmtId="0" fontId="89" fillId="54" borderId="6" xfId="0" applyFont="1" applyFill="1" applyBorder="1" applyAlignment="1">
      <alignment horizontal="center" vertical="center"/>
    </xf>
    <xf numFmtId="0" fontId="89" fillId="54" borderId="19" xfId="0" applyFont="1" applyFill="1" applyBorder="1" applyAlignment="1">
      <alignment horizontal="center" vertical="center"/>
    </xf>
    <xf numFmtId="0" fontId="89" fillId="55" borderId="5" xfId="0" applyFont="1" applyFill="1" applyBorder="1" applyAlignment="1">
      <alignment horizontal="center" vertical="center"/>
    </xf>
    <xf numFmtId="0" fontId="89" fillId="55" borderId="6" xfId="0" applyFont="1" applyFill="1" applyBorder="1" applyAlignment="1">
      <alignment horizontal="center" vertical="center"/>
    </xf>
    <xf numFmtId="0" fontId="89" fillId="55" borderId="19" xfId="0" applyFont="1" applyFill="1" applyBorder="1" applyAlignment="1">
      <alignment horizontal="center" vertical="center"/>
    </xf>
    <xf numFmtId="0" fontId="11" fillId="10" borderId="27" xfId="0" applyFont="1" applyFill="1" applyBorder="1" applyAlignment="1">
      <alignment horizontal="center" vertical="center"/>
    </xf>
    <xf numFmtId="0" fontId="11" fillId="10" borderId="59" xfId="0" applyFont="1" applyFill="1" applyBorder="1" applyAlignment="1">
      <alignment horizontal="center" vertical="center"/>
    </xf>
    <xf numFmtId="0" fontId="45" fillId="9" borderId="0" xfId="0" applyFont="1" applyFill="1" applyAlignment="1">
      <alignment horizontal="left" vertical="center" indent="14"/>
    </xf>
    <xf numFmtId="0" fontId="46" fillId="5" borderId="0" xfId="0" applyFont="1" applyFill="1" applyAlignment="1">
      <alignment horizontal="left" vertical="center" wrapText="1" indent="14"/>
    </xf>
    <xf numFmtId="14" fontId="14" fillId="11" borderId="0" xfId="0" applyNumberFormat="1" applyFont="1" applyFill="1" applyAlignment="1">
      <alignment horizontal="left" vertical="center" indent="3"/>
    </xf>
    <xf numFmtId="0" fontId="45" fillId="9" borderId="0" xfId="0" applyFont="1" applyFill="1" applyAlignment="1">
      <alignment horizontal="left" vertical="center" indent="13"/>
    </xf>
    <xf numFmtId="0" fontId="63" fillId="5" borderId="0" xfId="0" applyFont="1" applyFill="1" applyAlignment="1">
      <alignment horizontal="left" vertical="center" wrapText="1" indent="11"/>
    </xf>
    <xf numFmtId="14" fontId="6" fillId="11" borderId="0" xfId="0" applyNumberFormat="1" applyFont="1" applyFill="1" applyAlignment="1">
      <alignment horizontal="left" vertical="center" indent="3"/>
    </xf>
    <xf numFmtId="0" fontId="13"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398">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900FF"/>
      <color rgb="FF0066FF"/>
      <color rgb="FFB07BD7"/>
      <color rgb="FFDCC5ED"/>
      <color rgb="FFFF0000"/>
      <color rgb="FF66FFFF"/>
      <color rgb="FF6600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hyperlink" Target="#Caveats!A1"/><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3" Type="http://schemas.openxmlformats.org/officeDocument/2006/relationships/hyperlink" Target="#'cluster overview'!A1"/><Relationship Id="rId2" Type="http://schemas.openxmlformats.org/officeDocument/2006/relationships/hyperlink" Target="#'HMIP caseload cluster'!A1"/><Relationship Id="rId1" Type="http://schemas.openxmlformats.org/officeDocument/2006/relationships/hyperlink" Target="#Home!A1"/><Relationship Id="rId4" Type="http://schemas.openxmlformats.org/officeDocument/2006/relationships/hyperlink" Target="#'team overview'!A1"/></Relationships>
</file>

<file path=xl/drawings/_rels/drawing6.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3.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7.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8.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20.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1.xml.rels><?xml version="1.0" encoding="UTF-8" standalone="yes"?>
<Relationships xmlns="http://schemas.openxmlformats.org/package/2006/relationships"><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5.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6.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7.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4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pPr algn="ctr"/>
          <a:r>
            <a:rPr lang="en-GB" sz="1200">
              <a:solidFill>
                <a:srgbClr val="7030A0"/>
              </a:solidFill>
              <a:latin typeface="Arial" panose="020B0604020202020204" pitchFamily="34" charset="0"/>
              <a:cs typeface="Arial" panose="020B0604020202020204" pitchFamily="34" charset="0"/>
            </a:rPr>
            <a:t>The data within this dashboard is for internal management information use only</a:t>
          </a:r>
          <a:r>
            <a:rPr lang="en-GB" sz="1200" baseline="0">
              <a:solidFill>
                <a:srgbClr val="7030A0"/>
              </a:solidFill>
              <a:latin typeface="Arial" panose="020B0604020202020204" pitchFamily="34" charset="0"/>
              <a:cs typeface="Arial" panose="020B0604020202020204" pitchFamily="34" charset="0"/>
            </a:rPr>
            <a:t> </a:t>
          </a:r>
        </a:p>
        <a:p>
          <a:pPr algn="ctr"/>
          <a:endParaRPr lang="en-GB" sz="1200" baseline="0">
            <a:solidFill>
              <a:srgbClr val="7030A0"/>
            </a:solidFill>
            <a:latin typeface="Arial" panose="020B0604020202020204" pitchFamily="34" charset="0"/>
            <a:cs typeface="Arial" panose="020B0604020202020204" pitchFamily="34" charset="0"/>
          </a:endParaRPr>
        </a:p>
        <a:p>
          <a:pPr algn="ctr"/>
          <a:r>
            <a:rPr lang="en-GB" sz="1200" baseline="0">
              <a:solidFill>
                <a:srgbClr val="7030A0"/>
              </a:solidFill>
              <a:latin typeface="Arial" panose="020B0604020202020204" pitchFamily="34" charset="0"/>
              <a:cs typeface="Arial" panose="020B0604020202020204" pitchFamily="34" charset="0"/>
            </a:rPr>
            <a:t>HMiP information is provided for the sole purpose to share with HMiP at the time of any Regional/PDU inspections.</a:t>
          </a:r>
          <a:endParaRPr lang="en-GB" sz="1200">
            <a:solidFill>
              <a:srgbClr val="7030A0"/>
            </a:solidFill>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406557</xdr:colOff>
      <xdr:row>21</xdr:row>
      <xdr:rowOff>104543</xdr:rowOff>
    </xdr:from>
    <xdr:to>
      <xdr:col>13</xdr:col>
      <xdr:colOff>11616</xdr:colOff>
      <xdr:row>23</xdr:row>
      <xdr:rowOff>239321</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10733051" y="5366525"/>
          <a:ext cx="2009541"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twoCellAnchor>
    <xdr:from>
      <xdr:col>2</xdr:col>
      <xdr:colOff>545946</xdr:colOff>
      <xdr:row>21</xdr:row>
      <xdr:rowOff>104543</xdr:rowOff>
    </xdr:from>
    <xdr:to>
      <xdr:col>6</xdr:col>
      <xdr:colOff>209086</xdr:colOff>
      <xdr:row>23</xdr:row>
      <xdr:rowOff>239321</xdr:rowOff>
    </xdr:to>
    <xdr:sp macro="" textlink="" fLocksText="0">
      <xdr:nvSpPr>
        <xdr:cNvPr id="7" name="Rounded Rectangle 17">
          <a:hlinkClick xmlns:r="http://schemas.openxmlformats.org/officeDocument/2006/relationships" r:id="rId5"/>
          <a:extLst>
            <a:ext uri="{FF2B5EF4-FFF2-40B4-BE49-F238E27FC236}">
              <a16:creationId xmlns:a16="http://schemas.microsoft.com/office/drawing/2014/main" id="{D9537784-53D2-4046-875C-BC9070B18E7D}"/>
            </a:ext>
          </a:extLst>
        </xdr:cNvPr>
        <xdr:cNvSpPr/>
      </xdr:nvSpPr>
      <xdr:spPr>
        <a:xfrm>
          <a:off x="5889239" y="5366525"/>
          <a:ext cx="2032774"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Caveats for data</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0</xdr:rowOff>
    </xdr:from>
    <xdr:to>
      <xdr:col>0</xdr:col>
      <xdr:colOff>1379220</xdr:colOff>
      <xdr:row>1</xdr:row>
      <xdr:rowOff>99060</xdr:rowOff>
    </xdr:to>
    <xdr:sp macro="" textlink="" fLocksText="0">
      <xdr:nvSpPr>
        <xdr:cNvPr id="3" name="Rounded Rectangle 17">
          <a:hlinkClick xmlns:r="http://schemas.openxmlformats.org/officeDocument/2006/relationships" r:id="rId1"/>
          <a:extLst>
            <a:ext uri="{FF2B5EF4-FFF2-40B4-BE49-F238E27FC236}">
              <a16:creationId xmlns:a16="http://schemas.microsoft.com/office/drawing/2014/main" id="{231444BB-1B5E-4D7F-8D28-5042E9C5C4AC}"/>
            </a:ext>
          </a:extLst>
        </xdr:cNvPr>
        <xdr:cNvSpPr/>
      </xdr:nvSpPr>
      <xdr:spPr>
        <a:xfrm>
          <a:off x="68580" y="0"/>
          <a:ext cx="1310640" cy="289560"/>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Home</a:t>
          </a: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171449</xdr:rowOff>
    </xdr:from>
    <xdr:to>
      <xdr:col>18</xdr:col>
      <xdr:colOff>47625</xdr:colOff>
      <xdr:row>35</xdr:row>
      <xdr:rowOff>123824</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799"/>
          <a:ext cx="10534650" cy="642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rgbClr val="9900FF"/>
              </a:solidFill>
            </a:rPr>
            <a:t>The data in this dashboard is for Management Use Only with the exception of the two tables for HMIP which can only be shared with HMIP</a:t>
          </a:r>
        </a:p>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PoPs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original allocated points from that division or cluster to get an overall percentage capacity for that division or cluster. The HMIP tabs show the average capacity of an OM in a region or cluster and excludes OMs who currently do not have any assigned capacity points (hence some variations in results)</a:t>
          </a:r>
        </a:p>
        <a:p>
          <a:pPr marL="0" marR="0" lvl="0" indent="0" defTabSz="914400" eaLnBrk="1" fontAlgn="auto" latinLnBrk="0" hangingPunct="1">
            <a:lnSpc>
              <a:spcPct val="100000"/>
            </a:lnSpc>
            <a:spcBef>
              <a:spcPts val="0"/>
            </a:spcBef>
            <a:spcAft>
              <a:spcPts val="0"/>
            </a:spcAft>
            <a:buClrTx/>
            <a:buSzTx/>
            <a:buFontTx/>
            <a:buNone/>
            <a:tabLst/>
            <a:defRPr/>
          </a:pPr>
          <a:br>
            <a:rPr lang="en-GB" sz="1100" baseline="0">
              <a:solidFill>
                <a:schemeClr val="accent5">
                  <a:lumMod val="75000"/>
                </a:schemeClr>
              </a:solidFill>
              <a:latin typeface="+mn-lt"/>
              <a:ea typeface="+mn-ea"/>
              <a:cs typeface="+mn-cs"/>
            </a:rPr>
          </a:br>
          <a:r>
            <a:rPr lang="en-GB" sz="1100" baseline="0">
              <a:solidFill>
                <a:schemeClr val="dk1"/>
              </a:solidFill>
              <a:effectLst/>
              <a:latin typeface="+mn-lt"/>
              <a:ea typeface="+mn-ea"/>
              <a:cs typeface="+mn-cs"/>
            </a:rPr>
            <a:t>Why are some teams not shown in the dashboard? </a:t>
          </a:r>
          <a:r>
            <a:rPr lang="en-GB" sz="1100" baseline="0">
              <a:solidFill>
                <a:schemeClr val="accent5">
                  <a:lumMod val="75000"/>
                </a:schemeClr>
              </a:solidFill>
              <a:latin typeface="+mn-lt"/>
              <a:ea typeface="+mn-ea"/>
              <a:cs typeface="+mn-cs"/>
            </a:rPr>
            <a:t>Teams will only be shown if PWP - National WMT lead has been informed Team names have been changed. This is a manual process for the new teams to be updated to the WMT dashboard, therefore teams will not show in the dashboard if they have not been requested for upload. </a:t>
          </a:r>
          <a:br>
            <a:rPr lang="en-GB" sz="1100" baseline="0">
              <a:solidFill>
                <a:schemeClr val="dk1"/>
              </a:solidFill>
              <a:effectLst/>
              <a:latin typeface="+mn-lt"/>
              <a:ea typeface="+mn-ea"/>
              <a:cs typeface="+mn-cs"/>
            </a:rPr>
          </a:br>
          <a:br>
            <a:rPr lang="en-GB" sz="1100" baseline="0">
              <a:solidFill>
                <a:schemeClr val="dk1"/>
              </a:solidFill>
              <a:effectLst/>
              <a:latin typeface="+mn-lt"/>
              <a:ea typeface="+mn-ea"/>
              <a:cs typeface="+mn-cs"/>
            </a:rPr>
          </a:br>
          <a:r>
            <a:rPr lang="en-GB" sz="1100" baseline="0">
              <a:solidFill>
                <a:schemeClr val="dk1"/>
              </a:solidFill>
              <a:effectLst/>
              <a:latin typeface="+mn-lt"/>
              <a:ea typeface="+mn-ea"/>
              <a:cs typeface="+mn-cs"/>
            </a:rPr>
            <a:t>Why are some teams showing with no data in the dashboard? </a:t>
          </a:r>
          <a:r>
            <a:rPr lang="en-GB" sz="1100" baseline="0">
              <a:solidFill>
                <a:schemeClr val="accent5">
                  <a:lumMod val="75000"/>
                </a:schemeClr>
              </a:solidFill>
              <a:latin typeface="+mn-lt"/>
              <a:ea typeface="+mn-ea"/>
              <a:cs typeface="+mn-cs"/>
            </a:rPr>
            <a:t>This is due to the team name being held in the dashboard, but in WMT and nDelius the PP's and caseloads have been reallocated. You need to request from PWP National WMT lead for the teams to be removed as they are no longer required</a:t>
          </a:r>
          <a:br>
            <a:rPr lang="en-GB" sz="1100" baseline="0">
              <a:solidFill>
                <a:schemeClr val="dk1"/>
              </a:solidFill>
              <a:effectLst/>
              <a:latin typeface="+mn-lt"/>
              <a:ea typeface="+mn-ea"/>
              <a:cs typeface="+mn-cs"/>
            </a:rPr>
          </a:b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twoCellAnchor>
    <xdr:from>
      <xdr:col>9</xdr:col>
      <xdr:colOff>340519</xdr:colOff>
      <xdr:row>1</xdr:row>
      <xdr:rowOff>14838</xdr:rowOff>
    </xdr:from>
    <xdr:to>
      <xdr:col>10</xdr:col>
      <xdr:colOff>449758</xdr:colOff>
      <xdr:row>2</xdr:row>
      <xdr:rowOff>46542</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E8819AC3-7339-4FF8-873D-3F677FC26005}"/>
            </a:ext>
          </a:extLst>
        </xdr:cNvPr>
        <xdr:cNvSpPr/>
      </xdr:nvSpPr>
      <xdr:spPr>
        <a:xfrm>
          <a:off x="12136279" y="675238"/>
          <a:ext cx="1318279" cy="39746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FFBE3964-F55D-4BB9-B85D-365A435C3506}"/>
            </a:ext>
          </a:extLst>
        </xdr:cNvPr>
        <xdr:cNvSpPr/>
      </xdr:nvSpPr>
      <xdr:spPr>
        <a:xfrm>
          <a:off x="13945959" y="679254"/>
          <a:ext cx="1400517" cy="37223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1</xdr:col>
      <xdr:colOff>22412</xdr:colOff>
      <xdr:row>0</xdr:row>
      <xdr:rowOff>324970</xdr:rowOff>
    </xdr:from>
    <xdr:to>
      <xdr:col>1</xdr:col>
      <xdr:colOff>852207</xdr:colOff>
      <xdr:row>1</xdr:row>
      <xdr:rowOff>409575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289112" y="324970"/>
          <a:ext cx="829795" cy="4275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7.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tabSelected="1" zoomScale="82" zoomScaleNormal="82" zoomScaleSheetLayoutView="85" workbookViewId="0"/>
  </sheetViews>
  <sheetFormatPr baseColWidth="10" defaultColWidth="8.83203125" defaultRowHeight="14" x14ac:dyDescent="0.15"/>
  <cols>
    <col min="1" max="1" width="3.1640625" customWidth="1"/>
    <col min="2" max="2" width="77" customWidth="1"/>
    <col min="9" max="9" width="21.5" customWidth="1"/>
    <col min="10" max="10" width="9.5" bestFit="1" customWidth="1"/>
    <col min="15" max="15" width="66.33203125" customWidth="1"/>
    <col min="17" max="17" width="63.5" style="347" bestFit="1" customWidth="1"/>
    <col min="27" max="27" width="6.5" customWidth="1"/>
  </cols>
  <sheetData>
    <row r="1" spans="1:27" ht="45" customHeight="1" x14ac:dyDescent="0.15">
      <c r="B1" s="428" t="s">
        <v>0</v>
      </c>
      <c r="C1" s="428"/>
      <c r="D1" s="428"/>
      <c r="E1" s="428"/>
      <c r="F1" s="428"/>
      <c r="G1" s="428"/>
      <c r="H1" s="428"/>
      <c r="I1" s="428"/>
      <c r="J1" s="428"/>
      <c r="K1" s="428"/>
      <c r="L1" s="428"/>
      <c r="M1" s="428"/>
    </row>
    <row r="2" spans="1:27" x14ac:dyDescent="0.15">
      <c r="A2" s="9"/>
    </row>
    <row r="3" spans="1:27" ht="21.75" customHeight="1" x14ac:dyDescent="0.2">
      <c r="B3" s="355"/>
      <c r="C3" s="206"/>
      <c r="D3" s="206"/>
    </row>
    <row r="4" spans="1:27" ht="18" customHeight="1" x14ac:dyDescent="0.15">
      <c r="C4" s="205"/>
      <c r="D4" s="205"/>
      <c r="O4" s="345"/>
      <c r="P4" s="346"/>
      <c r="Q4" s="348"/>
      <c r="R4" s="346"/>
      <c r="S4" s="346"/>
      <c r="T4" s="346"/>
      <c r="U4" s="346"/>
      <c r="V4" s="346"/>
      <c r="W4" s="346"/>
      <c r="X4" s="346"/>
      <c r="Y4" s="346"/>
      <c r="Z4" s="346"/>
      <c r="AA4" s="346"/>
    </row>
    <row r="5" spans="1:27" ht="23.25" customHeight="1" x14ac:dyDescent="0.15">
      <c r="B5" s="356" t="s">
        <v>1267</v>
      </c>
      <c r="C5" s="205"/>
      <c r="D5" s="205"/>
      <c r="O5" s="357" t="s">
        <v>1266</v>
      </c>
      <c r="P5" s="346"/>
      <c r="Q5" s="348"/>
      <c r="R5" s="346"/>
      <c r="S5" s="346"/>
      <c r="T5" s="346"/>
      <c r="U5" s="346"/>
      <c r="V5" s="346"/>
      <c r="W5" s="346"/>
      <c r="X5" s="346"/>
      <c r="Y5" s="346"/>
      <c r="Z5" s="346"/>
      <c r="AA5" s="346"/>
    </row>
    <row r="6" spans="1:27" ht="18" customHeight="1" x14ac:dyDescent="0.2">
      <c r="B6" s="359" t="s">
        <v>3</v>
      </c>
      <c r="C6" s="205"/>
      <c r="D6" s="205"/>
      <c r="O6" s="360" t="s">
        <v>9</v>
      </c>
      <c r="P6" s="59"/>
      <c r="R6" s="59"/>
      <c r="S6" s="60"/>
    </row>
    <row r="7" spans="1:27" ht="18" customHeight="1" x14ac:dyDescent="0.15">
      <c r="B7" s="359" t="s">
        <v>1265</v>
      </c>
      <c r="C7" s="205"/>
      <c r="D7" s="205"/>
      <c r="O7" s="360" t="s">
        <v>10</v>
      </c>
      <c r="P7" s="346"/>
      <c r="R7" s="346"/>
      <c r="S7" s="346"/>
      <c r="T7" s="346"/>
      <c r="U7" s="346"/>
      <c r="V7" s="346"/>
      <c r="W7" s="346"/>
      <c r="X7" s="346"/>
      <c r="Y7" s="346"/>
      <c r="Z7" s="346"/>
      <c r="AA7" s="346"/>
    </row>
    <row r="8" spans="1:27" ht="18" customHeight="1" x14ac:dyDescent="0.2">
      <c r="B8" s="360" t="s">
        <v>1287</v>
      </c>
      <c r="C8" s="205"/>
      <c r="D8" s="205"/>
      <c r="O8" s="358"/>
      <c r="P8" s="59"/>
      <c r="R8" s="60"/>
    </row>
    <row r="9" spans="1:27" ht="18" customHeight="1" x14ac:dyDescent="0.15">
      <c r="B9" s="360" t="s">
        <v>5</v>
      </c>
      <c r="C9" s="205"/>
      <c r="D9" s="205"/>
      <c r="O9" s="357" t="s">
        <v>1268</v>
      </c>
      <c r="P9" s="346"/>
      <c r="R9" s="346"/>
      <c r="S9" s="346"/>
      <c r="T9" s="346"/>
      <c r="U9" s="346"/>
      <c r="V9" s="346"/>
      <c r="W9" s="346"/>
      <c r="X9" s="346"/>
      <c r="Y9" s="346"/>
      <c r="Z9" s="346"/>
      <c r="AA9" s="346"/>
    </row>
    <row r="10" spans="1:27" ht="17.25" customHeight="1" x14ac:dyDescent="0.2">
      <c r="B10" s="360" t="s">
        <v>6</v>
      </c>
      <c r="C10" s="205"/>
      <c r="D10" s="205"/>
      <c r="O10" s="360" t="s">
        <v>1271</v>
      </c>
      <c r="P10" s="59"/>
      <c r="Q10" s="349"/>
      <c r="R10" s="59"/>
      <c r="S10" s="60"/>
    </row>
    <row r="11" spans="1:27" ht="18" customHeight="1" x14ac:dyDescent="0.2">
      <c r="B11" s="360" t="s">
        <v>8</v>
      </c>
      <c r="O11" s="360" t="s">
        <v>4</v>
      </c>
      <c r="P11" s="210"/>
      <c r="Q11" s="350"/>
      <c r="R11" s="210"/>
      <c r="S11" s="210"/>
    </row>
    <row r="12" spans="1:27" ht="19.5" customHeight="1" x14ac:dyDescent="0.2">
      <c r="B12" s="360" t="s">
        <v>11</v>
      </c>
      <c r="O12" s="360" t="s">
        <v>7</v>
      </c>
      <c r="P12" s="209"/>
      <c r="Q12" s="351"/>
      <c r="R12" s="209"/>
      <c r="S12" s="209"/>
    </row>
    <row r="13" spans="1:27" ht="18" x14ac:dyDescent="0.2">
      <c r="B13" s="360" t="s">
        <v>12</v>
      </c>
      <c r="O13" s="360" t="s">
        <v>1270</v>
      </c>
      <c r="P13" s="210"/>
      <c r="Q13" s="350"/>
      <c r="R13" s="210"/>
      <c r="S13" s="210"/>
    </row>
    <row r="14" spans="1:27" ht="18" x14ac:dyDescent="0.2">
      <c r="B14" s="360" t="s">
        <v>13</v>
      </c>
      <c r="O14" s="358"/>
      <c r="P14" s="210"/>
      <c r="Q14" s="210"/>
      <c r="R14" s="210"/>
      <c r="S14" s="210"/>
      <c r="T14" s="210"/>
    </row>
    <row r="15" spans="1:27" ht="20" x14ac:dyDescent="0.2">
      <c r="B15" s="360" t="s">
        <v>14</v>
      </c>
      <c r="O15" s="357" t="s">
        <v>1269</v>
      </c>
      <c r="P15" s="210"/>
      <c r="Q15" s="210"/>
      <c r="R15" s="210"/>
      <c r="S15" s="210"/>
    </row>
    <row r="16" spans="1:27" ht="18" x14ac:dyDescent="0.2">
      <c r="B16" s="360" t="s">
        <v>15</v>
      </c>
      <c r="O16" s="360" t="s">
        <v>1</v>
      </c>
      <c r="P16" s="210"/>
      <c r="Q16" s="350"/>
      <c r="R16" s="210"/>
      <c r="S16" s="210"/>
    </row>
    <row r="17" spans="2:19" ht="18" x14ac:dyDescent="0.2">
      <c r="B17" s="360" t="s">
        <v>16</v>
      </c>
      <c r="O17" s="360" t="s">
        <v>2</v>
      </c>
      <c r="P17" s="210"/>
      <c r="Q17" s="350"/>
      <c r="R17" s="210"/>
      <c r="S17" s="210"/>
    </row>
    <row r="18" spans="2:19" ht="18" x14ac:dyDescent="0.2">
      <c r="B18" s="360" t="s">
        <v>1258</v>
      </c>
      <c r="P18" s="210"/>
      <c r="Q18" s="350"/>
      <c r="R18" s="210"/>
      <c r="S18" s="210"/>
    </row>
    <row r="19" spans="2:19" ht="18" x14ac:dyDescent="0.2">
      <c r="O19" s="344"/>
      <c r="P19" s="210"/>
      <c r="Q19" s="350"/>
      <c r="R19" s="210"/>
      <c r="S19" s="210"/>
    </row>
    <row r="20" spans="2:19" ht="18" x14ac:dyDescent="0.2">
      <c r="O20" s="60"/>
      <c r="P20" s="210"/>
      <c r="Q20" s="350"/>
      <c r="R20" s="210"/>
      <c r="S20" s="210"/>
    </row>
    <row r="21" spans="2:19" x14ac:dyDescent="0.15">
      <c r="O21" s="343"/>
    </row>
    <row r="22" spans="2:19" ht="18" x14ac:dyDescent="0.2">
      <c r="B22" s="391"/>
      <c r="O22" s="60"/>
      <c r="P22" s="344"/>
      <c r="Q22" s="352"/>
      <c r="R22" s="344"/>
      <c r="S22" s="344"/>
    </row>
    <row r="23" spans="2:19" ht="18" x14ac:dyDescent="0.2">
      <c r="O23" s="209"/>
      <c r="P23" s="60"/>
      <c r="Q23" s="353"/>
      <c r="R23" s="60"/>
      <c r="S23" s="60"/>
    </row>
    <row r="24" spans="2:19" ht="18" x14ac:dyDescent="0.2">
      <c r="O24" s="60"/>
      <c r="P24" s="343"/>
      <c r="Q24" s="354"/>
      <c r="R24" s="343"/>
      <c r="S24" s="343"/>
    </row>
    <row r="25" spans="2:19" ht="18" x14ac:dyDescent="0.2">
      <c r="P25" s="60"/>
      <c r="Q25" s="353"/>
      <c r="R25" s="60"/>
      <c r="S25" s="60"/>
    </row>
    <row r="26" spans="2:19" ht="18" x14ac:dyDescent="0.2">
      <c r="P26" s="209"/>
      <c r="Q26" s="351"/>
      <c r="R26" s="209"/>
      <c r="S26" s="209"/>
    </row>
    <row r="27" spans="2:19" ht="18" x14ac:dyDescent="0.2">
      <c r="P27" s="60"/>
      <c r="Q27" s="353"/>
      <c r="R27" s="60"/>
      <c r="S27" s="60"/>
    </row>
    <row r="33" spans="2:10" x14ac:dyDescent="0.15">
      <c r="J33" s="7"/>
    </row>
    <row r="41" spans="2:10" x14ac:dyDescent="0.15">
      <c r="C41" s="53"/>
    </row>
    <row r="46" spans="2:10" x14ac:dyDescent="0.15">
      <c r="B46" s="53"/>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B0620-E243-4E99-B58F-3B2F33EEDDA7}">
  <dimension ref="A1:B21"/>
  <sheetViews>
    <sheetView showGridLines="0" workbookViewId="0">
      <selection sqref="A1:B1"/>
    </sheetView>
  </sheetViews>
  <sheetFormatPr baseColWidth="10" defaultColWidth="9.1640625" defaultRowHeight="15" x14ac:dyDescent="0.2"/>
  <cols>
    <col min="1" max="1" width="92.1640625" style="401" customWidth="1"/>
    <col min="2" max="2" width="76" style="401" customWidth="1"/>
    <col min="3" max="16384" width="9.1640625" style="401"/>
  </cols>
  <sheetData>
    <row r="1" spans="1:2" x14ac:dyDescent="0.2">
      <c r="A1" s="429" t="s">
        <v>1348</v>
      </c>
      <c r="B1" s="429"/>
    </row>
    <row r="2" spans="1:2" x14ac:dyDescent="0.2">
      <c r="A2" s="429" t="s">
        <v>1349</v>
      </c>
      <c r="B2" s="429"/>
    </row>
    <row r="3" spans="1:2" x14ac:dyDescent="0.2">
      <c r="A3" s="407"/>
    </row>
    <row r="4" spans="1:2" x14ac:dyDescent="0.2">
      <c r="A4" s="430" t="s">
        <v>1369</v>
      </c>
      <c r="B4" s="430"/>
    </row>
    <row r="5" spans="1:2" x14ac:dyDescent="0.2">
      <c r="A5" s="430"/>
      <c r="B5" s="430"/>
    </row>
    <row r="6" spans="1:2" ht="24" customHeight="1" x14ac:dyDescent="0.2">
      <c r="A6" s="430" t="s">
        <v>1368</v>
      </c>
      <c r="B6" s="430"/>
    </row>
    <row r="7" spans="1:2" x14ac:dyDescent="0.2">
      <c r="A7" s="407"/>
    </row>
    <row r="8" spans="1:2" x14ac:dyDescent="0.2">
      <c r="A8" s="410" t="s">
        <v>1350</v>
      </c>
      <c r="B8" s="411" t="s">
        <v>1351</v>
      </c>
    </row>
    <row r="9" spans="1:2" ht="32" x14ac:dyDescent="0.2">
      <c r="A9" s="405" t="s">
        <v>1352</v>
      </c>
      <c r="B9" s="403" t="s">
        <v>1361</v>
      </c>
    </row>
    <row r="10" spans="1:2" ht="16" x14ac:dyDescent="0.2">
      <c r="A10" s="402" t="s">
        <v>1353</v>
      </c>
      <c r="B10" s="403" t="s">
        <v>1354</v>
      </c>
    </row>
    <row r="11" spans="1:2" ht="16" x14ac:dyDescent="0.2">
      <c r="A11" s="402" t="s">
        <v>1355</v>
      </c>
      <c r="B11" s="403" t="s">
        <v>1354</v>
      </c>
    </row>
    <row r="12" spans="1:2" ht="45" customHeight="1" x14ac:dyDescent="0.2">
      <c r="A12" s="405" t="s">
        <v>1356</v>
      </c>
      <c r="B12" s="406" t="s">
        <v>1357</v>
      </c>
    </row>
    <row r="13" spans="1:2" ht="53.25" customHeight="1" x14ac:dyDescent="0.2">
      <c r="A13" s="405" t="s">
        <v>1358</v>
      </c>
      <c r="B13" s="409" t="s">
        <v>1367</v>
      </c>
    </row>
    <row r="14" spans="1:2" ht="16" x14ac:dyDescent="0.2">
      <c r="A14" s="406" t="s">
        <v>1359</v>
      </c>
      <c r="B14" s="402"/>
    </row>
    <row r="15" spans="1:2" ht="32" x14ac:dyDescent="0.2">
      <c r="A15" s="403" t="s">
        <v>1360</v>
      </c>
      <c r="B15" s="404" t="s">
        <v>1366</v>
      </c>
    </row>
    <row r="16" spans="1:2" ht="16" x14ac:dyDescent="0.2">
      <c r="A16" s="404" t="s">
        <v>1364</v>
      </c>
      <c r="B16" s="408" t="s">
        <v>1365</v>
      </c>
    </row>
    <row r="19" spans="1:1" x14ac:dyDescent="0.2">
      <c r="A19" s="407"/>
    </row>
    <row r="20" spans="1:1" x14ac:dyDescent="0.2">
      <c r="A20" s="407"/>
    </row>
    <row r="21" spans="1:1" x14ac:dyDescent="0.2">
      <c r="A21" s="407"/>
    </row>
  </sheetData>
  <mergeCells count="4">
    <mergeCell ref="A1:B1"/>
    <mergeCell ref="A2:B2"/>
    <mergeCell ref="A4:B5"/>
    <mergeCell ref="A6:B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workbookViewId="0">
      <selection sqref="A1:Q1"/>
    </sheetView>
  </sheetViews>
  <sheetFormatPr baseColWidth="10" defaultColWidth="8.83203125" defaultRowHeight="14" x14ac:dyDescent="0.15"/>
  <sheetData>
    <row r="1" spans="1:19" ht="40.5" customHeight="1" x14ac:dyDescent="0.3">
      <c r="A1" s="431" t="s">
        <v>883</v>
      </c>
      <c r="B1" s="431"/>
      <c r="C1" s="431"/>
      <c r="D1" s="431"/>
      <c r="E1" s="431"/>
      <c r="F1" s="431"/>
      <c r="G1" s="431"/>
      <c r="H1" s="431"/>
      <c r="I1" s="431"/>
      <c r="J1" s="431"/>
      <c r="K1" s="431"/>
      <c r="L1" s="431"/>
      <c r="M1" s="431"/>
      <c r="N1" s="431"/>
      <c r="O1" s="431"/>
      <c r="P1" s="431"/>
      <c r="Q1" s="431"/>
      <c r="R1" s="277"/>
      <c r="S1" s="277"/>
    </row>
    <row r="30" spans="1:1" x14ac:dyDescent="0.15">
      <c r="A30" t="s">
        <v>1145</v>
      </c>
    </row>
  </sheetData>
  <mergeCells count="1">
    <mergeCell ref="A1:Q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6"/>
  <sheetViews>
    <sheetView showRowColHeaders="0" topLeftCell="T1" zoomScaleNormal="100" workbookViewId="0">
      <selection activeCell="Q15" sqref="Q15"/>
    </sheetView>
  </sheetViews>
  <sheetFormatPr baseColWidth="10" defaultColWidth="8.83203125" defaultRowHeight="15" x14ac:dyDescent="0.2"/>
  <cols>
    <col min="1" max="1" width="31.5" style="245" bestFit="1" customWidth="1"/>
    <col min="2" max="2" width="29.5" style="245" bestFit="1" customWidth="1"/>
    <col min="3" max="3" width="26.5" style="245" bestFit="1" customWidth="1"/>
    <col min="4" max="4" width="31.83203125" style="245" customWidth="1"/>
    <col min="5" max="5" width="51.1640625" style="245" bestFit="1" customWidth="1"/>
    <col min="6" max="6" width="45.5" style="245" bestFit="1" customWidth="1"/>
    <col min="7" max="7" width="26.5" style="245" bestFit="1" customWidth="1"/>
    <col min="8" max="8" width="34.5" style="245" bestFit="1" customWidth="1"/>
    <col min="9" max="9" width="50.83203125" style="245" bestFit="1" customWidth="1"/>
    <col min="10" max="10" width="23.1640625" style="245" bestFit="1" customWidth="1"/>
    <col min="11" max="11" width="31.5" style="245" bestFit="1" customWidth="1"/>
    <col min="12" max="12" width="53.5" style="245" customWidth="1"/>
    <col min="13" max="13" width="26.5" style="245" bestFit="1" customWidth="1"/>
    <col min="14" max="14" width="44.5" style="245" bestFit="1" customWidth="1"/>
    <col min="15" max="15" width="31.83203125" style="245" bestFit="1" customWidth="1"/>
    <col min="16" max="16" width="39.5" style="245" customWidth="1"/>
    <col min="17" max="17" width="33.5" style="245" bestFit="1" customWidth="1"/>
    <col min="18" max="18" width="55.1640625" style="245" bestFit="1" customWidth="1"/>
    <col min="19" max="19" width="46" style="247" customWidth="1"/>
    <col min="20" max="20" width="41.5" style="245" bestFit="1" customWidth="1"/>
    <col min="21" max="22" width="45.1640625" style="245" customWidth="1"/>
    <col min="23" max="23" width="46.83203125" style="245" bestFit="1" customWidth="1"/>
    <col min="24" max="24" width="41.6640625" style="245" customWidth="1"/>
    <col min="25" max="25" width="45.1640625" style="245" bestFit="1" customWidth="1"/>
    <col min="26" max="16384" width="8.83203125" style="245"/>
  </cols>
  <sheetData>
    <row r="1" spans="1:25" s="251" customFormat="1" x14ac:dyDescent="0.2">
      <c r="A1" s="248" t="s">
        <v>17</v>
      </c>
      <c r="B1" s="248" t="s">
        <v>18</v>
      </c>
      <c r="C1" s="248" t="s">
        <v>19</v>
      </c>
      <c r="D1" s="248" t="s">
        <v>20</v>
      </c>
      <c r="E1" s="248" t="s">
        <v>21</v>
      </c>
      <c r="F1" s="248" t="s">
        <v>22</v>
      </c>
      <c r="G1" s="248" t="s">
        <v>23</v>
      </c>
      <c r="H1" s="248" t="s">
        <v>24</v>
      </c>
      <c r="I1" s="248" t="s">
        <v>25</v>
      </c>
      <c r="J1" s="248" t="s">
        <v>26</v>
      </c>
      <c r="K1" s="248" t="s">
        <v>27</v>
      </c>
      <c r="L1" s="248" t="s">
        <v>28</v>
      </c>
      <c r="M1" s="249"/>
      <c r="N1" s="250" t="s">
        <v>17</v>
      </c>
      <c r="O1" s="329" t="s">
        <v>18</v>
      </c>
      <c r="P1" s="330" t="s">
        <v>19</v>
      </c>
      <c r="Q1" s="317" t="s">
        <v>20</v>
      </c>
      <c r="R1" s="330" t="s">
        <v>21</v>
      </c>
      <c r="S1" s="331" t="s">
        <v>22</v>
      </c>
      <c r="T1" s="330" t="s">
        <v>23</v>
      </c>
      <c r="U1" s="317" t="s">
        <v>24</v>
      </c>
      <c r="V1" s="317" t="s">
        <v>25</v>
      </c>
      <c r="W1" s="303" t="s">
        <v>26</v>
      </c>
      <c r="X1" s="249" t="s">
        <v>27</v>
      </c>
      <c r="Y1" s="317" t="s">
        <v>28</v>
      </c>
    </row>
    <row r="2" spans="1:25" x14ac:dyDescent="0.2">
      <c r="A2" s="245" t="s">
        <v>29</v>
      </c>
      <c r="B2" s="245" t="s">
        <v>30</v>
      </c>
      <c r="C2" s="245" t="s">
        <v>31</v>
      </c>
      <c r="D2" s="245" t="s">
        <v>32</v>
      </c>
      <c r="E2" s="414" t="s">
        <v>1290</v>
      </c>
      <c r="F2" s="245" t="s">
        <v>34</v>
      </c>
      <c r="G2" s="245" t="s">
        <v>35</v>
      </c>
      <c r="H2" s="245" t="s">
        <v>36</v>
      </c>
      <c r="I2" s="245" t="s">
        <v>37</v>
      </c>
      <c r="J2" s="245" t="s">
        <v>38</v>
      </c>
      <c r="K2" s="245" t="s">
        <v>39</v>
      </c>
      <c r="L2" s="245" t="s">
        <v>62</v>
      </c>
      <c r="N2" s="336" t="s">
        <v>41</v>
      </c>
      <c r="O2" s="337" t="s">
        <v>42</v>
      </c>
      <c r="P2" s="336" t="s">
        <v>43</v>
      </c>
      <c r="Q2" s="337" t="s">
        <v>66</v>
      </c>
      <c r="R2" s="336" t="s">
        <v>45</v>
      </c>
      <c r="S2" s="421" t="s">
        <v>1378</v>
      </c>
      <c r="T2" s="336" t="s">
        <v>47</v>
      </c>
      <c r="U2" s="342" t="s">
        <v>1148</v>
      </c>
      <c r="V2" s="340" t="s">
        <v>1230</v>
      </c>
      <c r="W2" s="336" t="s">
        <v>48</v>
      </c>
      <c r="X2" s="336" t="s">
        <v>49</v>
      </c>
      <c r="Y2" s="337" t="s">
        <v>50</v>
      </c>
    </row>
    <row r="3" spans="1:25" x14ac:dyDescent="0.2">
      <c r="A3" s="245" t="s">
        <v>51</v>
      </c>
      <c r="B3" s="245" t="s">
        <v>52</v>
      </c>
      <c r="C3" s="245" t="s">
        <v>53</v>
      </c>
      <c r="D3" s="245" t="s">
        <v>54</v>
      </c>
      <c r="E3" s="245" t="s">
        <v>33</v>
      </c>
      <c r="F3" s="245" t="s">
        <v>56</v>
      </c>
      <c r="G3" s="245" t="s">
        <v>57</v>
      </c>
      <c r="H3" s="245" t="s">
        <v>58</v>
      </c>
      <c r="I3" s="245" t="s">
        <v>59</v>
      </c>
      <c r="J3" s="245" t="s">
        <v>60</v>
      </c>
      <c r="K3" s="245" t="s">
        <v>61</v>
      </c>
      <c r="L3" s="245" t="s">
        <v>83</v>
      </c>
      <c r="N3" s="336" t="s">
        <v>63</v>
      </c>
      <c r="O3" s="337" t="s">
        <v>64</v>
      </c>
      <c r="P3" s="336" t="s">
        <v>65</v>
      </c>
      <c r="Q3" s="337" t="s">
        <v>87</v>
      </c>
      <c r="R3" s="336" t="s">
        <v>1377</v>
      </c>
      <c r="S3" s="339" t="s">
        <v>46</v>
      </c>
      <c r="T3" s="336" t="s">
        <v>69</v>
      </c>
      <c r="U3" s="342" t="s">
        <v>1149</v>
      </c>
      <c r="V3" s="340" t="s">
        <v>1231</v>
      </c>
      <c r="W3" s="336" t="s">
        <v>90</v>
      </c>
      <c r="X3" s="336" t="s">
        <v>264</v>
      </c>
      <c r="Y3" s="337" t="s">
        <v>71</v>
      </c>
    </row>
    <row r="4" spans="1:25" x14ac:dyDescent="0.2">
      <c r="A4" s="245" t="s">
        <v>72</v>
      </c>
      <c r="B4" s="245" t="s">
        <v>73</v>
      </c>
      <c r="C4" s="245" t="s">
        <v>74</v>
      </c>
      <c r="D4" s="245" t="s">
        <v>75</v>
      </c>
      <c r="E4" s="245" t="s">
        <v>55</v>
      </c>
      <c r="F4" s="245" t="s">
        <v>77</v>
      </c>
      <c r="G4" s="245" t="s">
        <v>78</v>
      </c>
      <c r="H4" s="245" t="s">
        <v>79</v>
      </c>
      <c r="I4" s="245" t="s">
        <v>80</v>
      </c>
      <c r="J4" s="245" t="s">
        <v>81</v>
      </c>
      <c r="K4" s="245" t="s">
        <v>82</v>
      </c>
      <c r="L4" s="245" t="s">
        <v>104</v>
      </c>
      <c r="N4" s="336" t="s">
        <v>84</v>
      </c>
      <c r="O4" s="337" t="s">
        <v>85</v>
      </c>
      <c r="P4" s="336" t="s">
        <v>86</v>
      </c>
      <c r="Q4" s="337" t="s">
        <v>108</v>
      </c>
      <c r="R4" s="336" t="s">
        <v>67</v>
      </c>
      <c r="S4" s="339" t="s">
        <v>68</v>
      </c>
      <c r="T4" s="419" t="s">
        <v>1380</v>
      </c>
      <c r="U4" s="342" t="s">
        <v>1150</v>
      </c>
      <c r="V4" s="340" t="s">
        <v>1232</v>
      </c>
      <c r="W4" s="336" t="s">
        <v>112</v>
      </c>
      <c r="X4" s="336" t="s">
        <v>277</v>
      </c>
      <c r="Y4" s="337" t="s">
        <v>92</v>
      </c>
    </row>
    <row r="5" spans="1:25" x14ac:dyDescent="0.2">
      <c r="A5" s="245" t="s">
        <v>93</v>
      </c>
      <c r="B5" s="245" t="s">
        <v>94</v>
      </c>
      <c r="C5" s="245" t="s">
        <v>95</v>
      </c>
      <c r="D5" s="245" t="s">
        <v>96</v>
      </c>
      <c r="E5" s="245" t="s">
        <v>76</v>
      </c>
      <c r="F5" s="245" t="s">
        <v>98</v>
      </c>
      <c r="G5" s="245" t="s">
        <v>99</v>
      </c>
      <c r="H5" s="245" t="s">
        <v>100</v>
      </c>
      <c r="I5" s="245" t="s">
        <v>101</v>
      </c>
      <c r="J5" s="245" t="s">
        <v>102</v>
      </c>
      <c r="K5" s="245" t="s">
        <v>103</v>
      </c>
      <c r="L5" s="245" t="s">
        <v>126</v>
      </c>
      <c r="N5" s="336" t="s">
        <v>105</v>
      </c>
      <c r="O5" s="337" t="s">
        <v>106</v>
      </c>
      <c r="P5" s="336" t="s">
        <v>107</v>
      </c>
      <c r="Q5" s="337" t="s">
        <v>130</v>
      </c>
      <c r="R5" s="336" t="s">
        <v>88</v>
      </c>
      <c r="S5" s="337" t="s">
        <v>89</v>
      </c>
      <c r="T5" s="336" t="s">
        <v>111</v>
      </c>
      <c r="U5" s="342" t="s">
        <v>1151</v>
      </c>
      <c r="V5" s="340" t="s">
        <v>1233</v>
      </c>
      <c r="W5" s="336" t="s">
        <v>133</v>
      </c>
      <c r="X5" s="336" t="s">
        <v>70</v>
      </c>
      <c r="Y5" s="337" t="s">
        <v>1288</v>
      </c>
    </row>
    <row r="6" spans="1:25" x14ac:dyDescent="0.2">
      <c r="A6" s="245" t="s">
        <v>115</v>
      </c>
      <c r="B6" s="245" t="s">
        <v>116</v>
      </c>
      <c r="C6" s="245" t="s">
        <v>117</v>
      </c>
      <c r="D6" s="245" t="s">
        <v>118</v>
      </c>
      <c r="E6" s="245" t="s">
        <v>97</v>
      </c>
      <c r="F6" s="245" t="s">
        <v>120</v>
      </c>
      <c r="G6" s="245" t="s">
        <v>121</v>
      </c>
      <c r="H6" s="245" t="s">
        <v>122</v>
      </c>
      <c r="I6" s="245" t="s">
        <v>123</v>
      </c>
      <c r="J6" s="245" t="s">
        <v>124</v>
      </c>
      <c r="K6" s="245" t="s">
        <v>125</v>
      </c>
      <c r="L6" s="245" t="s">
        <v>147</v>
      </c>
      <c r="N6" s="336" t="s">
        <v>127</v>
      </c>
      <c r="O6" s="337" t="s">
        <v>128</v>
      </c>
      <c r="P6" s="336" t="s">
        <v>129</v>
      </c>
      <c r="Q6" s="337" t="s">
        <v>151</v>
      </c>
      <c r="R6" s="336" t="s">
        <v>109</v>
      </c>
      <c r="S6" s="337" t="s">
        <v>110</v>
      </c>
      <c r="T6" s="336" t="s">
        <v>132</v>
      </c>
      <c r="U6" s="342" t="s">
        <v>1152</v>
      </c>
      <c r="V6" s="340" t="s">
        <v>1234</v>
      </c>
      <c r="W6" s="336" t="s">
        <v>154</v>
      </c>
      <c r="X6" s="336" t="s">
        <v>91</v>
      </c>
      <c r="Y6" s="337" t="s">
        <v>114</v>
      </c>
    </row>
    <row r="7" spans="1:25" ht="16" x14ac:dyDescent="0.2">
      <c r="A7" s="245" t="s">
        <v>136</v>
      </c>
      <c r="B7" s="245" t="s">
        <v>137</v>
      </c>
      <c r="C7" s="245" t="s">
        <v>138</v>
      </c>
      <c r="D7" s="245" t="s">
        <v>139</v>
      </c>
      <c r="E7" s="245" t="s">
        <v>119</v>
      </c>
      <c r="F7" s="245" t="s">
        <v>141</v>
      </c>
      <c r="G7" s="245" t="s">
        <v>142</v>
      </c>
      <c r="H7" s="245" t="s">
        <v>143</v>
      </c>
      <c r="I7" s="245" t="s">
        <v>144</v>
      </c>
      <c r="J7" s="245" t="s">
        <v>145</v>
      </c>
      <c r="K7" s="245" t="s">
        <v>146</v>
      </c>
      <c r="L7" s="245" t="s">
        <v>168</v>
      </c>
      <c r="N7" s="336" t="s">
        <v>148</v>
      </c>
      <c r="O7" s="337" t="s">
        <v>149</v>
      </c>
      <c r="P7" s="336" t="s">
        <v>150</v>
      </c>
      <c r="Q7" s="337" t="s">
        <v>171</v>
      </c>
      <c r="R7" s="336" t="s">
        <v>131</v>
      </c>
      <c r="S7" s="415" t="s">
        <v>1331</v>
      </c>
      <c r="T7" s="336" t="s">
        <v>153</v>
      </c>
      <c r="U7" s="342" t="s">
        <v>1153</v>
      </c>
      <c r="V7" s="340" t="s">
        <v>1235</v>
      </c>
      <c r="W7" s="336" t="s">
        <v>174</v>
      </c>
      <c r="X7" s="336" t="s">
        <v>113</v>
      </c>
      <c r="Y7" s="337" t="s">
        <v>135</v>
      </c>
    </row>
    <row r="8" spans="1:25" x14ac:dyDescent="0.2">
      <c r="A8" s="245" t="s">
        <v>157</v>
      </c>
      <c r="B8" s="245" t="s">
        <v>158</v>
      </c>
      <c r="C8" s="245" t="s">
        <v>159</v>
      </c>
      <c r="D8" s="245" t="s">
        <v>160</v>
      </c>
      <c r="E8" s="245" t="s">
        <v>140</v>
      </c>
      <c r="F8" s="245" t="s">
        <v>162</v>
      </c>
      <c r="G8" s="245" t="s">
        <v>163</v>
      </c>
      <c r="H8" s="245" t="s">
        <v>164</v>
      </c>
      <c r="I8" s="245" t="s">
        <v>165</v>
      </c>
      <c r="J8" s="245" t="s">
        <v>166</v>
      </c>
      <c r="K8" s="245" t="s">
        <v>167</v>
      </c>
      <c r="L8" s="245" t="s">
        <v>187</v>
      </c>
      <c r="N8" s="336" t="s">
        <v>169</v>
      </c>
      <c r="O8" s="337" t="s">
        <v>188</v>
      </c>
      <c r="P8" s="336" t="s">
        <v>170</v>
      </c>
      <c r="Q8" s="337" t="s">
        <v>190</v>
      </c>
      <c r="R8" s="336" t="s">
        <v>152</v>
      </c>
      <c r="S8" s="337" t="s">
        <v>1218</v>
      </c>
      <c r="T8" s="336" t="s">
        <v>173</v>
      </c>
      <c r="U8" s="342" t="s">
        <v>1154</v>
      </c>
      <c r="V8" s="337" t="s">
        <v>1228</v>
      </c>
      <c r="W8" s="336" t="s">
        <v>194</v>
      </c>
      <c r="X8" s="336" t="s">
        <v>134</v>
      </c>
      <c r="Y8" s="337" t="s">
        <v>156</v>
      </c>
    </row>
    <row r="9" spans="1:25" x14ac:dyDescent="0.2">
      <c r="A9" s="245" t="s">
        <v>177</v>
      </c>
      <c r="B9" s="245" t="s">
        <v>178</v>
      </c>
      <c r="C9" s="245" t="s">
        <v>179</v>
      </c>
      <c r="E9" s="245" t="s">
        <v>161</v>
      </c>
      <c r="F9" s="245" t="s">
        <v>181</v>
      </c>
      <c r="G9" s="245" t="s">
        <v>182</v>
      </c>
      <c r="H9" s="245" t="s">
        <v>183</v>
      </c>
      <c r="I9" s="245" t="s">
        <v>184</v>
      </c>
      <c r="J9" s="245" t="s">
        <v>185</v>
      </c>
      <c r="K9" s="245" t="s">
        <v>186</v>
      </c>
      <c r="L9" s="245" t="s">
        <v>205</v>
      </c>
      <c r="N9" s="419" t="s">
        <v>1397</v>
      </c>
      <c r="O9" s="337" t="s">
        <v>206</v>
      </c>
      <c r="P9" s="336" t="s">
        <v>189</v>
      </c>
      <c r="Q9" s="337" t="s">
        <v>208</v>
      </c>
      <c r="R9" s="336" t="s">
        <v>172</v>
      </c>
      <c r="S9" s="337" t="s">
        <v>1219</v>
      </c>
      <c r="T9" s="336" t="s">
        <v>192</v>
      </c>
      <c r="U9" s="342" t="s">
        <v>1214</v>
      </c>
      <c r="V9" s="337" t="s">
        <v>1229</v>
      </c>
      <c r="W9" s="336" t="s">
        <v>212</v>
      </c>
      <c r="X9" s="336" t="s">
        <v>155</v>
      </c>
      <c r="Y9" s="337" t="s">
        <v>176</v>
      </c>
    </row>
    <row r="10" spans="1:25" x14ac:dyDescent="0.2">
      <c r="B10" s="245" t="s">
        <v>197</v>
      </c>
      <c r="C10" s="245" t="s">
        <v>198</v>
      </c>
      <c r="E10" s="245" t="s">
        <v>180</v>
      </c>
      <c r="F10" s="245" t="s">
        <v>200</v>
      </c>
      <c r="G10" s="245" t="s">
        <v>201</v>
      </c>
      <c r="H10" s="245" t="s">
        <v>202</v>
      </c>
      <c r="I10" s="245" t="s">
        <v>203</v>
      </c>
      <c r="K10" s="245" t="s">
        <v>221</v>
      </c>
      <c r="L10" s="245" t="s">
        <v>222</v>
      </c>
      <c r="N10" s="336" t="s">
        <v>223</v>
      </c>
      <c r="O10" s="337" t="s">
        <v>224</v>
      </c>
      <c r="P10" s="336" t="s">
        <v>207</v>
      </c>
      <c r="Q10" s="337" t="s">
        <v>225</v>
      </c>
      <c r="R10" s="336" t="s">
        <v>191</v>
      </c>
      <c r="S10" s="337" t="s">
        <v>227</v>
      </c>
      <c r="T10" s="336" t="s">
        <v>210</v>
      </c>
      <c r="U10" s="342" t="s">
        <v>1215</v>
      </c>
      <c r="V10" s="337" t="s">
        <v>1236</v>
      </c>
      <c r="W10" s="336" t="s">
        <v>230</v>
      </c>
      <c r="X10" s="336" t="s">
        <v>175</v>
      </c>
      <c r="Y10" s="337" t="s">
        <v>196</v>
      </c>
    </row>
    <row r="11" spans="1:25" x14ac:dyDescent="0.2">
      <c r="B11" s="245" t="s">
        <v>215</v>
      </c>
      <c r="C11" s="245" t="s">
        <v>216</v>
      </c>
      <c r="E11" s="245" t="s">
        <v>199</v>
      </c>
      <c r="F11" s="245" t="s">
        <v>218</v>
      </c>
      <c r="G11" s="245" t="s">
        <v>219</v>
      </c>
      <c r="I11" s="245" t="s">
        <v>220</v>
      </c>
      <c r="K11" s="245" t="s">
        <v>238</v>
      </c>
      <c r="L11" s="245" t="s">
        <v>239</v>
      </c>
      <c r="N11" s="419" t="s">
        <v>240</v>
      </c>
      <c r="O11" s="337" t="s">
        <v>255</v>
      </c>
      <c r="P11" s="336" t="s">
        <v>241</v>
      </c>
      <c r="Q11" s="337" t="s">
        <v>257</v>
      </c>
      <c r="R11" s="336" t="s">
        <v>209</v>
      </c>
      <c r="S11" s="337" t="s">
        <v>1220</v>
      </c>
      <c r="T11" s="336" t="s">
        <v>228</v>
      </c>
      <c r="U11" s="337" t="s">
        <v>193</v>
      </c>
      <c r="V11" s="337" t="s">
        <v>1237</v>
      </c>
      <c r="W11" s="336" t="s">
        <v>245</v>
      </c>
      <c r="X11" s="336" t="s">
        <v>195</v>
      </c>
      <c r="Y11" s="397" t="s">
        <v>1328</v>
      </c>
    </row>
    <row r="12" spans="1:25" x14ac:dyDescent="0.2">
      <c r="B12" s="245" t="s">
        <v>232</v>
      </c>
      <c r="C12" s="245" t="s">
        <v>233</v>
      </c>
      <c r="E12" s="245" t="s">
        <v>217</v>
      </c>
      <c r="F12" s="245" t="s">
        <v>235</v>
      </c>
      <c r="G12" s="245" t="s">
        <v>236</v>
      </c>
      <c r="I12" s="245" t="s">
        <v>237</v>
      </c>
      <c r="K12" s="245" t="s">
        <v>252</v>
      </c>
      <c r="L12" s="245" t="s">
        <v>253</v>
      </c>
      <c r="N12" s="336" t="s">
        <v>254</v>
      </c>
      <c r="O12" s="337" t="s">
        <v>267</v>
      </c>
      <c r="P12" s="336" t="s">
        <v>256</v>
      </c>
      <c r="Q12" s="337" t="s">
        <v>269</v>
      </c>
      <c r="R12" s="419" t="s">
        <v>1379</v>
      </c>
      <c r="S12" s="337" t="s">
        <v>1306</v>
      </c>
      <c r="T12" s="336" t="s">
        <v>243</v>
      </c>
      <c r="U12" s="337" t="s">
        <v>211</v>
      </c>
      <c r="V12" s="337" t="s">
        <v>1238</v>
      </c>
      <c r="W12" s="336" t="s">
        <v>261</v>
      </c>
      <c r="X12" s="336" t="s">
        <v>213</v>
      </c>
      <c r="Y12" s="337" t="s">
        <v>214</v>
      </c>
    </row>
    <row r="13" spans="1:25" x14ac:dyDescent="0.2">
      <c r="B13" s="245" t="s">
        <v>247</v>
      </c>
      <c r="C13" s="245" t="s">
        <v>248</v>
      </c>
      <c r="E13" s="245" t="s">
        <v>234</v>
      </c>
      <c r="G13" s="245" t="s">
        <v>250</v>
      </c>
      <c r="I13" s="245" t="s">
        <v>251</v>
      </c>
      <c r="K13" s="245" t="s">
        <v>264</v>
      </c>
      <c r="L13" s="245" t="s">
        <v>265</v>
      </c>
      <c r="N13" s="336" t="s">
        <v>266</v>
      </c>
      <c r="O13" s="337" t="s">
        <v>280</v>
      </c>
      <c r="P13" s="336" t="s">
        <v>268</v>
      </c>
      <c r="Q13" s="337" t="s">
        <v>282</v>
      </c>
      <c r="R13" s="336" t="s">
        <v>226</v>
      </c>
      <c r="S13" s="337" t="s">
        <v>284</v>
      </c>
      <c r="T13" s="336" t="s">
        <v>259</v>
      </c>
      <c r="U13" s="337" t="s">
        <v>229</v>
      </c>
      <c r="V13" s="337" t="s">
        <v>1239</v>
      </c>
      <c r="W13" s="336" t="s">
        <v>273</v>
      </c>
      <c r="X13" s="336" t="s">
        <v>246</v>
      </c>
      <c r="Y13" s="337" t="s">
        <v>231</v>
      </c>
    </row>
    <row r="14" spans="1:25" x14ac:dyDescent="0.2">
      <c r="E14" s="245" t="s">
        <v>249</v>
      </c>
      <c r="G14" s="245" t="s">
        <v>263</v>
      </c>
      <c r="K14" s="245" t="s">
        <v>277</v>
      </c>
      <c r="L14" s="245" t="s">
        <v>278</v>
      </c>
      <c r="N14" s="336" t="s">
        <v>279</v>
      </c>
      <c r="O14" s="337" t="s">
        <v>305</v>
      </c>
      <c r="P14" s="336" t="s">
        <v>281</v>
      </c>
      <c r="Q14" s="337" t="s">
        <v>307</v>
      </c>
      <c r="R14" s="336" t="s">
        <v>242</v>
      </c>
      <c r="S14" s="337" t="s">
        <v>1307</v>
      </c>
      <c r="T14" s="336" t="s">
        <v>271</v>
      </c>
      <c r="U14" s="337" t="s">
        <v>244</v>
      </c>
      <c r="V14" s="337" t="s">
        <v>1240</v>
      </c>
      <c r="W14" s="336" t="s">
        <v>288</v>
      </c>
      <c r="X14" s="336" t="s">
        <v>103</v>
      </c>
      <c r="Y14" s="417" t="s">
        <v>1374</v>
      </c>
    </row>
    <row r="15" spans="1:25" ht="16" x14ac:dyDescent="0.2">
      <c r="E15" s="245" t="s">
        <v>262</v>
      </c>
      <c r="G15" s="245" t="s">
        <v>276</v>
      </c>
      <c r="K15" s="414" t="s">
        <v>1262</v>
      </c>
      <c r="L15" s="245" t="s">
        <v>292</v>
      </c>
      <c r="N15" s="336" t="s">
        <v>293</v>
      </c>
      <c r="O15" s="337" t="s">
        <v>318</v>
      </c>
      <c r="P15" s="336" t="s">
        <v>294</v>
      </c>
      <c r="Q15" s="337" t="s">
        <v>320</v>
      </c>
      <c r="R15" s="336" t="s">
        <v>258</v>
      </c>
      <c r="S15" s="415" t="s">
        <v>1332</v>
      </c>
      <c r="T15" s="336" t="s">
        <v>285</v>
      </c>
      <c r="U15" s="337" t="s">
        <v>260</v>
      </c>
      <c r="V15" s="337" t="s">
        <v>1241</v>
      </c>
      <c r="W15" s="336" t="s">
        <v>299</v>
      </c>
      <c r="X15" s="336" t="s">
        <v>274</v>
      </c>
      <c r="Y15" s="417" t="s">
        <v>1371</v>
      </c>
    </row>
    <row r="16" spans="1:25" x14ac:dyDescent="0.2">
      <c r="E16" s="245" t="s">
        <v>275</v>
      </c>
      <c r="G16" s="245" t="s">
        <v>291</v>
      </c>
      <c r="L16" s="245" t="s">
        <v>303</v>
      </c>
      <c r="N16" s="336" t="s">
        <v>304</v>
      </c>
      <c r="O16" s="337" t="s">
        <v>330</v>
      </c>
      <c r="P16" s="336" t="s">
        <v>306</v>
      </c>
      <c r="Q16" s="337" t="s">
        <v>332</v>
      </c>
      <c r="R16" s="336" t="s">
        <v>270</v>
      </c>
      <c r="S16" s="337" t="s">
        <v>296</v>
      </c>
      <c r="T16" s="336" t="s">
        <v>297</v>
      </c>
      <c r="U16" s="337" t="s">
        <v>272</v>
      </c>
      <c r="V16" s="337" t="s">
        <v>1242</v>
      </c>
      <c r="W16" s="336" t="s">
        <v>312</v>
      </c>
      <c r="X16" s="336" t="s">
        <v>289</v>
      </c>
      <c r="Y16" s="417" t="s">
        <v>1372</v>
      </c>
    </row>
    <row r="17" spans="5:25" x14ac:dyDescent="0.2">
      <c r="E17" s="245" t="s">
        <v>290</v>
      </c>
      <c r="G17" s="245" t="s">
        <v>302</v>
      </c>
      <c r="L17" s="245" t="s">
        <v>316</v>
      </c>
      <c r="N17" s="336" t="s">
        <v>317</v>
      </c>
      <c r="O17" s="337" t="s">
        <v>342</v>
      </c>
      <c r="P17" s="336" t="s">
        <v>319</v>
      </c>
      <c r="Q17" s="337" t="s">
        <v>344</v>
      </c>
      <c r="R17" s="336" t="s">
        <v>283</v>
      </c>
      <c r="S17" s="337" t="s">
        <v>309</v>
      </c>
      <c r="T17" s="336" t="s">
        <v>310</v>
      </c>
      <c r="U17" s="337" t="s">
        <v>286</v>
      </c>
      <c r="V17" s="337" t="s">
        <v>1243</v>
      </c>
      <c r="W17" s="336" t="s">
        <v>325</v>
      </c>
      <c r="X17" s="336" t="s">
        <v>300</v>
      </c>
      <c r="Y17" s="417" t="s">
        <v>1373</v>
      </c>
    </row>
    <row r="18" spans="5:25" x14ac:dyDescent="0.2">
      <c r="E18" s="245" t="s">
        <v>301</v>
      </c>
      <c r="G18" s="245" t="s">
        <v>315</v>
      </c>
      <c r="N18" s="336" t="s">
        <v>329</v>
      </c>
      <c r="O18" s="419" t="s">
        <v>1399</v>
      </c>
      <c r="P18" s="336" t="s">
        <v>331</v>
      </c>
      <c r="Q18" s="337" t="s">
        <v>354</v>
      </c>
      <c r="R18" s="336" t="s">
        <v>295</v>
      </c>
      <c r="S18" s="337" t="s">
        <v>322</v>
      </c>
      <c r="T18" s="336" t="s">
        <v>323</v>
      </c>
      <c r="U18" s="337" t="s">
        <v>298</v>
      </c>
      <c r="V18" s="337" t="s">
        <v>1244</v>
      </c>
      <c r="W18" s="336" t="s">
        <v>337</v>
      </c>
      <c r="X18" s="336" t="s">
        <v>313</v>
      </c>
      <c r="Y18" s="337" t="s">
        <v>1298</v>
      </c>
    </row>
    <row r="19" spans="5:25" x14ac:dyDescent="0.2">
      <c r="E19" s="245" t="s">
        <v>314</v>
      </c>
      <c r="G19" s="245" t="s">
        <v>328</v>
      </c>
      <c r="N19" s="336" t="s">
        <v>341</v>
      </c>
      <c r="O19" s="337" t="s">
        <v>352</v>
      </c>
      <c r="P19" s="336" t="s">
        <v>343</v>
      </c>
      <c r="Q19" s="337" t="s">
        <v>44</v>
      </c>
      <c r="R19" s="336" t="s">
        <v>308</v>
      </c>
      <c r="S19" s="337" t="s">
        <v>334</v>
      </c>
      <c r="T19" s="336" t="s">
        <v>335</v>
      </c>
      <c r="U19" s="337" t="s">
        <v>311</v>
      </c>
      <c r="V19" s="337" t="s">
        <v>1245</v>
      </c>
      <c r="W19" s="336" t="s">
        <v>348</v>
      </c>
      <c r="X19" s="336" t="s">
        <v>1212</v>
      </c>
      <c r="Y19" s="418" t="s">
        <v>1385</v>
      </c>
    </row>
    <row r="20" spans="5:25" x14ac:dyDescent="0.2">
      <c r="E20" s="414" t="s">
        <v>1291</v>
      </c>
      <c r="G20" s="245" t="s">
        <v>340</v>
      </c>
      <c r="N20" s="336" t="s">
        <v>351</v>
      </c>
      <c r="O20" s="337" t="s">
        <v>376</v>
      </c>
      <c r="P20" s="336" t="s">
        <v>353</v>
      </c>
      <c r="Q20" s="337" t="s">
        <v>378</v>
      </c>
      <c r="R20" s="336" t="s">
        <v>321</v>
      </c>
      <c r="S20" s="337" t="s">
        <v>346</v>
      </c>
      <c r="T20" s="336" t="s">
        <v>347</v>
      </c>
      <c r="U20" s="337" t="s">
        <v>324</v>
      </c>
      <c r="V20" s="337" t="s">
        <v>1246</v>
      </c>
      <c r="W20" s="336" t="s">
        <v>358</v>
      </c>
      <c r="X20" s="336" t="s">
        <v>326</v>
      </c>
      <c r="Y20" s="418" t="s">
        <v>1386</v>
      </c>
    </row>
    <row r="21" spans="5:25" x14ac:dyDescent="0.2">
      <c r="E21" s="245" t="s">
        <v>327</v>
      </c>
      <c r="N21" s="336" t="s">
        <v>361</v>
      </c>
      <c r="O21" s="337" t="s">
        <v>384</v>
      </c>
      <c r="P21" s="336" t="s">
        <v>362</v>
      </c>
      <c r="Q21" s="337" t="s">
        <v>386</v>
      </c>
      <c r="R21" s="336" t="s">
        <v>333</v>
      </c>
      <c r="S21" s="337" t="s">
        <v>356</v>
      </c>
      <c r="T21" s="336" t="s">
        <v>357</v>
      </c>
      <c r="U21" s="337" t="s">
        <v>336</v>
      </c>
      <c r="V21" s="337" t="s">
        <v>1247</v>
      </c>
      <c r="W21" s="336" t="s">
        <v>365</v>
      </c>
      <c r="X21" s="336" t="s">
        <v>338</v>
      </c>
      <c r="Y21" s="418" t="s">
        <v>1387</v>
      </c>
    </row>
    <row r="22" spans="5:25" x14ac:dyDescent="0.2">
      <c r="E22" s="245" t="s">
        <v>339</v>
      </c>
      <c r="N22" s="336" t="s">
        <v>368</v>
      </c>
      <c r="O22" s="337" t="s">
        <v>393</v>
      </c>
      <c r="P22" s="336" t="s">
        <v>369</v>
      </c>
      <c r="Q22" s="337" t="s">
        <v>395</v>
      </c>
      <c r="R22" s="336" t="s">
        <v>345</v>
      </c>
      <c r="S22" s="337" t="s">
        <v>388</v>
      </c>
      <c r="T22" s="336" t="s">
        <v>364</v>
      </c>
      <c r="U22" s="342" t="s">
        <v>1155</v>
      </c>
      <c r="V22" s="337" t="s">
        <v>1248</v>
      </c>
      <c r="W22" s="336" t="s">
        <v>372</v>
      </c>
      <c r="X22" s="336" t="s">
        <v>349</v>
      </c>
      <c r="Y22" s="418" t="s">
        <v>1396</v>
      </c>
    </row>
    <row r="23" spans="5:25" x14ac:dyDescent="0.2">
      <c r="E23" s="245" t="s">
        <v>350</v>
      </c>
      <c r="N23" s="336" t="s">
        <v>375</v>
      </c>
      <c r="O23" s="337" t="s">
        <v>402</v>
      </c>
      <c r="P23" s="336" t="s">
        <v>1263</v>
      </c>
      <c r="Q23" s="337" t="s">
        <v>404</v>
      </c>
      <c r="R23" s="336" t="s">
        <v>355</v>
      </c>
      <c r="S23" s="337" t="s">
        <v>406</v>
      </c>
      <c r="T23" s="336" t="s">
        <v>371</v>
      </c>
      <c r="U23" s="342" t="s">
        <v>1156</v>
      </c>
      <c r="V23" s="337" t="s">
        <v>1249</v>
      </c>
      <c r="W23" s="336" t="s">
        <v>381</v>
      </c>
      <c r="X23" s="336" t="s">
        <v>359</v>
      </c>
      <c r="Y23" s="418" t="s">
        <v>1388</v>
      </c>
    </row>
    <row r="24" spans="5:25" x14ac:dyDescent="0.2">
      <c r="E24" s="245" t="s">
        <v>360</v>
      </c>
      <c r="N24" s="419" t="s">
        <v>1398</v>
      </c>
      <c r="O24" s="337" t="s">
        <v>411</v>
      </c>
      <c r="P24" s="336" t="s">
        <v>377</v>
      </c>
      <c r="Q24" s="337" t="s">
        <v>413</v>
      </c>
      <c r="R24" s="336" t="s">
        <v>363</v>
      </c>
      <c r="S24" s="337" t="s">
        <v>415</v>
      </c>
      <c r="T24" s="336" t="s">
        <v>380</v>
      </c>
      <c r="U24" s="342" t="s">
        <v>1157</v>
      </c>
      <c r="V24" s="337" t="s">
        <v>1250</v>
      </c>
      <c r="W24" s="336" t="s">
        <v>390</v>
      </c>
      <c r="X24" s="336" t="s">
        <v>366</v>
      </c>
      <c r="Y24" s="418" t="s">
        <v>1389</v>
      </c>
    </row>
    <row r="25" spans="5:25" x14ac:dyDescent="0.2">
      <c r="E25" s="245" t="s">
        <v>367</v>
      </c>
      <c r="N25" s="336" t="s">
        <v>392</v>
      </c>
      <c r="O25" s="337" t="s">
        <v>420</v>
      </c>
      <c r="P25" s="336" t="s">
        <v>385</v>
      </c>
      <c r="Q25" s="337" t="s">
        <v>422</v>
      </c>
      <c r="R25" s="336" t="s">
        <v>370</v>
      </c>
      <c r="S25" s="337" t="s">
        <v>424</v>
      </c>
      <c r="T25" s="336" t="s">
        <v>389</v>
      </c>
      <c r="U25" s="342" t="s">
        <v>1158</v>
      </c>
      <c r="V25" s="337" t="s">
        <v>1251</v>
      </c>
      <c r="W25" s="336" t="s">
        <v>399</v>
      </c>
      <c r="X25" s="336" t="s">
        <v>373</v>
      </c>
      <c r="Y25" s="418" t="s">
        <v>1390</v>
      </c>
    </row>
    <row r="26" spans="5:25" x14ac:dyDescent="0.2">
      <c r="E26" s="245" t="s">
        <v>374</v>
      </c>
      <c r="N26" s="336" t="s">
        <v>401</v>
      </c>
      <c r="O26" s="337" t="s">
        <v>429</v>
      </c>
      <c r="P26" s="336" t="s">
        <v>394</v>
      </c>
      <c r="Q26" s="337" t="s">
        <v>431</v>
      </c>
      <c r="R26" s="336" t="s">
        <v>379</v>
      </c>
      <c r="S26" s="337" t="s">
        <v>433</v>
      </c>
      <c r="T26" s="336" t="s">
        <v>397</v>
      </c>
      <c r="U26" s="342" t="s">
        <v>1159</v>
      </c>
      <c r="V26" s="337" t="s">
        <v>1252</v>
      </c>
      <c r="W26" s="336" t="s">
        <v>408</v>
      </c>
      <c r="X26" s="336" t="s">
        <v>382</v>
      </c>
      <c r="Y26" s="418" t="s">
        <v>1391</v>
      </c>
    </row>
    <row r="27" spans="5:25" x14ac:dyDescent="0.2">
      <c r="E27" s="245" t="s">
        <v>383</v>
      </c>
      <c r="N27" s="336" t="s">
        <v>410</v>
      </c>
      <c r="O27" s="337" t="s">
        <v>447</v>
      </c>
      <c r="P27" s="336" t="s">
        <v>403</v>
      </c>
      <c r="Q27" s="337" t="s">
        <v>439</v>
      </c>
      <c r="R27" s="336" t="s">
        <v>387</v>
      </c>
      <c r="S27" s="337" t="s">
        <v>441</v>
      </c>
      <c r="T27" s="336" t="s">
        <v>407</v>
      </c>
      <c r="U27" s="342" t="s">
        <v>1160</v>
      </c>
      <c r="V27" s="337" t="s">
        <v>1253</v>
      </c>
      <c r="W27" s="336" t="s">
        <v>417</v>
      </c>
      <c r="X27" s="336" t="s">
        <v>391</v>
      </c>
      <c r="Y27" s="418" t="s">
        <v>1392</v>
      </c>
    </row>
    <row r="28" spans="5:25" x14ac:dyDescent="0.2">
      <c r="N28" s="336" t="s">
        <v>419</v>
      </c>
      <c r="O28" s="337" t="s">
        <v>464</v>
      </c>
      <c r="P28" s="336" t="s">
        <v>412</v>
      </c>
      <c r="Q28" s="337" t="s">
        <v>449</v>
      </c>
      <c r="R28" s="336" t="s">
        <v>396</v>
      </c>
      <c r="S28" s="337" t="s">
        <v>451</v>
      </c>
      <c r="T28" s="336" t="s">
        <v>416</v>
      </c>
      <c r="U28" s="342" t="s">
        <v>1161</v>
      </c>
      <c r="V28" s="337" t="s">
        <v>1254</v>
      </c>
      <c r="W28" s="336" t="s">
        <v>426</v>
      </c>
      <c r="X28" s="336" t="s">
        <v>400</v>
      </c>
      <c r="Y28" s="418" t="s">
        <v>1393</v>
      </c>
    </row>
    <row r="29" spans="5:25" ht="16" x14ac:dyDescent="0.2">
      <c r="N29" s="419" t="s">
        <v>105</v>
      </c>
      <c r="O29" s="337" t="s">
        <v>473</v>
      </c>
      <c r="P29" s="422" t="s">
        <v>421</v>
      </c>
      <c r="Q29" s="337" t="s">
        <v>457</v>
      </c>
      <c r="R29" s="336" t="s">
        <v>405</v>
      </c>
      <c r="S29" s="415" t="s">
        <v>1333</v>
      </c>
      <c r="T29" s="336" t="s">
        <v>425</v>
      </c>
      <c r="U29" s="342" t="s">
        <v>1162</v>
      </c>
      <c r="V29" s="337" t="s">
        <v>1255</v>
      </c>
      <c r="W29" s="336" t="s">
        <v>435</v>
      </c>
      <c r="X29" s="336" t="s">
        <v>409</v>
      </c>
      <c r="Y29" s="418" t="s">
        <v>1394</v>
      </c>
    </row>
    <row r="30" spans="5:25" x14ac:dyDescent="0.2">
      <c r="N30" s="336" t="s">
        <v>428</v>
      </c>
      <c r="O30" s="337" t="s">
        <v>483</v>
      </c>
      <c r="P30" s="422" t="s">
        <v>430</v>
      </c>
      <c r="Q30" s="337" t="s">
        <v>466</v>
      </c>
      <c r="R30" s="336" t="s">
        <v>414</v>
      </c>
      <c r="S30" s="337" t="s">
        <v>1221</v>
      </c>
      <c r="T30" s="336" t="s">
        <v>434</v>
      </c>
      <c r="U30" s="337" t="s">
        <v>398</v>
      </c>
      <c r="V30" s="337" t="s">
        <v>1256</v>
      </c>
      <c r="W30" s="336" t="s">
        <v>444</v>
      </c>
      <c r="X30" s="336" t="s">
        <v>418</v>
      </c>
      <c r="Y30" s="418" t="s">
        <v>1395</v>
      </c>
    </row>
    <row r="31" spans="5:25" x14ac:dyDescent="0.2">
      <c r="N31" s="336" t="s">
        <v>437</v>
      </c>
      <c r="O31" s="337" t="s">
        <v>490</v>
      </c>
      <c r="P31" s="422" t="s">
        <v>438</v>
      </c>
      <c r="Q31" s="337" t="s">
        <v>475</v>
      </c>
      <c r="R31" s="336" t="s">
        <v>423</v>
      </c>
      <c r="S31" s="337" t="s">
        <v>1222</v>
      </c>
      <c r="T31" s="336" t="s">
        <v>442</v>
      </c>
      <c r="U31" s="337" t="s">
        <v>479</v>
      </c>
      <c r="V31" s="337" t="s">
        <v>287</v>
      </c>
      <c r="W31" s="336" t="s">
        <v>453</v>
      </c>
      <c r="X31" s="336" t="s">
        <v>427</v>
      </c>
      <c r="Y31" s="337" t="s">
        <v>1299</v>
      </c>
    </row>
    <row r="32" spans="5:25" x14ac:dyDescent="0.2">
      <c r="N32" s="336" t="s">
        <v>446</v>
      </c>
      <c r="O32" s="337" t="s">
        <v>500</v>
      </c>
      <c r="P32" s="336" t="s">
        <v>448</v>
      </c>
      <c r="Q32" s="419" t="s">
        <v>1194</v>
      </c>
      <c r="R32" s="336" t="s">
        <v>432</v>
      </c>
      <c r="S32" s="337" t="s">
        <v>468</v>
      </c>
      <c r="T32" s="336" t="s">
        <v>452</v>
      </c>
      <c r="U32" s="342" t="s">
        <v>1163</v>
      </c>
      <c r="V32" s="337" t="s">
        <v>443</v>
      </c>
      <c r="W32" s="336" t="s">
        <v>460</v>
      </c>
      <c r="X32" s="336" t="s">
        <v>436</v>
      </c>
      <c r="Y32" s="418" t="s">
        <v>1384</v>
      </c>
    </row>
    <row r="33" spans="14:25" ht="16" x14ac:dyDescent="0.2">
      <c r="N33" s="336" t="s">
        <v>455</v>
      </c>
      <c r="O33" s="337" t="s">
        <v>507</v>
      </c>
      <c r="P33" s="336" t="s">
        <v>456</v>
      </c>
      <c r="R33" s="336" t="s">
        <v>440</v>
      </c>
      <c r="S33" s="415" t="s">
        <v>1334</v>
      </c>
      <c r="T33" s="336" t="s">
        <v>459</v>
      </c>
      <c r="U33" s="342" t="s">
        <v>1164</v>
      </c>
      <c r="V33" s="337" t="s">
        <v>1227</v>
      </c>
      <c r="W33" s="336" t="s">
        <v>470</v>
      </c>
      <c r="X33" s="336" t="s">
        <v>445</v>
      </c>
      <c r="Y33" s="418" t="s">
        <v>1381</v>
      </c>
    </row>
    <row r="34" spans="14:25" x14ac:dyDescent="0.2">
      <c r="N34" s="336" t="s">
        <v>463</v>
      </c>
      <c r="O34" s="337" t="s">
        <v>514</v>
      </c>
      <c r="P34" s="336" t="s">
        <v>465</v>
      </c>
      <c r="R34" s="336" t="s">
        <v>450</v>
      </c>
      <c r="S34" s="337" t="s">
        <v>477</v>
      </c>
      <c r="T34" s="336" t="s">
        <v>469</v>
      </c>
      <c r="U34" s="342" t="s">
        <v>1165</v>
      </c>
      <c r="W34" s="336" t="s">
        <v>480</v>
      </c>
      <c r="X34" s="336" t="s">
        <v>454</v>
      </c>
      <c r="Y34" s="418" t="s">
        <v>1382</v>
      </c>
    </row>
    <row r="35" spans="14:25" x14ac:dyDescent="0.2">
      <c r="N35" s="336" t="s">
        <v>472</v>
      </c>
      <c r="O35" s="337" t="s">
        <v>521</v>
      </c>
      <c r="P35" s="336" t="s">
        <v>474</v>
      </c>
      <c r="R35" s="336" t="s">
        <v>458</v>
      </c>
      <c r="S35" s="397" t="s">
        <v>1329</v>
      </c>
      <c r="T35" s="336" t="s">
        <v>478</v>
      </c>
      <c r="U35" s="342" t="s">
        <v>1166</v>
      </c>
      <c r="W35" s="336" t="s">
        <v>487</v>
      </c>
      <c r="X35" s="336" t="s">
        <v>461</v>
      </c>
      <c r="Y35" s="418" t="s">
        <v>1383</v>
      </c>
    </row>
    <row r="36" spans="14:25" x14ac:dyDescent="0.2">
      <c r="N36" s="336" t="s">
        <v>482</v>
      </c>
      <c r="O36" s="337" t="s">
        <v>530</v>
      </c>
      <c r="P36" s="336" t="s">
        <v>484</v>
      </c>
      <c r="R36" s="336" t="s">
        <v>467</v>
      </c>
      <c r="S36" s="397" t="s">
        <v>1330</v>
      </c>
      <c r="T36" s="336" t="s">
        <v>486</v>
      </c>
      <c r="U36" s="342" t="s">
        <v>1167</v>
      </c>
      <c r="W36" s="336" t="s">
        <v>496</v>
      </c>
      <c r="X36" s="336" t="s">
        <v>471</v>
      </c>
      <c r="Y36" s="398" t="s">
        <v>1315</v>
      </c>
    </row>
    <row r="37" spans="14:25" x14ac:dyDescent="0.2">
      <c r="N37" s="336" t="s">
        <v>489</v>
      </c>
      <c r="P37" s="336" t="s">
        <v>491</v>
      </c>
      <c r="R37" s="336" t="s">
        <v>476</v>
      </c>
      <c r="S37" s="337" t="s">
        <v>1223</v>
      </c>
      <c r="T37" s="336" t="s">
        <v>494</v>
      </c>
      <c r="U37" s="342" t="s">
        <v>1168</v>
      </c>
      <c r="W37" s="336" t="s">
        <v>512</v>
      </c>
      <c r="X37" s="336" t="s">
        <v>481</v>
      </c>
      <c r="Y37" s="399" t="s">
        <v>1310</v>
      </c>
    </row>
    <row r="38" spans="14:25" x14ac:dyDescent="0.2">
      <c r="N38" s="336" t="s">
        <v>499</v>
      </c>
      <c r="P38" s="336" t="s">
        <v>501</v>
      </c>
      <c r="R38" s="338" t="s">
        <v>1216</v>
      </c>
      <c r="S38" s="337" t="s">
        <v>1224</v>
      </c>
      <c r="T38" s="336" t="s">
        <v>504</v>
      </c>
      <c r="U38" s="342" t="s">
        <v>1169</v>
      </c>
      <c r="W38" s="336" t="s">
        <v>518</v>
      </c>
      <c r="X38" s="336" t="s">
        <v>488</v>
      </c>
      <c r="Y38" s="398" t="s">
        <v>1311</v>
      </c>
    </row>
    <row r="39" spans="14:25" x14ac:dyDescent="0.2">
      <c r="N39" s="336" t="s">
        <v>506</v>
      </c>
      <c r="P39" s="336" t="s">
        <v>508</v>
      </c>
      <c r="R39" s="336" t="s">
        <v>485</v>
      </c>
      <c r="S39" s="337" t="s">
        <v>493</v>
      </c>
      <c r="T39" s="336" t="s">
        <v>511</v>
      </c>
      <c r="U39" s="337" t="s">
        <v>495</v>
      </c>
      <c r="W39" s="336" t="s">
        <v>526</v>
      </c>
      <c r="X39" s="336" t="s">
        <v>497</v>
      </c>
      <c r="Y39" s="398" t="s">
        <v>1312</v>
      </c>
    </row>
    <row r="40" spans="14:25" x14ac:dyDescent="0.2">
      <c r="N40" s="336" t="s">
        <v>513</v>
      </c>
      <c r="P40" s="419" t="s">
        <v>1370</v>
      </c>
      <c r="R40" s="336" t="s">
        <v>492</v>
      </c>
      <c r="S40" s="337" t="s">
        <v>503</v>
      </c>
      <c r="T40" s="336" t="s">
        <v>517</v>
      </c>
      <c r="U40" s="342" t="s">
        <v>1170</v>
      </c>
      <c r="W40" s="336" t="s">
        <v>535</v>
      </c>
      <c r="X40" s="336" t="s">
        <v>505</v>
      </c>
      <c r="Y40" s="398" t="s">
        <v>1313</v>
      </c>
    </row>
    <row r="41" spans="14:25" x14ac:dyDescent="0.2">
      <c r="N41" s="336" t="s">
        <v>520</v>
      </c>
      <c r="P41" s="336" t="s">
        <v>515</v>
      </c>
      <c r="R41" s="336" t="s">
        <v>502</v>
      </c>
      <c r="S41" s="337" t="s">
        <v>510</v>
      </c>
      <c r="T41" s="336" t="s">
        <v>525</v>
      </c>
      <c r="U41" s="342" t="s">
        <v>1171</v>
      </c>
      <c r="W41" s="336" t="s">
        <v>543</v>
      </c>
      <c r="X41" s="336" t="s">
        <v>519</v>
      </c>
      <c r="Y41" s="398" t="s">
        <v>1314</v>
      </c>
    </row>
    <row r="42" spans="14:25" ht="16" x14ac:dyDescent="0.2">
      <c r="N42" s="336" t="s">
        <v>529</v>
      </c>
      <c r="P42" s="336" t="s">
        <v>522</v>
      </c>
      <c r="R42" s="336" t="s">
        <v>509</v>
      </c>
      <c r="S42" s="415" t="s">
        <v>1335</v>
      </c>
      <c r="T42" s="336" t="s">
        <v>534</v>
      </c>
      <c r="U42" s="342" t="s">
        <v>1172</v>
      </c>
      <c r="W42" s="336" t="s">
        <v>550</v>
      </c>
      <c r="X42" s="336" t="s">
        <v>527</v>
      </c>
      <c r="Y42" s="337" t="s">
        <v>1301</v>
      </c>
    </row>
    <row r="43" spans="14:25" x14ac:dyDescent="0.2">
      <c r="N43" s="336" t="s">
        <v>538</v>
      </c>
      <c r="P43" s="336" t="s">
        <v>531</v>
      </c>
      <c r="R43" s="336" t="s">
        <v>516</v>
      </c>
      <c r="S43" s="337" t="s">
        <v>1225</v>
      </c>
      <c r="T43" s="336" t="s">
        <v>542</v>
      </c>
      <c r="U43" s="342" t="s">
        <v>1173</v>
      </c>
      <c r="W43" s="336" t="s">
        <v>558</v>
      </c>
      <c r="X43" s="336" t="s">
        <v>536</v>
      </c>
      <c r="Y43" s="337" t="s">
        <v>1300</v>
      </c>
    </row>
    <row r="44" spans="14:25" x14ac:dyDescent="0.2">
      <c r="N44" s="336" t="s">
        <v>546</v>
      </c>
      <c r="P44" s="336" t="s">
        <v>539</v>
      </c>
      <c r="R44" s="336" t="s">
        <v>523</v>
      </c>
      <c r="S44" s="337" t="s">
        <v>1226</v>
      </c>
      <c r="T44" s="336" t="s">
        <v>549</v>
      </c>
      <c r="U44" s="342" t="s">
        <v>1174</v>
      </c>
      <c r="W44" s="336" t="s">
        <v>565</v>
      </c>
      <c r="X44" s="336" t="s">
        <v>544</v>
      </c>
      <c r="Y44" s="397" t="s">
        <v>1320</v>
      </c>
    </row>
    <row r="45" spans="14:25" x14ac:dyDescent="0.2">
      <c r="N45" s="336" t="s">
        <v>553</v>
      </c>
      <c r="P45" s="336" t="s">
        <v>554</v>
      </c>
      <c r="R45" s="336" t="s">
        <v>532</v>
      </c>
      <c r="S45" s="337" t="s">
        <v>1308</v>
      </c>
      <c r="T45" s="336" t="s">
        <v>557</v>
      </c>
      <c r="U45" s="342" t="s">
        <v>1175</v>
      </c>
      <c r="W45" s="336" t="s">
        <v>570</v>
      </c>
      <c r="X45" s="336" t="s">
        <v>551</v>
      </c>
      <c r="Y45" s="397" t="s">
        <v>1321</v>
      </c>
    </row>
    <row r="46" spans="14:25" x14ac:dyDescent="0.2">
      <c r="N46" s="336" t="s">
        <v>561</v>
      </c>
      <c r="P46" s="336" t="s">
        <v>562</v>
      </c>
      <c r="R46" s="336" t="s">
        <v>540</v>
      </c>
      <c r="S46" s="337" t="s">
        <v>1309</v>
      </c>
      <c r="T46" s="336" t="s">
        <v>564</v>
      </c>
      <c r="U46" s="341" t="s">
        <v>1213</v>
      </c>
      <c r="W46" s="336" t="s">
        <v>574</v>
      </c>
      <c r="X46" s="336" t="s">
        <v>559</v>
      </c>
      <c r="Y46" s="397" t="s">
        <v>1322</v>
      </c>
    </row>
    <row r="47" spans="14:25" x14ac:dyDescent="0.2">
      <c r="N47" s="416" t="s">
        <v>1316</v>
      </c>
      <c r="R47" s="336" t="s">
        <v>547</v>
      </c>
      <c r="S47" s="337" t="s">
        <v>524</v>
      </c>
      <c r="T47" s="336" t="s">
        <v>569</v>
      </c>
      <c r="U47" s="342" t="s">
        <v>1176</v>
      </c>
      <c r="W47" s="336" t="s">
        <v>578</v>
      </c>
      <c r="X47" s="336" t="s">
        <v>566</v>
      </c>
      <c r="Y47" s="397" t="s">
        <v>1323</v>
      </c>
    </row>
    <row r="48" spans="14:25" x14ac:dyDescent="0.2">
      <c r="N48" s="336" t="s">
        <v>584</v>
      </c>
      <c r="R48" s="336" t="s">
        <v>555</v>
      </c>
      <c r="S48" s="337" t="s">
        <v>533</v>
      </c>
      <c r="T48" s="336" t="s">
        <v>573</v>
      </c>
      <c r="U48" s="342" t="s">
        <v>1177</v>
      </c>
      <c r="W48" s="336" t="s">
        <v>582</v>
      </c>
      <c r="X48" s="336" t="s">
        <v>571</v>
      </c>
      <c r="Y48" s="397" t="s">
        <v>1324</v>
      </c>
    </row>
    <row r="49" spans="14:25" ht="16" x14ac:dyDescent="0.2">
      <c r="N49" s="336" t="s">
        <v>588</v>
      </c>
      <c r="R49" s="336" t="s">
        <v>563</v>
      </c>
      <c r="S49" s="415" t="s">
        <v>1336</v>
      </c>
      <c r="T49" s="336" t="s">
        <v>577</v>
      </c>
      <c r="U49" s="342" t="s">
        <v>1178</v>
      </c>
      <c r="W49" s="336" t="s">
        <v>586</v>
      </c>
      <c r="X49" s="336" t="s">
        <v>575</v>
      </c>
      <c r="Y49" s="397" t="s">
        <v>1339</v>
      </c>
    </row>
    <row r="50" spans="14:25" x14ac:dyDescent="0.2">
      <c r="N50" s="416" t="s">
        <v>1317</v>
      </c>
      <c r="R50" s="336" t="s">
        <v>568</v>
      </c>
      <c r="S50" s="339" t="s">
        <v>541</v>
      </c>
      <c r="T50" s="336" t="s">
        <v>581</v>
      </c>
      <c r="U50" s="342" t="s">
        <v>1179</v>
      </c>
      <c r="W50" s="336" t="s">
        <v>591</v>
      </c>
      <c r="X50" s="336" t="s">
        <v>579</v>
      </c>
      <c r="Y50" s="397" t="s">
        <v>1318</v>
      </c>
    </row>
    <row r="51" spans="14:25" ht="16" x14ac:dyDescent="0.2">
      <c r="R51" s="336" t="s">
        <v>572</v>
      </c>
      <c r="S51" s="415" t="s">
        <v>1337</v>
      </c>
      <c r="T51" s="336" t="s">
        <v>590</v>
      </c>
      <c r="U51" s="342" t="s">
        <v>1180</v>
      </c>
      <c r="W51" s="336" t="s">
        <v>594</v>
      </c>
      <c r="X51" s="336" t="s">
        <v>583</v>
      </c>
      <c r="Y51" s="397" t="s">
        <v>1319</v>
      </c>
    </row>
    <row r="52" spans="14:25" x14ac:dyDescent="0.2">
      <c r="R52" s="336" t="s">
        <v>576</v>
      </c>
      <c r="S52" s="339" t="s">
        <v>548</v>
      </c>
      <c r="T52" s="336" t="s">
        <v>597</v>
      </c>
      <c r="U52" s="342" t="s">
        <v>1181</v>
      </c>
      <c r="W52" s="336" t="s">
        <v>598</v>
      </c>
      <c r="X52" s="336" t="s">
        <v>587</v>
      </c>
      <c r="Y52" s="397" t="s">
        <v>1343</v>
      </c>
    </row>
    <row r="53" spans="14:25" x14ac:dyDescent="0.2">
      <c r="R53" s="336" t="s">
        <v>580</v>
      </c>
      <c r="S53" s="339" t="s">
        <v>556</v>
      </c>
      <c r="T53" s="336" t="s">
        <v>601</v>
      </c>
      <c r="U53" s="337" t="s">
        <v>605</v>
      </c>
      <c r="W53" s="336" t="s">
        <v>602</v>
      </c>
      <c r="X53" s="336" t="s">
        <v>592</v>
      </c>
      <c r="Y53" s="337" t="s">
        <v>1292</v>
      </c>
    </row>
    <row r="54" spans="14:25" x14ac:dyDescent="0.2">
      <c r="R54" s="336" t="s">
        <v>585</v>
      </c>
      <c r="S54" s="245"/>
      <c r="T54" s="336" t="s">
        <v>604</v>
      </c>
      <c r="U54" s="337" t="s">
        <v>610</v>
      </c>
      <c r="W54" s="336" t="s">
        <v>606</v>
      </c>
      <c r="X54" s="336" t="s">
        <v>595</v>
      </c>
      <c r="Y54" s="337" t="s">
        <v>1293</v>
      </c>
    </row>
    <row r="55" spans="14:25" x14ac:dyDescent="0.2">
      <c r="R55" s="336" t="s">
        <v>589</v>
      </c>
      <c r="S55" s="245"/>
      <c r="T55" s="336" t="s">
        <v>609</v>
      </c>
      <c r="U55" s="337" t="s">
        <v>615</v>
      </c>
      <c r="W55" s="336" t="s">
        <v>611</v>
      </c>
      <c r="X55" s="336" t="s">
        <v>599</v>
      </c>
      <c r="Y55" s="337" t="s">
        <v>1294</v>
      </c>
    </row>
    <row r="56" spans="14:25" x14ac:dyDescent="0.2">
      <c r="R56" s="336" t="s">
        <v>593</v>
      </c>
      <c r="S56" s="245"/>
      <c r="T56" s="336" t="s">
        <v>614</v>
      </c>
      <c r="U56" s="337" t="s">
        <v>618</v>
      </c>
      <c r="X56" s="336" t="s">
        <v>603</v>
      </c>
      <c r="Y56" s="337" t="s">
        <v>1295</v>
      </c>
    </row>
    <row r="57" spans="14:25" x14ac:dyDescent="0.2">
      <c r="R57" s="336" t="s">
        <v>596</v>
      </c>
      <c r="S57" s="245"/>
      <c r="T57" s="336" t="s">
        <v>617</v>
      </c>
      <c r="U57" s="342" t="s">
        <v>1182</v>
      </c>
      <c r="X57" s="336" t="s">
        <v>607</v>
      </c>
      <c r="Y57" s="337" t="s">
        <v>1296</v>
      </c>
    </row>
    <row r="58" spans="14:25" x14ac:dyDescent="0.2">
      <c r="R58" s="336" t="s">
        <v>600</v>
      </c>
      <c r="S58" s="245"/>
      <c r="T58" s="336" t="s">
        <v>621</v>
      </c>
      <c r="U58" s="342" t="s">
        <v>1183</v>
      </c>
      <c r="X58" s="336" t="s">
        <v>612</v>
      </c>
      <c r="Y58" s="337" t="s">
        <v>1297</v>
      </c>
    </row>
    <row r="59" spans="14:25" x14ac:dyDescent="0.2">
      <c r="R59" s="336" t="s">
        <v>608</v>
      </c>
      <c r="S59" s="245"/>
      <c r="T59" s="336" t="s">
        <v>624</v>
      </c>
      <c r="U59" s="342" t="s">
        <v>1184</v>
      </c>
      <c r="X59" s="336" t="s">
        <v>616</v>
      </c>
      <c r="Y59" s="337" t="s">
        <v>462</v>
      </c>
    </row>
    <row r="60" spans="14:25" x14ac:dyDescent="0.2">
      <c r="R60" s="336" t="s">
        <v>613</v>
      </c>
      <c r="S60" s="245"/>
      <c r="T60" s="336" t="s">
        <v>627</v>
      </c>
      <c r="U60" s="342" t="s">
        <v>1185</v>
      </c>
      <c r="X60" s="336" t="s">
        <v>619</v>
      </c>
      <c r="Y60" s="394" t="s">
        <v>1285</v>
      </c>
    </row>
    <row r="61" spans="14:25" x14ac:dyDescent="0.2">
      <c r="R61" s="336" t="s">
        <v>620</v>
      </c>
      <c r="S61" s="245"/>
      <c r="T61" s="336" t="s">
        <v>631</v>
      </c>
      <c r="U61" s="342" t="s">
        <v>1186</v>
      </c>
      <c r="X61" s="336" t="s">
        <v>622</v>
      </c>
      <c r="Y61" s="394" t="s">
        <v>1281</v>
      </c>
    </row>
    <row r="62" spans="14:25" x14ac:dyDescent="0.2">
      <c r="R62" s="336" t="s">
        <v>623</v>
      </c>
      <c r="S62" s="245"/>
      <c r="T62" s="336" t="s">
        <v>634</v>
      </c>
      <c r="U62" s="342" t="s">
        <v>1187</v>
      </c>
      <c r="X62" s="336" t="s">
        <v>625</v>
      </c>
      <c r="Y62" s="394" t="s">
        <v>1282</v>
      </c>
    </row>
    <row r="63" spans="14:25" x14ac:dyDescent="0.2">
      <c r="R63" s="336" t="s">
        <v>626</v>
      </c>
      <c r="S63" s="245"/>
      <c r="T63" s="336" t="s">
        <v>637</v>
      </c>
      <c r="U63" s="342" t="s">
        <v>628</v>
      </c>
      <c r="X63" s="336" t="s">
        <v>629</v>
      </c>
      <c r="Y63" s="394" t="s">
        <v>1283</v>
      </c>
    </row>
    <row r="64" spans="14:25" x14ac:dyDescent="0.2">
      <c r="R64" s="336" t="s">
        <v>630</v>
      </c>
      <c r="S64" s="245"/>
      <c r="T64" s="336" t="s">
        <v>639</v>
      </c>
      <c r="U64" s="337" t="s">
        <v>653</v>
      </c>
      <c r="X64" s="336" t="s">
        <v>632</v>
      </c>
      <c r="Y64" s="394" t="s">
        <v>1284</v>
      </c>
    </row>
    <row r="65" spans="18:25" x14ac:dyDescent="0.2">
      <c r="R65" s="336" t="s">
        <v>633</v>
      </c>
      <c r="S65" s="245"/>
      <c r="T65" s="336" t="s">
        <v>641</v>
      </c>
      <c r="X65" s="336" t="s">
        <v>635</v>
      </c>
      <c r="Y65" s="337" t="s">
        <v>1279</v>
      </c>
    </row>
    <row r="66" spans="18:25" x14ac:dyDescent="0.2">
      <c r="R66" s="336" t="s">
        <v>636</v>
      </c>
      <c r="S66" s="245"/>
      <c r="T66" s="336" t="s">
        <v>643</v>
      </c>
      <c r="X66" s="336" t="s">
        <v>1260</v>
      </c>
      <c r="Y66" s="337" t="s">
        <v>1280</v>
      </c>
    </row>
    <row r="67" spans="18:25" x14ac:dyDescent="0.2">
      <c r="R67" s="336" t="s">
        <v>638</v>
      </c>
      <c r="S67" s="245"/>
      <c r="T67" s="336" t="s">
        <v>646</v>
      </c>
      <c r="X67" s="336" t="s">
        <v>1261</v>
      </c>
      <c r="Y67" s="337" t="s">
        <v>498</v>
      </c>
    </row>
    <row r="68" spans="18:25" x14ac:dyDescent="0.2">
      <c r="R68" s="336" t="s">
        <v>640</v>
      </c>
      <c r="S68" s="245"/>
      <c r="T68" s="336" t="s">
        <v>648</v>
      </c>
      <c r="X68" s="336" t="s">
        <v>656</v>
      </c>
      <c r="Y68" s="337" t="s">
        <v>701</v>
      </c>
    </row>
    <row r="69" spans="18:25" x14ac:dyDescent="0.2">
      <c r="R69" s="336" t="s">
        <v>642</v>
      </c>
      <c r="S69" s="245"/>
      <c r="T69" s="336" t="s">
        <v>650</v>
      </c>
      <c r="X69" s="336" t="s">
        <v>659</v>
      </c>
      <c r="Y69" s="337" t="s">
        <v>705</v>
      </c>
    </row>
    <row r="70" spans="18:25" x14ac:dyDescent="0.2">
      <c r="R70" s="336" t="s">
        <v>1217</v>
      </c>
      <c r="S70" s="245"/>
      <c r="T70" s="336" t="s">
        <v>652</v>
      </c>
      <c r="X70" s="336" t="s">
        <v>662</v>
      </c>
      <c r="Y70" s="337" t="s">
        <v>708</v>
      </c>
    </row>
    <row r="71" spans="18:25" x14ac:dyDescent="0.2">
      <c r="R71" s="336" t="s">
        <v>644</v>
      </c>
      <c r="S71" s="245"/>
      <c r="T71" s="336" t="s">
        <v>655</v>
      </c>
      <c r="X71" s="336" t="s">
        <v>664</v>
      </c>
      <c r="Y71" s="337" t="s">
        <v>711</v>
      </c>
    </row>
    <row r="72" spans="18:25" x14ac:dyDescent="0.2">
      <c r="R72" s="336" t="s">
        <v>645</v>
      </c>
      <c r="S72" s="245"/>
      <c r="T72" s="336" t="s">
        <v>658</v>
      </c>
      <c r="X72" s="336" t="s">
        <v>667</v>
      </c>
      <c r="Y72" s="337" t="s">
        <v>714</v>
      </c>
    </row>
    <row r="73" spans="18:25" x14ac:dyDescent="0.2">
      <c r="R73" s="336" t="s">
        <v>647</v>
      </c>
      <c r="S73" s="245"/>
      <c r="T73" s="336" t="s">
        <v>661</v>
      </c>
      <c r="X73" s="336" t="s">
        <v>670</v>
      </c>
      <c r="Y73" s="337" t="s">
        <v>717</v>
      </c>
    </row>
    <row r="74" spans="18:25" x14ac:dyDescent="0.2">
      <c r="R74" s="336" t="s">
        <v>649</v>
      </c>
      <c r="S74" s="245"/>
      <c r="T74" s="336" t="s">
        <v>663</v>
      </c>
      <c r="X74" s="336" t="s">
        <v>1259</v>
      </c>
      <c r="Y74" s="337" t="s">
        <v>677</v>
      </c>
    </row>
    <row r="75" spans="18:25" x14ac:dyDescent="0.2">
      <c r="R75" s="336" t="s">
        <v>651</v>
      </c>
      <c r="S75" s="245"/>
      <c r="T75" s="336" t="s">
        <v>666</v>
      </c>
      <c r="X75" s="336" t="s">
        <v>673</v>
      </c>
      <c r="Y75" s="337" t="s">
        <v>681</v>
      </c>
    </row>
    <row r="76" spans="18:25" x14ac:dyDescent="0.2">
      <c r="R76" s="336" t="s">
        <v>654</v>
      </c>
      <c r="S76" s="245"/>
      <c r="T76" s="336" t="s">
        <v>669</v>
      </c>
      <c r="X76" s="336" t="s">
        <v>676</v>
      </c>
      <c r="Y76" s="337" t="s">
        <v>685</v>
      </c>
    </row>
    <row r="77" spans="18:25" x14ac:dyDescent="0.2">
      <c r="R77" s="336" t="s">
        <v>657</v>
      </c>
      <c r="S77" s="245"/>
      <c r="T77" s="336" t="s">
        <v>672</v>
      </c>
      <c r="X77" s="336" t="s">
        <v>680</v>
      </c>
      <c r="Y77" s="337" t="s">
        <v>689</v>
      </c>
    </row>
    <row r="78" spans="18:25" x14ac:dyDescent="0.2">
      <c r="R78" s="336" t="s">
        <v>660</v>
      </c>
      <c r="S78" s="245"/>
      <c r="T78" s="336" t="s">
        <v>675</v>
      </c>
      <c r="X78" s="336" t="s">
        <v>684</v>
      </c>
      <c r="Y78" s="337" t="s">
        <v>693</v>
      </c>
    </row>
    <row r="79" spans="18:25" x14ac:dyDescent="0.2">
      <c r="R79" s="336" t="s">
        <v>665</v>
      </c>
      <c r="S79" s="245"/>
      <c r="T79" s="336" t="s">
        <v>679</v>
      </c>
      <c r="V79" s="306"/>
      <c r="X79" s="336" t="s">
        <v>688</v>
      </c>
      <c r="Y79" s="337" t="s">
        <v>697</v>
      </c>
    </row>
    <row r="80" spans="18:25" x14ac:dyDescent="0.2">
      <c r="R80" s="336" t="s">
        <v>668</v>
      </c>
      <c r="S80" s="245"/>
      <c r="T80" s="336" t="s">
        <v>683</v>
      </c>
      <c r="V80" s="306"/>
      <c r="X80" s="336" t="s">
        <v>692</v>
      </c>
      <c r="Y80" s="397" t="s">
        <v>1340</v>
      </c>
    </row>
    <row r="81" spans="18:25" x14ac:dyDescent="0.2">
      <c r="R81" s="336" t="s">
        <v>671</v>
      </c>
      <c r="S81" s="245"/>
      <c r="T81" s="336" t="s">
        <v>687</v>
      </c>
      <c r="V81" s="306"/>
      <c r="X81" s="336" t="s">
        <v>696</v>
      </c>
      <c r="Y81" s="397" t="s">
        <v>1345</v>
      </c>
    </row>
    <row r="82" spans="18:25" x14ac:dyDescent="0.2">
      <c r="R82" s="336" t="s">
        <v>674</v>
      </c>
      <c r="S82" s="245"/>
      <c r="T82" s="336" t="s">
        <v>691</v>
      </c>
      <c r="V82" s="306"/>
      <c r="X82" s="336" t="s">
        <v>700</v>
      </c>
      <c r="Y82" s="397" t="s">
        <v>1344</v>
      </c>
    </row>
    <row r="83" spans="18:25" x14ac:dyDescent="0.2">
      <c r="R83" s="336" t="s">
        <v>678</v>
      </c>
      <c r="S83" s="245"/>
      <c r="T83" s="336" t="s">
        <v>695</v>
      </c>
      <c r="V83" s="306"/>
      <c r="X83" s="336" t="s">
        <v>704</v>
      </c>
      <c r="Y83" s="420" t="s">
        <v>1402</v>
      </c>
    </row>
    <row r="84" spans="18:25" x14ac:dyDescent="0.2">
      <c r="R84" s="336" t="s">
        <v>682</v>
      </c>
      <c r="S84" s="245"/>
      <c r="T84" s="336" t="s">
        <v>699</v>
      </c>
      <c r="V84" s="306"/>
      <c r="X84" s="419" t="s">
        <v>1400</v>
      </c>
      <c r="Y84" s="420" t="s">
        <v>1403</v>
      </c>
    </row>
    <row r="85" spans="18:25" x14ac:dyDescent="0.2">
      <c r="R85" s="336" t="s">
        <v>686</v>
      </c>
      <c r="S85" s="245"/>
      <c r="T85" s="336" t="s">
        <v>703</v>
      </c>
      <c r="V85" s="306"/>
      <c r="X85" s="419" t="s">
        <v>1401</v>
      </c>
      <c r="Y85" s="417" t="s">
        <v>1375</v>
      </c>
    </row>
    <row r="86" spans="18:25" x14ac:dyDescent="0.2">
      <c r="R86" s="336" t="s">
        <v>690</v>
      </c>
      <c r="S86" s="245"/>
      <c r="T86" s="336" t="s">
        <v>707</v>
      </c>
      <c r="V86" s="306"/>
      <c r="Y86" s="417" t="s">
        <v>1376</v>
      </c>
    </row>
    <row r="87" spans="18:25" x14ac:dyDescent="0.2">
      <c r="R87" s="336" t="s">
        <v>694</v>
      </c>
      <c r="S87" s="245"/>
      <c r="T87" s="336" t="s">
        <v>710</v>
      </c>
      <c r="V87" s="306"/>
      <c r="Y87" s="397" t="s">
        <v>1338</v>
      </c>
    </row>
    <row r="88" spans="18:25" x14ac:dyDescent="0.2">
      <c r="R88" s="336" t="s">
        <v>698</v>
      </c>
      <c r="S88" s="245"/>
      <c r="T88" s="336" t="s">
        <v>713</v>
      </c>
      <c r="V88" s="306"/>
      <c r="Y88" s="397" t="s">
        <v>1325</v>
      </c>
    </row>
    <row r="89" spans="18:25" x14ac:dyDescent="0.2">
      <c r="R89" s="336" t="s">
        <v>702</v>
      </c>
      <c r="S89" s="245"/>
      <c r="T89" s="336" t="s">
        <v>716</v>
      </c>
      <c r="V89" s="306"/>
      <c r="Y89" s="397" t="s">
        <v>1326</v>
      </c>
    </row>
    <row r="90" spans="18:25" x14ac:dyDescent="0.2">
      <c r="R90" s="336" t="s">
        <v>706</v>
      </c>
      <c r="S90" s="245"/>
      <c r="T90" s="336" t="s">
        <v>719</v>
      </c>
      <c r="V90" s="306"/>
      <c r="Y90" s="397" t="s">
        <v>1327</v>
      </c>
    </row>
    <row r="91" spans="18:25" x14ac:dyDescent="0.2">
      <c r="R91" s="336" t="s">
        <v>709</v>
      </c>
      <c r="S91" s="245"/>
      <c r="T91" s="336" t="s">
        <v>721</v>
      </c>
      <c r="V91" s="306"/>
      <c r="Y91" s="397" t="s">
        <v>1342</v>
      </c>
    </row>
    <row r="92" spans="18:25" x14ac:dyDescent="0.2">
      <c r="R92" s="336" t="s">
        <v>712</v>
      </c>
      <c r="S92" s="245"/>
      <c r="T92" s="336" t="s">
        <v>723</v>
      </c>
      <c r="V92" s="306"/>
      <c r="Y92" s="395" t="s">
        <v>1272</v>
      </c>
    </row>
    <row r="93" spans="18:25" x14ac:dyDescent="0.2">
      <c r="R93" s="336" t="s">
        <v>715</v>
      </c>
      <c r="S93" s="245"/>
      <c r="T93" s="336" t="s">
        <v>724</v>
      </c>
      <c r="V93" s="306"/>
      <c r="Y93" s="395" t="s">
        <v>1273</v>
      </c>
    </row>
    <row r="94" spans="18:25" x14ac:dyDescent="0.2">
      <c r="R94" s="336" t="s">
        <v>718</v>
      </c>
      <c r="S94" s="245"/>
      <c r="T94" s="336" t="s">
        <v>726</v>
      </c>
      <c r="V94" s="306"/>
      <c r="Y94" s="395" t="s">
        <v>1274</v>
      </c>
    </row>
    <row r="95" spans="18:25" x14ac:dyDescent="0.2">
      <c r="R95" s="336" t="s">
        <v>720</v>
      </c>
      <c r="S95" s="245"/>
      <c r="T95" s="336" t="s">
        <v>728</v>
      </c>
      <c r="V95" s="306"/>
      <c r="Y95" s="395" t="s">
        <v>1275</v>
      </c>
    </row>
    <row r="96" spans="18:25" x14ac:dyDescent="0.2">
      <c r="R96" s="336" t="s">
        <v>722</v>
      </c>
      <c r="S96" s="245"/>
      <c r="T96" s="336" t="s">
        <v>730</v>
      </c>
      <c r="V96" s="306"/>
      <c r="Y96" s="395" t="s">
        <v>1276</v>
      </c>
    </row>
    <row r="97" spans="15:25" x14ac:dyDescent="0.2">
      <c r="O97" s="246"/>
      <c r="R97" s="336" t="s">
        <v>725</v>
      </c>
      <c r="S97" s="245"/>
      <c r="T97" s="336" t="s">
        <v>732</v>
      </c>
      <c r="V97" s="306"/>
      <c r="Y97" s="395" t="s">
        <v>1277</v>
      </c>
    </row>
    <row r="98" spans="15:25" x14ac:dyDescent="0.2">
      <c r="O98" s="246"/>
      <c r="R98" s="336" t="s">
        <v>727</v>
      </c>
      <c r="S98" s="245"/>
      <c r="T98" s="336" t="s">
        <v>734</v>
      </c>
      <c r="V98" s="306"/>
      <c r="Y98" s="395" t="s">
        <v>1278</v>
      </c>
    </row>
    <row r="99" spans="15:25" x14ac:dyDescent="0.2">
      <c r="O99" s="246"/>
      <c r="R99" s="336" t="s">
        <v>729</v>
      </c>
      <c r="S99" s="245"/>
      <c r="T99" s="336" t="s">
        <v>736</v>
      </c>
      <c r="V99" s="306"/>
      <c r="Y99" s="397" t="s">
        <v>1341</v>
      </c>
    </row>
    <row r="100" spans="15:25" x14ac:dyDescent="0.2">
      <c r="O100" s="246"/>
      <c r="R100" s="336" t="s">
        <v>731</v>
      </c>
      <c r="S100" s="245"/>
      <c r="T100" s="336" t="s">
        <v>738</v>
      </c>
      <c r="V100" s="306"/>
      <c r="Y100" s="395" t="s">
        <v>1289</v>
      </c>
    </row>
    <row r="101" spans="15:25" x14ac:dyDescent="0.2">
      <c r="O101" s="246"/>
      <c r="R101" s="336" t="s">
        <v>733</v>
      </c>
      <c r="S101" s="245"/>
      <c r="T101" s="336" t="s">
        <v>740</v>
      </c>
      <c r="V101" s="306"/>
      <c r="Y101" s="337" t="s">
        <v>528</v>
      </c>
    </row>
    <row r="102" spans="15:25" x14ac:dyDescent="0.2">
      <c r="O102" s="246"/>
      <c r="R102" s="336" t="s">
        <v>735</v>
      </c>
      <c r="S102" s="245"/>
      <c r="V102" s="306"/>
      <c r="Y102" s="337" t="s">
        <v>537</v>
      </c>
    </row>
    <row r="103" spans="15:25" x14ac:dyDescent="0.2">
      <c r="O103" s="246"/>
      <c r="R103" s="336" t="s">
        <v>737</v>
      </c>
      <c r="S103" s="245"/>
      <c r="V103" s="306"/>
      <c r="Y103" s="337" t="s">
        <v>545</v>
      </c>
    </row>
    <row r="104" spans="15:25" x14ac:dyDescent="0.2">
      <c r="O104" s="246"/>
      <c r="R104" s="336" t="s">
        <v>739</v>
      </c>
      <c r="S104" s="245"/>
      <c r="V104" s="306"/>
      <c r="Y104" s="337" t="s">
        <v>552</v>
      </c>
    </row>
    <row r="105" spans="15:25" x14ac:dyDescent="0.2">
      <c r="O105" s="246"/>
      <c r="R105" s="336" t="s">
        <v>741</v>
      </c>
      <c r="S105" s="245"/>
      <c r="V105" s="306"/>
      <c r="Y105" s="337" t="s">
        <v>560</v>
      </c>
    </row>
    <row r="106" spans="15:25" x14ac:dyDescent="0.2">
      <c r="O106" s="246"/>
      <c r="R106" s="336" t="s">
        <v>742</v>
      </c>
      <c r="S106" s="245"/>
      <c r="V106" s="306"/>
      <c r="Y106" s="337" t="s">
        <v>567</v>
      </c>
    </row>
    <row r="107" spans="15:25" x14ac:dyDescent="0.2">
      <c r="O107" s="246"/>
      <c r="R107" s="336" t="s">
        <v>743</v>
      </c>
      <c r="S107" s="245"/>
      <c r="V107" s="306"/>
      <c r="Y107" s="394" t="s">
        <v>1211</v>
      </c>
    </row>
    <row r="108" spans="15:25" x14ac:dyDescent="0.2">
      <c r="O108" s="246"/>
      <c r="R108" s="336" t="s">
        <v>744</v>
      </c>
      <c r="S108" s="245"/>
      <c r="V108" s="306"/>
      <c r="Y108" s="394" t="s">
        <v>1207</v>
      </c>
    </row>
    <row r="109" spans="15:25" x14ac:dyDescent="0.2">
      <c r="O109" s="246"/>
      <c r="R109" s="336" t="s">
        <v>745</v>
      </c>
      <c r="S109" s="245"/>
      <c r="V109" s="306"/>
      <c r="Y109" s="394" t="s">
        <v>1208</v>
      </c>
    </row>
    <row r="110" spans="15:25" x14ac:dyDescent="0.2">
      <c r="O110" s="246"/>
      <c r="R110" s="336" t="s">
        <v>746</v>
      </c>
      <c r="S110" s="245"/>
      <c r="V110" s="306"/>
      <c r="Y110" s="394" t="s">
        <v>1209</v>
      </c>
    </row>
    <row r="111" spans="15:25" x14ac:dyDescent="0.2">
      <c r="O111" s="246"/>
      <c r="R111" s="336" t="s">
        <v>747</v>
      </c>
      <c r="S111" s="245"/>
      <c r="V111" s="306"/>
      <c r="Y111" s="394" t="s">
        <v>1210</v>
      </c>
    </row>
    <row r="112" spans="15:25" x14ac:dyDescent="0.2">
      <c r="O112" s="246"/>
      <c r="R112" s="336" t="s">
        <v>748</v>
      </c>
      <c r="S112" s="245"/>
      <c r="V112" s="306"/>
    </row>
    <row r="113" spans="15:22" x14ac:dyDescent="0.2">
      <c r="O113" s="246"/>
      <c r="R113" s="336" t="s">
        <v>749</v>
      </c>
      <c r="S113" s="245"/>
      <c r="V113" s="306"/>
    </row>
    <row r="114" spans="15:22" x14ac:dyDescent="0.2">
      <c r="O114" s="246"/>
      <c r="R114" s="336" t="s">
        <v>750</v>
      </c>
      <c r="S114" s="245"/>
      <c r="V114" s="306"/>
    </row>
    <row r="115" spans="15:22" x14ac:dyDescent="0.2">
      <c r="O115" s="246"/>
      <c r="R115" s="336" t="s">
        <v>751</v>
      </c>
      <c r="S115" s="245"/>
      <c r="V115" s="306"/>
    </row>
    <row r="116" spans="15:22" x14ac:dyDescent="0.2">
      <c r="O116" s="246"/>
      <c r="R116" s="336" t="s">
        <v>752</v>
      </c>
      <c r="S116" s="245"/>
      <c r="V116" s="306"/>
    </row>
    <row r="117" spans="15:22" x14ac:dyDescent="0.2">
      <c r="O117" s="246"/>
      <c r="R117" s="336" t="s">
        <v>753</v>
      </c>
      <c r="S117" s="245"/>
      <c r="V117" s="306"/>
    </row>
    <row r="118" spans="15:22" x14ac:dyDescent="0.2">
      <c r="O118" s="246"/>
      <c r="R118" s="336" t="s">
        <v>754</v>
      </c>
      <c r="S118" s="245"/>
    </row>
    <row r="119" spans="15:22" x14ac:dyDescent="0.2">
      <c r="O119" s="246"/>
      <c r="R119" s="336" t="s">
        <v>755</v>
      </c>
      <c r="S119" s="245"/>
    </row>
    <row r="120" spans="15:22" x14ac:dyDescent="0.2">
      <c r="O120" s="246"/>
      <c r="R120" s="336" t="s">
        <v>756</v>
      </c>
      <c r="S120" s="245"/>
    </row>
    <row r="121" spans="15:22" x14ac:dyDescent="0.2">
      <c r="O121" s="246"/>
      <c r="R121" s="336" t="s">
        <v>757</v>
      </c>
      <c r="S121" s="245"/>
    </row>
    <row r="122" spans="15:22" x14ac:dyDescent="0.2">
      <c r="O122" s="246"/>
      <c r="R122" s="336" t="s">
        <v>758</v>
      </c>
      <c r="S122" s="245"/>
    </row>
    <row r="123" spans="15:22" x14ac:dyDescent="0.2">
      <c r="O123" s="246"/>
      <c r="R123" s="336" t="s">
        <v>759</v>
      </c>
      <c r="S123" s="245"/>
    </row>
    <row r="124" spans="15:22" x14ac:dyDescent="0.2">
      <c r="O124" s="246"/>
      <c r="R124" s="336" t="s">
        <v>760</v>
      </c>
      <c r="S124" s="245"/>
    </row>
    <row r="125" spans="15:22" x14ac:dyDescent="0.2">
      <c r="O125" s="246"/>
      <c r="R125" s="336" t="s">
        <v>761</v>
      </c>
      <c r="S125" s="245"/>
    </row>
    <row r="126" spans="15:22" x14ac:dyDescent="0.2">
      <c r="O126" s="246"/>
      <c r="R126" s="336" t="s">
        <v>762</v>
      </c>
      <c r="S126" s="245"/>
    </row>
    <row r="127" spans="15:22" x14ac:dyDescent="0.2">
      <c r="O127" s="246"/>
      <c r="R127" s="336" t="s">
        <v>763</v>
      </c>
      <c r="S127" s="245"/>
    </row>
    <row r="128" spans="15:22" x14ac:dyDescent="0.2">
      <c r="O128" s="246"/>
      <c r="R128" s="336" t="s">
        <v>764</v>
      </c>
      <c r="S128" s="245"/>
    </row>
    <row r="129" spans="15:19" x14ac:dyDescent="0.2">
      <c r="O129" s="246"/>
      <c r="R129" s="336" t="s">
        <v>765</v>
      </c>
      <c r="S129" s="245"/>
    </row>
    <row r="130" spans="15:19" x14ac:dyDescent="0.2">
      <c r="O130" s="246"/>
      <c r="R130" s="336" t="s">
        <v>766</v>
      </c>
      <c r="S130" s="245"/>
    </row>
    <row r="131" spans="15:19" x14ac:dyDescent="0.2">
      <c r="O131" s="246"/>
      <c r="R131" s="336" t="s">
        <v>767</v>
      </c>
      <c r="S131" s="245"/>
    </row>
    <row r="132" spans="15:19" x14ac:dyDescent="0.2">
      <c r="O132" s="246"/>
      <c r="R132" s="336" t="s">
        <v>768</v>
      </c>
      <c r="S132" s="245"/>
    </row>
    <row r="133" spans="15:19" x14ac:dyDescent="0.2">
      <c r="O133" s="246"/>
      <c r="R133" s="336" t="s">
        <v>769</v>
      </c>
      <c r="S133" s="245"/>
    </row>
    <row r="134" spans="15:19" x14ac:dyDescent="0.2">
      <c r="O134" s="246"/>
      <c r="R134" s="336" t="s">
        <v>770</v>
      </c>
      <c r="S134" s="245"/>
    </row>
    <row r="135" spans="15:19" x14ac:dyDescent="0.2">
      <c r="O135" s="246"/>
      <c r="R135" s="336" t="s">
        <v>771</v>
      </c>
      <c r="S135" s="245"/>
    </row>
    <row r="136" spans="15:19" x14ac:dyDescent="0.2">
      <c r="O136" s="246"/>
      <c r="R136" s="336" t="s">
        <v>772</v>
      </c>
      <c r="S136" s="245"/>
    </row>
    <row r="137" spans="15:19" x14ac:dyDescent="0.2">
      <c r="O137" s="246"/>
      <c r="R137" s="336" t="s">
        <v>773</v>
      </c>
      <c r="S137" s="245"/>
    </row>
    <row r="138" spans="15:19" x14ac:dyDescent="0.2">
      <c r="O138" s="246"/>
      <c r="R138" s="336" t="s">
        <v>774</v>
      </c>
      <c r="S138" s="245"/>
    </row>
    <row r="139" spans="15:19" x14ac:dyDescent="0.2">
      <c r="O139" s="246"/>
      <c r="R139" s="336" t="s">
        <v>775</v>
      </c>
      <c r="S139" s="245"/>
    </row>
    <row r="140" spans="15:19" x14ac:dyDescent="0.2">
      <c r="O140" s="246"/>
      <c r="R140" s="336" t="s">
        <v>776</v>
      </c>
      <c r="S140" s="245"/>
    </row>
    <row r="141" spans="15:19" x14ac:dyDescent="0.2">
      <c r="O141" s="246"/>
      <c r="R141" s="336" t="s">
        <v>777</v>
      </c>
      <c r="S141" s="245"/>
    </row>
    <row r="142" spans="15:19" x14ac:dyDescent="0.2">
      <c r="O142" s="246"/>
      <c r="R142" s="336" t="s">
        <v>778</v>
      </c>
      <c r="S142" s="245"/>
    </row>
    <row r="143" spans="15:19" x14ac:dyDescent="0.2">
      <c r="R143" s="336" t="s">
        <v>779</v>
      </c>
      <c r="S143" s="245"/>
    </row>
    <row r="144" spans="15:19" x14ac:dyDescent="0.2">
      <c r="R144" s="336" t="s">
        <v>780</v>
      </c>
      <c r="S144" s="245"/>
    </row>
    <row r="145" spans="18:19" x14ac:dyDescent="0.2">
      <c r="R145" s="336" t="s">
        <v>781</v>
      </c>
      <c r="S145" s="245"/>
    </row>
    <row r="146" spans="18:19" x14ac:dyDescent="0.2">
      <c r="R146" s="336" t="s">
        <v>782</v>
      </c>
      <c r="S146" s="245"/>
    </row>
    <row r="147" spans="18:19" x14ac:dyDescent="0.2">
      <c r="R147" s="336" t="s">
        <v>783</v>
      </c>
      <c r="S147" s="245"/>
    </row>
    <row r="148" spans="18:19" x14ac:dyDescent="0.2">
      <c r="R148" s="336" t="s">
        <v>784</v>
      </c>
      <c r="S148" s="245"/>
    </row>
    <row r="149" spans="18:19" x14ac:dyDescent="0.2">
      <c r="R149" s="336" t="s">
        <v>785</v>
      </c>
      <c r="S149" s="245"/>
    </row>
    <row r="150" spans="18:19" x14ac:dyDescent="0.2">
      <c r="R150" s="336" t="s">
        <v>786</v>
      </c>
      <c r="S150" s="245"/>
    </row>
    <row r="151" spans="18:19" x14ac:dyDescent="0.2">
      <c r="R151" s="336" t="s">
        <v>787</v>
      </c>
      <c r="S151" s="245"/>
    </row>
    <row r="152" spans="18:19" x14ac:dyDescent="0.2">
      <c r="S152" s="245"/>
    </row>
    <row r="153" spans="18:19" x14ac:dyDescent="0.2">
      <c r="S153" s="245"/>
    </row>
    <row r="154" spans="18:19" x14ac:dyDescent="0.2">
      <c r="S154" s="245"/>
    </row>
    <row r="155" spans="18:19" x14ac:dyDescent="0.2">
      <c r="S155" s="245"/>
    </row>
    <row r="156" spans="18:19" x14ac:dyDescent="0.2">
      <c r="S156" s="245"/>
    </row>
    <row r="157" spans="18:19" x14ac:dyDescent="0.2">
      <c r="S157" s="245"/>
    </row>
    <row r="158" spans="18:19" x14ac:dyDescent="0.2">
      <c r="S158" s="245"/>
    </row>
    <row r="159" spans="18:19" x14ac:dyDescent="0.2">
      <c r="S159" s="245"/>
    </row>
    <row r="160" spans="18:19" x14ac:dyDescent="0.2">
      <c r="S160" s="245"/>
    </row>
    <row r="161" spans="19:19" x14ac:dyDescent="0.2">
      <c r="S161" s="245"/>
    </row>
    <row r="162" spans="19:19" x14ac:dyDescent="0.2">
      <c r="S162" s="245"/>
    </row>
    <row r="163" spans="19:19" x14ac:dyDescent="0.2">
      <c r="S163" s="245"/>
    </row>
    <row r="164" spans="19:19" x14ac:dyDescent="0.2">
      <c r="S164" s="245"/>
    </row>
    <row r="165" spans="19:19" x14ac:dyDescent="0.2">
      <c r="S165" s="245"/>
    </row>
    <row r="166" spans="19:19" x14ac:dyDescent="0.2">
      <c r="S166" s="245"/>
    </row>
    <row r="167" spans="19:19" x14ac:dyDescent="0.2">
      <c r="S167" s="245"/>
    </row>
    <row r="168" spans="19:19" x14ac:dyDescent="0.2">
      <c r="S168" s="245"/>
    </row>
    <row r="169" spans="19:19" x14ac:dyDescent="0.2">
      <c r="S169" s="245"/>
    </row>
    <row r="170" spans="19:19" x14ac:dyDescent="0.2">
      <c r="S170" s="245"/>
    </row>
    <row r="171" spans="19:19" x14ac:dyDescent="0.2">
      <c r="S171" s="245"/>
    </row>
    <row r="172" spans="19:19" x14ac:dyDescent="0.2">
      <c r="S172" s="245"/>
    </row>
    <row r="173" spans="19:19" x14ac:dyDescent="0.2">
      <c r="S173" s="245"/>
    </row>
    <row r="174" spans="19:19" x14ac:dyDescent="0.2">
      <c r="S174" s="245"/>
    </row>
    <row r="175" spans="19:19" x14ac:dyDescent="0.2">
      <c r="S175" s="245"/>
    </row>
    <row r="176" spans="19:19" x14ac:dyDescent="0.2">
      <c r="S176" s="245"/>
    </row>
    <row r="177" spans="19:19" x14ac:dyDescent="0.2">
      <c r="S177" s="245"/>
    </row>
    <row r="178" spans="19:19" x14ac:dyDescent="0.2">
      <c r="S178" s="245"/>
    </row>
    <row r="179" spans="19:19" x14ac:dyDescent="0.2">
      <c r="S179" s="245"/>
    </row>
    <row r="180" spans="19:19" x14ac:dyDescent="0.2">
      <c r="S180" s="245"/>
    </row>
    <row r="181" spans="19:19" x14ac:dyDescent="0.2">
      <c r="S181" s="245"/>
    </row>
    <row r="182" spans="19:19" x14ac:dyDescent="0.2">
      <c r="S182" s="245"/>
    </row>
    <row r="183" spans="19:19" x14ac:dyDescent="0.2">
      <c r="S183" s="245"/>
    </row>
    <row r="184" spans="19:19" x14ac:dyDescent="0.2">
      <c r="S184" s="245"/>
    </row>
    <row r="185" spans="19:19" x14ac:dyDescent="0.2">
      <c r="S185" s="245"/>
    </row>
    <row r="186" spans="19:19" x14ac:dyDescent="0.2">
      <c r="S186" s="245"/>
    </row>
    <row r="187" spans="19:19" x14ac:dyDescent="0.2">
      <c r="S187" s="245"/>
    </row>
    <row r="188" spans="19:19" x14ac:dyDescent="0.2">
      <c r="S188" s="245"/>
    </row>
    <row r="189" spans="19:19" x14ac:dyDescent="0.2">
      <c r="S189" s="245"/>
    </row>
    <row r="190" spans="19:19" x14ac:dyDescent="0.2">
      <c r="S190" s="245"/>
    </row>
    <row r="191" spans="19:19" x14ac:dyDescent="0.2">
      <c r="S191" s="245"/>
    </row>
    <row r="192" spans="19:19" x14ac:dyDescent="0.2">
      <c r="S192" s="245"/>
    </row>
    <row r="193" spans="19:19" x14ac:dyDescent="0.2">
      <c r="S193" s="245"/>
    </row>
    <row r="194" spans="19:19" x14ac:dyDescent="0.2">
      <c r="S194" s="245"/>
    </row>
    <row r="195" spans="19:19" x14ac:dyDescent="0.2">
      <c r="S195" s="245"/>
    </row>
    <row r="196" spans="19:19" x14ac:dyDescent="0.2">
      <c r="S196" s="245"/>
    </row>
    <row r="197" spans="19:19" x14ac:dyDescent="0.2">
      <c r="S197" s="245"/>
    </row>
    <row r="198" spans="19:19" x14ac:dyDescent="0.2">
      <c r="S198" s="245"/>
    </row>
    <row r="199" spans="19:19" x14ac:dyDescent="0.2">
      <c r="S199" s="245"/>
    </row>
    <row r="200" spans="19:19" x14ac:dyDescent="0.2">
      <c r="S200" s="245"/>
    </row>
    <row r="201" spans="19:19" x14ac:dyDescent="0.2">
      <c r="S201" s="245"/>
    </row>
    <row r="202" spans="19:19" x14ac:dyDescent="0.2">
      <c r="S202" s="245"/>
    </row>
    <row r="203" spans="19:19" x14ac:dyDescent="0.2">
      <c r="S203" s="245"/>
    </row>
    <row r="204" spans="19:19" x14ac:dyDescent="0.2">
      <c r="S204" s="245"/>
    </row>
    <row r="205" spans="19:19" x14ac:dyDescent="0.2">
      <c r="S205" s="245"/>
    </row>
    <row r="206" spans="19:19" x14ac:dyDescent="0.2">
      <c r="S206" s="245"/>
    </row>
    <row r="207" spans="19:19" x14ac:dyDescent="0.2">
      <c r="S207" s="245"/>
    </row>
    <row r="208" spans="19:19" x14ac:dyDescent="0.2">
      <c r="S208" s="245"/>
    </row>
    <row r="209" spans="19:19" x14ac:dyDescent="0.2">
      <c r="S209" s="245"/>
    </row>
    <row r="210" spans="19:19" x14ac:dyDescent="0.2">
      <c r="S210" s="245"/>
    </row>
    <row r="211" spans="19:19" x14ac:dyDescent="0.2">
      <c r="S211" s="245"/>
    </row>
    <row r="212" spans="19:19" x14ac:dyDescent="0.2">
      <c r="S212" s="245"/>
    </row>
    <row r="213" spans="19:19" x14ac:dyDescent="0.2">
      <c r="S213" s="245"/>
    </row>
    <row r="214" spans="19:19" x14ac:dyDescent="0.2">
      <c r="S214" s="245"/>
    </row>
    <row r="215" spans="19:19" x14ac:dyDescent="0.2">
      <c r="S215" s="245"/>
    </row>
    <row r="216" spans="19:19" x14ac:dyDescent="0.2">
      <c r="S216" s="245"/>
    </row>
    <row r="217" spans="19:19" x14ac:dyDescent="0.2">
      <c r="S217" s="245"/>
    </row>
    <row r="218" spans="19:19" x14ac:dyDescent="0.2">
      <c r="S218" s="245"/>
    </row>
    <row r="219" spans="19:19" x14ac:dyDescent="0.2">
      <c r="S219" s="245"/>
    </row>
    <row r="220" spans="19:19" x14ac:dyDescent="0.2">
      <c r="S220" s="245"/>
    </row>
    <row r="221" spans="19:19" x14ac:dyDescent="0.2">
      <c r="S221" s="245"/>
    </row>
    <row r="222" spans="19:19" x14ac:dyDescent="0.2">
      <c r="S222" s="245"/>
    </row>
    <row r="223" spans="19:19" x14ac:dyDescent="0.2">
      <c r="S223" s="245"/>
    </row>
    <row r="224" spans="19:19" x14ac:dyDescent="0.2">
      <c r="S224" s="245"/>
    </row>
    <row r="225" spans="19:19" x14ac:dyDescent="0.2">
      <c r="S225" s="245"/>
    </row>
    <row r="226" spans="19:19" x14ac:dyDescent="0.2">
      <c r="S226" s="245"/>
    </row>
    <row r="227" spans="19:19" x14ac:dyDescent="0.2">
      <c r="S227" s="245"/>
    </row>
    <row r="228" spans="19:19" x14ac:dyDescent="0.2">
      <c r="S228" s="245"/>
    </row>
    <row r="229" spans="19:19" x14ac:dyDescent="0.2">
      <c r="S229" s="245"/>
    </row>
    <row r="230" spans="19:19" x14ac:dyDescent="0.2">
      <c r="S230" s="245"/>
    </row>
    <row r="231" spans="19:19" x14ac:dyDescent="0.2">
      <c r="S231" s="245"/>
    </row>
    <row r="232" spans="19:19" x14ac:dyDescent="0.2">
      <c r="S232" s="245"/>
    </row>
    <row r="233" spans="19:19" x14ac:dyDescent="0.2">
      <c r="S233" s="245"/>
    </row>
    <row r="234" spans="19:19" x14ac:dyDescent="0.2">
      <c r="S234" s="245"/>
    </row>
    <row r="235" spans="19:19" x14ac:dyDescent="0.2">
      <c r="S235" s="245"/>
    </row>
    <row r="236" spans="19:19" x14ac:dyDescent="0.2">
      <c r="S236" s="245"/>
    </row>
    <row r="237" spans="19:19" x14ac:dyDescent="0.2">
      <c r="S237" s="245"/>
    </row>
    <row r="238" spans="19:19" x14ac:dyDescent="0.2">
      <c r="S238" s="245"/>
    </row>
    <row r="239" spans="19:19" x14ac:dyDescent="0.2">
      <c r="S239" s="245"/>
    </row>
    <row r="240" spans="19:19" x14ac:dyDescent="0.2">
      <c r="S240" s="245"/>
    </row>
    <row r="241" spans="19:19" x14ac:dyDescent="0.2">
      <c r="S241" s="245"/>
    </row>
    <row r="242" spans="19:19" x14ac:dyDescent="0.2">
      <c r="S242" s="245"/>
    </row>
    <row r="243" spans="19:19" x14ac:dyDescent="0.2">
      <c r="S243" s="245"/>
    </row>
    <row r="244" spans="19:19" x14ac:dyDescent="0.2">
      <c r="S244" s="245"/>
    </row>
    <row r="245" spans="19:19" x14ac:dyDescent="0.2">
      <c r="S245" s="245"/>
    </row>
    <row r="246" spans="19:19" x14ac:dyDescent="0.2">
      <c r="S246" s="245"/>
    </row>
    <row r="247" spans="19:19" x14ac:dyDescent="0.2">
      <c r="S247" s="245"/>
    </row>
    <row r="248" spans="19:19" x14ac:dyDescent="0.2">
      <c r="S248" s="245"/>
    </row>
    <row r="249" spans="19:19" x14ac:dyDescent="0.2">
      <c r="S249" s="245"/>
    </row>
    <row r="250" spans="19:19" x14ac:dyDescent="0.2">
      <c r="S250" s="245"/>
    </row>
    <row r="251" spans="19:19" x14ac:dyDescent="0.2">
      <c r="S251" s="245"/>
    </row>
    <row r="252" spans="19:19" x14ac:dyDescent="0.2">
      <c r="S252" s="245"/>
    </row>
    <row r="253" spans="19:19" x14ac:dyDescent="0.2">
      <c r="S253" s="245"/>
    </row>
    <row r="254" spans="19:19" x14ac:dyDescent="0.2">
      <c r="S254" s="245"/>
    </row>
    <row r="255" spans="19:19" x14ac:dyDescent="0.2">
      <c r="S255" s="245"/>
    </row>
    <row r="256" spans="19:19" x14ac:dyDescent="0.2">
      <c r="S256" s="245"/>
    </row>
    <row r="257" spans="19:19" x14ac:dyDescent="0.2">
      <c r="S257" s="245"/>
    </row>
    <row r="258" spans="19:19" x14ac:dyDescent="0.2">
      <c r="S258" s="245"/>
    </row>
    <row r="259" spans="19:19" x14ac:dyDescent="0.2">
      <c r="S259" s="245"/>
    </row>
    <row r="260" spans="19:19" x14ac:dyDescent="0.2">
      <c r="S260" s="245"/>
    </row>
    <row r="261" spans="19:19" x14ac:dyDescent="0.2">
      <c r="S261" s="245"/>
    </row>
    <row r="262" spans="19:19" x14ac:dyDescent="0.2">
      <c r="S262" s="245"/>
    </row>
    <row r="263" spans="19:19" x14ac:dyDescent="0.2">
      <c r="S263" s="245"/>
    </row>
    <row r="264" spans="19:19" x14ac:dyDescent="0.2">
      <c r="S264" s="245"/>
    </row>
    <row r="265" spans="19:19" x14ac:dyDescent="0.2">
      <c r="S265" s="245"/>
    </row>
    <row r="266" spans="19:19" x14ac:dyDescent="0.2">
      <c r="S266" s="245"/>
    </row>
    <row r="267" spans="19:19" x14ac:dyDescent="0.2">
      <c r="S267" s="245"/>
    </row>
    <row r="268" spans="19:19" x14ac:dyDescent="0.2">
      <c r="S268" s="245"/>
    </row>
    <row r="269" spans="19:19" x14ac:dyDescent="0.2">
      <c r="S269" s="245"/>
    </row>
    <row r="270" spans="19:19" x14ac:dyDescent="0.2">
      <c r="S270" s="245"/>
    </row>
    <row r="271" spans="19:19" x14ac:dyDescent="0.2">
      <c r="S271" s="245"/>
    </row>
    <row r="272" spans="19:19" x14ac:dyDescent="0.2">
      <c r="S272" s="245"/>
    </row>
    <row r="273" spans="19:19" x14ac:dyDescent="0.2">
      <c r="S273" s="245"/>
    </row>
    <row r="274" spans="19:19" x14ac:dyDescent="0.2">
      <c r="S274" s="245"/>
    </row>
    <row r="275" spans="19:19" x14ac:dyDescent="0.2">
      <c r="S275" s="245"/>
    </row>
    <row r="276" spans="19:19" x14ac:dyDescent="0.2">
      <c r="S276" s="245"/>
    </row>
    <row r="277" spans="19:19" x14ac:dyDescent="0.2">
      <c r="S277" s="245"/>
    </row>
    <row r="278" spans="19:19" x14ac:dyDescent="0.2">
      <c r="S278" s="245"/>
    </row>
    <row r="279" spans="19:19" x14ac:dyDescent="0.2">
      <c r="S279" s="245"/>
    </row>
    <row r="280" spans="19:19" x14ac:dyDescent="0.2">
      <c r="S280" s="245"/>
    </row>
    <row r="281" spans="19:19" x14ac:dyDescent="0.2">
      <c r="S281" s="245"/>
    </row>
    <row r="282" spans="19:19" x14ac:dyDescent="0.2">
      <c r="S282" s="245"/>
    </row>
    <row r="283" spans="19:19" x14ac:dyDescent="0.2">
      <c r="S283" s="245"/>
    </row>
    <row r="284" spans="19:19" x14ac:dyDescent="0.2">
      <c r="S284" s="245"/>
    </row>
    <row r="285" spans="19:19" x14ac:dyDescent="0.2">
      <c r="S285" s="245"/>
    </row>
    <row r="286" spans="19:19" x14ac:dyDescent="0.2">
      <c r="S286" s="245"/>
    </row>
    <row r="287" spans="19:19" x14ac:dyDescent="0.2">
      <c r="S287" s="245"/>
    </row>
    <row r="288" spans="19:19" x14ac:dyDescent="0.2">
      <c r="S288" s="245"/>
    </row>
    <row r="289" spans="19:19" x14ac:dyDescent="0.2">
      <c r="S289" s="245"/>
    </row>
    <row r="290" spans="19:19" x14ac:dyDescent="0.2">
      <c r="S290" s="245"/>
    </row>
    <row r="291" spans="19:19" x14ac:dyDescent="0.2">
      <c r="S291" s="245"/>
    </row>
    <row r="292" spans="19:19" x14ac:dyDescent="0.2">
      <c r="S292" s="245"/>
    </row>
    <row r="293" spans="19:19" x14ac:dyDescent="0.2">
      <c r="S293" s="245"/>
    </row>
    <row r="294" spans="19:19" x14ac:dyDescent="0.2">
      <c r="S294" s="245"/>
    </row>
    <row r="295" spans="19:19" x14ac:dyDescent="0.2">
      <c r="S295" s="245"/>
    </row>
    <row r="296" spans="19:19" x14ac:dyDescent="0.2">
      <c r="S296" s="245"/>
    </row>
    <row r="297" spans="19:19" x14ac:dyDescent="0.2">
      <c r="S297" s="245"/>
    </row>
    <row r="298" spans="19:19" x14ac:dyDescent="0.2">
      <c r="S298" s="245"/>
    </row>
    <row r="299" spans="19:19" x14ac:dyDescent="0.2">
      <c r="S299" s="245"/>
    </row>
    <row r="300" spans="19:19" x14ac:dyDescent="0.2">
      <c r="S300" s="245"/>
    </row>
    <row r="301" spans="19:19" x14ac:dyDescent="0.2">
      <c r="S301" s="245"/>
    </row>
    <row r="302" spans="19:19" x14ac:dyDescent="0.2">
      <c r="S302" s="245"/>
    </row>
    <row r="303" spans="19:19" x14ac:dyDescent="0.2">
      <c r="S303" s="245"/>
    </row>
    <row r="304" spans="19:19" x14ac:dyDescent="0.2">
      <c r="S304" s="245"/>
    </row>
    <row r="305" spans="19:19" x14ac:dyDescent="0.2">
      <c r="S305" s="245"/>
    </row>
    <row r="306" spans="19:19" x14ac:dyDescent="0.2">
      <c r="S306" s="245"/>
    </row>
    <row r="307" spans="19:19" x14ac:dyDescent="0.2">
      <c r="S307" s="245"/>
    </row>
    <row r="308" spans="19:19" x14ac:dyDescent="0.2">
      <c r="S308" s="245"/>
    </row>
    <row r="309" spans="19:19" x14ac:dyDescent="0.2">
      <c r="S309" s="245"/>
    </row>
    <row r="310" spans="19:19" x14ac:dyDescent="0.2">
      <c r="S310" s="245"/>
    </row>
    <row r="311" spans="19:19" x14ac:dyDescent="0.2">
      <c r="S311" s="245"/>
    </row>
    <row r="312" spans="19:19" x14ac:dyDescent="0.2">
      <c r="S312" s="245"/>
    </row>
    <row r="313" spans="19:19" x14ac:dyDescent="0.2">
      <c r="S313" s="245"/>
    </row>
    <row r="314" spans="19:19" x14ac:dyDescent="0.2">
      <c r="S314" s="245"/>
    </row>
    <row r="315" spans="19:19" x14ac:dyDescent="0.2">
      <c r="S315" s="245"/>
    </row>
    <row r="316" spans="19:19" x14ac:dyDescent="0.2">
      <c r="S316" s="245"/>
    </row>
    <row r="317" spans="19:19" x14ac:dyDescent="0.2">
      <c r="S317" s="245"/>
    </row>
    <row r="318" spans="19:19" x14ac:dyDescent="0.2">
      <c r="S318" s="245"/>
    </row>
    <row r="319" spans="19:19" x14ac:dyDescent="0.2">
      <c r="S319" s="245"/>
    </row>
    <row r="320" spans="19:19" x14ac:dyDescent="0.2">
      <c r="S320" s="245"/>
    </row>
    <row r="321" spans="19:19" x14ac:dyDescent="0.2">
      <c r="S321" s="245"/>
    </row>
    <row r="322" spans="19:19" x14ac:dyDescent="0.2">
      <c r="S322" s="245"/>
    </row>
    <row r="323" spans="19:19" x14ac:dyDescent="0.2">
      <c r="S323" s="245"/>
    </row>
    <row r="324" spans="19:19" x14ac:dyDescent="0.2">
      <c r="S324" s="245"/>
    </row>
    <row r="325" spans="19:19" x14ac:dyDescent="0.2">
      <c r="S325" s="245"/>
    </row>
    <row r="326" spans="19:19" x14ac:dyDescent="0.2">
      <c r="S326" s="245"/>
    </row>
    <row r="327" spans="19:19" x14ac:dyDescent="0.2">
      <c r="S327" s="245"/>
    </row>
    <row r="328" spans="19:19" x14ac:dyDescent="0.2">
      <c r="S328" s="245"/>
    </row>
    <row r="329" spans="19:19" x14ac:dyDescent="0.2">
      <c r="S329" s="245"/>
    </row>
    <row r="330" spans="19:19" x14ac:dyDescent="0.2">
      <c r="S330" s="245"/>
    </row>
    <row r="331" spans="19:19" x14ac:dyDescent="0.2">
      <c r="S331" s="245"/>
    </row>
    <row r="332" spans="19:19" x14ac:dyDescent="0.2">
      <c r="S332" s="245"/>
    </row>
    <row r="333" spans="19:19" x14ac:dyDescent="0.2">
      <c r="S333" s="245"/>
    </row>
    <row r="334" spans="19:19" x14ac:dyDescent="0.2">
      <c r="S334" s="245"/>
    </row>
    <row r="335" spans="19:19" x14ac:dyDescent="0.2">
      <c r="S335" s="245"/>
    </row>
    <row r="336" spans="19:19" x14ac:dyDescent="0.2">
      <c r="S336" s="245"/>
    </row>
    <row r="337" spans="19:19" x14ac:dyDescent="0.2">
      <c r="S337" s="245"/>
    </row>
    <row r="338" spans="19:19" x14ac:dyDescent="0.2">
      <c r="S338" s="245"/>
    </row>
    <row r="339" spans="19:19" x14ac:dyDescent="0.2">
      <c r="S339" s="245"/>
    </row>
    <row r="340" spans="19:19" x14ac:dyDescent="0.2">
      <c r="S340" s="245"/>
    </row>
    <row r="341" spans="19:19" x14ac:dyDescent="0.2">
      <c r="S341" s="245"/>
    </row>
    <row r="342" spans="19:19" x14ac:dyDescent="0.2">
      <c r="S342" s="245"/>
    </row>
    <row r="343" spans="19:19" x14ac:dyDescent="0.2">
      <c r="S343" s="245"/>
    </row>
    <row r="344" spans="19:19" x14ac:dyDescent="0.2">
      <c r="S344" s="245"/>
    </row>
    <row r="345" spans="19:19" x14ac:dyDescent="0.2">
      <c r="S345" s="245"/>
    </row>
    <row r="346" spans="19:19" x14ac:dyDescent="0.2">
      <c r="S346" s="245"/>
    </row>
    <row r="347" spans="19:19" x14ac:dyDescent="0.2">
      <c r="S347" s="245"/>
    </row>
    <row r="348" spans="19:19" x14ac:dyDescent="0.2">
      <c r="S348" s="245"/>
    </row>
    <row r="349" spans="19:19" x14ac:dyDescent="0.2">
      <c r="S349" s="245"/>
    </row>
    <row r="350" spans="19:19" x14ac:dyDescent="0.2">
      <c r="S350" s="245"/>
    </row>
    <row r="351" spans="19:19" x14ac:dyDescent="0.2">
      <c r="S351" s="245"/>
    </row>
    <row r="352" spans="19:19" x14ac:dyDescent="0.2">
      <c r="S352" s="245"/>
    </row>
    <row r="353" spans="19:19" x14ac:dyDescent="0.2">
      <c r="S353" s="245"/>
    </row>
    <row r="354" spans="19:19" x14ac:dyDescent="0.2">
      <c r="S354" s="245"/>
    </row>
    <row r="355" spans="19:19" x14ac:dyDescent="0.2">
      <c r="S355" s="245"/>
    </row>
    <row r="356" spans="19:19" x14ac:dyDescent="0.2">
      <c r="S356" s="245"/>
    </row>
    <row r="357" spans="19:19" x14ac:dyDescent="0.2">
      <c r="S357" s="245"/>
    </row>
    <row r="358" spans="19:19" x14ac:dyDescent="0.2">
      <c r="S358" s="245"/>
    </row>
    <row r="359" spans="19:19" x14ac:dyDescent="0.2">
      <c r="S359" s="245"/>
    </row>
    <row r="360" spans="19:19" x14ac:dyDescent="0.2">
      <c r="S360" s="245"/>
    </row>
    <row r="361" spans="19:19" x14ac:dyDescent="0.2">
      <c r="S361" s="245"/>
    </row>
    <row r="362" spans="19:19" x14ac:dyDescent="0.2">
      <c r="S362" s="245"/>
    </row>
    <row r="363" spans="19:19" x14ac:dyDescent="0.2">
      <c r="S363" s="245"/>
    </row>
    <row r="364" spans="19:19" x14ac:dyDescent="0.2">
      <c r="S364" s="245"/>
    </row>
    <row r="365" spans="19:19" x14ac:dyDescent="0.2">
      <c r="S365" s="245"/>
    </row>
    <row r="366" spans="19:19" x14ac:dyDescent="0.2">
      <c r="S366" s="245"/>
    </row>
    <row r="367" spans="19:19" x14ac:dyDescent="0.2">
      <c r="S367" s="245"/>
    </row>
    <row r="368" spans="19:19" x14ac:dyDescent="0.2">
      <c r="S368" s="245"/>
    </row>
    <row r="369" spans="19:19" x14ac:dyDescent="0.2">
      <c r="S369" s="245"/>
    </row>
    <row r="370" spans="19:19" x14ac:dyDescent="0.2">
      <c r="S370" s="245"/>
    </row>
    <row r="371" spans="19:19" x14ac:dyDescent="0.2">
      <c r="S371" s="245"/>
    </row>
    <row r="372" spans="19:19" x14ac:dyDescent="0.2">
      <c r="S372" s="245"/>
    </row>
    <row r="373" spans="19:19" x14ac:dyDescent="0.2">
      <c r="S373" s="245"/>
    </row>
    <row r="374" spans="19:19" x14ac:dyDescent="0.2">
      <c r="S374" s="245"/>
    </row>
    <row r="375" spans="19:19" x14ac:dyDescent="0.2">
      <c r="S375" s="245"/>
    </row>
    <row r="376" spans="19:19" x14ac:dyDescent="0.2">
      <c r="S376" s="245"/>
    </row>
    <row r="377" spans="19:19" x14ac:dyDescent="0.2">
      <c r="S377" s="245"/>
    </row>
    <row r="378" spans="19:19" x14ac:dyDescent="0.2">
      <c r="S378" s="245"/>
    </row>
    <row r="379" spans="19:19" x14ac:dyDescent="0.2">
      <c r="S379" s="245"/>
    </row>
    <row r="380" spans="19:19" x14ac:dyDescent="0.2">
      <c r="S380" s="245"/>
    </row>
    <row r="381" spans="19:19" x14ac:dyDescent="0.2">
      <c r="S381" s="245"/>
    </row>
    <row r="382" spans="19:19" x14ac:dyDescent="0.2">
      <c r="S382" s="245"/>
    </row>
    <row r="383" spans="19:19" x14ac:dyDescent="0.2">
      <c r="S383" s="245"/>
    </row>
    <row r="384" spans="19:19" x14ac:dyDescent="0.2">
      <c r="S384" s="245"/>
    </row>
    <row r="385" spans="19:19" x14ac:dyDescent="0.2">
      <c r="S385" s="245"/>
    </row>
    <row r="386" spans="19:19" x14ac:dyDescent="0.2">
      <c r="S386" s="245"/>
    </row>
    <row r="387" spans="19:19" x14ac:dyDescent="0.2">
      <c r="S387" s="245"/>
    </row>
    <row r="388" spans="19:19" x14ac:dyDescent="0.2">
      <c r="S388" s="245"/>
    </row>
    <row r="389" spans="19:19" x14ac:dyDescent="0.2">
      <c r="S389" s="245"/>
    </row>
    <row r="390" spans="19:19" x14ac:dyDescent="0.2">
      <c r="S390" s="245"/>
    </row>
    <row r="391" spans="19:19" x14ac:dyDescent="0.2">
      <c r="S391" s="245"/>
    </row>
    <row r="392" spans="19:19" x14ac:dyDescent="0.2">
      <c r="S392" s="245"/>
    </row>
    <row r="393" spans="19:19" x14ac:dyDescent="0.2">
      <c r="S393" s="245"/>
    </row>
    <row r="394" spans="19:19" x14ac:dyDescent="0.2">
      <c r="S394" s="245"/>
    </row>
    <row r="395" spans="19:19" x14ac:dyDescent="0.2">
      <c r="S395" s="245"/>
    </row>
    <row r="396" spans="19:19" x14ac:dyDescent="0.2">
      <c r="S396" s="245"/>
    </row>
    <row r="397" spans="19:19" x14ac:dyDescent="0.2">
      <c r="S397" s="245"/>
    </row>
    <row r="398" spans="19:19" x14ac:dyDescent="0.2">
      <c r="S398" s="245"/>
    </row>
    <row r="399" spans="19:19" x14ac:dyDescent="0.2">
      <c r="S399" s="245"/>
    </row>
    <row r="400" spans="19:19" x14ac:dyDescent="0.2">
      <c r="S400" s="245"/>
    </row>
    <row r="401" spans="19:19" x14ac:dyDescent="0.2">
      <c r="S401" s="245"/>
    </row>
    <row r="402" spans="19:19" x14ac:dyDescent="0.2">
      <c r="S402" s="245"/>
    </row>
    <row r="403" spans="19:19" x14ac:dyDescent="0.2">
      <c r="S403" s="245"/>
    </row>
    <row r="404" spans="19:19" x14ac:dyDescent="0.2">
      <c r="S404" s="245"/>
    </row>
    <row r="405" spans="19:19" x14ac:dyDescent="0.2">
      <c r="S405" s="245"/>
    </row>
    <row r="406" spans="19:19" x14ac:dyDescent="0.2">
      <c r="S406" s="245"/>
    </row>
    <row r="407" spans="19:19" x14ac:dyDescent="0.2">
      <c r="S407" s="245"/>
    </row>
    <row r="408" spans="19:19" x14ac:dyDescent="0.2">
      <c r="S408" s="245"/>
    </row>
    <row r="409" spans="19:19" x14ac:dyDescent="0.2">
      <c r="S409" s="245"/>
    </row>
    <row r="410" spans="19:19" x14ac:dyDescent="0.2">
      <c r="S410" s="245"/>
    </row>
    <row r="411" spans="19:19" x14ac:dyDescent="0.2">
      <c r="S411" s="245"/>
    </row>
    <row r="412" spans="19:19" x14ac:dyDescent="0.2">
      <c r="S412" s="245"/>
    </row>
    <row r="413" spans="19:19" x14ac:dyDescent="0.2">
      <c r="S413" s="245"/>
    </row>
    <row r="414" spans="19:19" x14ac:dyDescent="0.2">
      <c r="S414" s="245"/>
    </row>
    <row r="415" spans="19:19" x14ac:dyDescent="0.2">
      <c r="S415" s="245"/>
    </row>
    <row r="416" spans="19:19" x14ac:dyDescent="0.2">
      <c r="S416" s="245"/>
    </row>
    <row r="417" spans="19:19" x14ac:dyDescent="0.2">
      <c r="S417" s="245"/>
    </row>
    <row r="418" spans="19:19" x14ac:dyDescent="0.2">
      <c r="S418" s="245"/>
    </row>
    <row r="419" spans="19:19" x14ac:dyDescent="0.2">
      <c r="S419" s="245"/>
    </row>
    <row r="420" spans="19:19" x14ac:dyDescent="0.2">
      <c r="S420" s="245"/>
    </row>
    <row r="421" spans="19:19" x14ac:dyDescent="0.2">
      <c r="S421" s="245"/>
    </row>
    <row r="422" spans="19:19" x14ac:dyDescent="0.2">
      <c r="S422" s="245"/>
    </row>
    <row r="423" spans="19:19" x14ac:dyDescent="0.2">
      <c r="S423" s="245"/>
    </row>
    <row r="424" spans="19:19" x14ac:dyDescent="0.2">
      <c r="S424" s="245"/>
    </row>
    <row r="425" spans="19:19" x14ac:dyDescent="0.2">
      <c r="S425" s="245"/>
    </row>
    <row r="426" spans="19:19" x14ac:dyDescent="0.2">
      <c r="S426" s="245"/>
    </row>
    <row r="427" spans="19:19" x14ac:dyDescent="0.2">
      <c r="S427" s="245"/>
    </row>
    <row r="428" spans="19:19" x14ac:dyDescent="0.2">
      <c r="S428" s="245"/>
    </row>
    <row r="429" spans="19:19" x14ac:dyDescent="0.2">
      <c r="S429" s="245"/>
    </row>
    <row r="430" spans="19:19" x14ac:dyDescent="0.2">
      <c r="S430" s="245"/>
    </row>
    <row r="431" spans="19:19" x14ac:dyDescent="0.2">
      <c r="S431" s="245"/>
    </row>
    <row r="432" spans="19:19" x14ac:dyDescent="0.2">
      <c r="S432" s="245"/>
    </row>
    <row r="433" spans="19:19" x14ac:dyDescent="0.2">
      <c r="S433" s="245"/>
    </row>
    <row r="434" spans="19:19" x14ac:dyDescent="0.2">
      <c r="S434" s="245"/>
    </row>
    <row r="435" spans="19:19" x14ac:dyDescent="0.2">
      <c r="S435" s="245"/>
    </row>
    <row r="436" spans="19:19" x14ac:dyDescent="0.2">
      <c r="S436" s="245"/>
    </row>
    <row r="437" spans="19:19" x14ac:dyDescent="0.2">
      <c r="S437" s="245"/>
    </row>
    <row r="438" spans="19:19" x14ac:dyDescent="0.2">
      <c r="S438" s="245"/>
    </row>
    <row r="439" spans="19:19" x14ac:dyDescent="0.2">
      <c r="S439" s="245"/>
    </row>
    <row r="440" spans="19:19" x14ac:dyDescent="0.2">
      <c r="S440" s="245"/>
    </row>
    <row r="441" spans="19:19" x14ac:dyDescent="0.2">
      <c r="S441" s="245"/>
    </row>
    <row r="442" spans="19:19" x14ac:dyDescent="0.2">
      <c r="S442" s="245"/>
    </row>
    <row r="443" spans="19:19" x14ac:dyDescent="0.2">
      <c r="S443" s="245"/>
    </row>
    <row r="444" spans="19:19" x14ac:dyDescent="0.2">
      <c r="S444" s="245"/>
    </row>
    <row r="445" spans="19:19" x14ac:dyDescent="0.2">
      <c r="S445" s="245"/>
    </row>
    <row r="446" spans="19:19" x14ac:dyDescent="0.2">
      <c r="S446" s="245"/>
    </row>
    <row r="447" spans="19:19" x14ac:dyDescent="0.2">
      <c r="S447" s="245"/>
    </row>
    <row r="448" spans="19:19" x14ac:dyDescent="0.2">
      <c r="S448" s="245"/>
    </row>
    <row r="449" spans="19:19" x14ac:dyDescent="0.2">
      <c r="S449" s="245"/>
    </row>
    <row r="450" spans="19:19" x14ac:dyDescent="0.2">
      <c r="S450" s="245"/>
    </row>
    <row r="451" spans="19:19" x14ac:dyDescent="0.2">
      <c r="S451" s="245"/>
    </row>
    <row r="452" spans="19:19" x14ac:dyDescent="0.2">
      <c r="S452" s="245"/>
    </row>
    <row r="453" spans="19:19" x14ac:dyDescent="0.2">
      <c r="S453" s="245"/>
    </row>
    <row r="454" spans="19:19" x14ac:dyDescent="0.2">
      <c r="S454" s="245"/>
    </row>
    <row r="455" spans="19:19" x14ac:dyDescent="0.2">
      <c r="S455" s="245"/>
    </row>
    <row r="456" spans="19:19" x14ac:dyDescent="0.2">
      <c r="S456" s="245"/>
    </row>
    <row r="457" spans="19:19" x14ac:dyDescent="0.2">
      <c r="S457" s="245"/>
    </row>
    <row r="458" spans="19:19" x14ac:dyDescent="0.2">
      <c r="S458" s="245"/>
    </row>
    <row r="459" spans="19:19" x14ac:dyDescent="0.2">
      <c r="S459" s="245"/>
    </row>
    <row r="460" spans="19:19" x14ac:dyDescent="0.2">
      <c r="S460" s="245"/>
    </row>
    <row r="461" spans="19:19" x14ac:dyDescent="0.2">
      <c r="S461" s="245"/>
    </row>
    <row r="462" spans="19:19" x14ac:dyDescent="0.2">
      <c r="S462" s="245"/>
    </row>
    <row r="463" spans="19:19" x14ac:dyDescent="0.2">
      <c r="S463" s="245"/>
    </row>
    <row r="464" spans="19:19" x14ac:dyDescent="0.2">
      <c r="S464" s="245"/>
    </row>
    <row r="465" spans="19:19" x14ac:dyDescent="0.2">
      <c r="S465" s="245"/>
    </row>
    <row r="466" spans="19:19" x14ac:dyDescent="0.2">
      <c r="S466" s="245"/>
    </row>
    <row r="467" spans="19:19" x14ac:dyDescent="0.2">
      <c r="S467" s="245"/>
    </row>
    <row r="468" spans="19:19" x14ac:dyDescent="0.2">
      <c r="S468" s="245"/>
    </row>
    <row r="469" spans="19:19" x14ac:dyDescent="0.2">
      <c r="S469" s="245"/>
    </row>
    <row r="470" spans="19:19" x14ac:dyDescent="0.2">
      <c r="S470" s="245"/>
    </row>
    <row r="471" spans="19:19" x14ac:dyDescent="0.2">
      <c r="S471" s="245"/>
    </row>
    <row r="472" spans="19:19" x14ac:dyDescent="0.2">
      <c r="S472" s="245"/>
    </row>
    <row r="473" spans="19:19" x14ac:dyDescent="0.2">
      <c r="S473" s="245"/>
    </row>
    <row r="474" spans="19:19" x14ac:dyDescent="0.2">
      <c r="S474" s="245"/>
    </row>
    <row r="475" spans="19:19" x14ac:dyDescent="0.2">
      <c r="S475" s="245"/>
    </row>
    <row r="476" spans="19:19" x14ac:dyDescent="0.2">
      <c r="S476" s="245"/>
    </row>
    <row r="477" spans="19:19" x14ac:dyDescent="0.2">
      <c r="S477" s="245"/>
    </row>
    <row r="478" spans="19:19" x14ac:dyDescent="0.2">
      <c r="S478" s="245"/>
    </row>
    <row r="479" spans="19:19" x14ac:dyDescent="0.2">
      <c r="S479" s="245"/>
    </row>
    <row r="480" spans="19:19" x14ac:dyDescent="0.2">
      <c r="S480" s="245"/>
    </row>
    <row r="481" spans="19:19" x14ac:dyDescent="0.2">
      <c r="S481" s="245"/>
    </row>
    <row r="482" spans="19:19" x14ac:dyDescent="0.2">
      <c r="S482" s="245"/>
    </row>
    <row r="483" spans="19:19" x14ac:dyDescent="0.2">
      <c r="S483" s="245"/>
    </row>
    <row r="484" spans="19:19" x14ac:dyDescent="0.2">
      <c r="S484" s="245"/>
    </row>
    <row r="485" spans="19:19" x14ac:dyDescent="0.2">
      <c r="S485" s="245"/>
    </row>
    <row r="486" spans="19:19" x14ac:dyDescent="0.2">
      <c r="S486" s="245"/>
    </row>
  </sheetData>
  <sheetProtection selectLockedCells="1" selectUnlockedCells="1"/>
  <autoFilter ref="N1:Y149" xr:uid="{9E9381F5-5447-417E-9229-8CA8EADF096F}"/>
  <sortState xmlns:xlrd2="http://schemas.microsoft.com/office/spreadsheetml/2017/richdata2" ref="Y3:Y115">
    <sortCondition ref="Y3:Y115"/>
  </sortState>
  <phoneticPr fontId="77" type="noConversion"/>
  <conditionalFormatting sqref="F2:F12">
    <cfRule type="duplicateValues" dxfId="6397" priority="4371"/>
  </conditionalFormatting>
  <conditionalFormatting sqref="H3:H10">
    <cfRule type="duplicateValues" dxfId="6396" priority="4702"/>
  </conditionalFormatting>
  <conditionalFormatting sqref="O2">
    <cfRule type="duplicateValues" dxfId="6395" priority="78"/>
  </conditionalFormatting>
  <conditionalFormatting sqref="Q30">
    <cfRule type="duplicateValues" dxfId="6394" priority="76"/>
  </conditionalFormatting>
  <conditionalFormatting sqref="T38">
    <cfRule type="duplicateValues" dxfId="6393" priority="72"/>
  </conditionalFormatting>
  <conditionalFormatting sqref="O3">
    <cfRule type="duplicateValues" dxfId="6392" priority="70"/>
  </conditionalFormatting>
  <conditionalFormatting sqref="O4">
    <cfRule type="duplicateValues" dxfId="6391" priority="69"/>
  </conditionalFormatting>
  <conditionalFormatting sqref="O5">
    <cfRule type="duplicateValues" dxfId="6390" priority="68"/>
  </conditionalFormatting>
  <conditionalFormatting sqref="O6">
    <cfRule type="duplicateValues" dxfId="6389" priority="67"/>
  </conditionalFormatting>
  <conditionalFormatting sqref="O7">
    <cfRule type="duplicateValues" dxfId="6388" priority="66"/>
  </conditionalFormatting>
  <conditionalFormatting sqref="O8">
    <cfRule type="duplicateValues" dxfId="6387" priority="64"/>
  </conditionalFormatting>
  <conditionalFormatting sqref="O9">
    <cfRule type="duplicateValues" dxfId="6386" priority="63"/>
  </conditionalFormatting>
  <conditionalFormatting sqref="O10">
    <cfRule type="duplicateValues" dxfId="6385" priority="62"/>
  </conditionalFormatting>
  <conditionalFormatting sqref="O11">
    <cfRule type="duplicateValues" dxfId="6384" priority="60"/>
  </conditionalFormatting>
  <conditionalFormatting sqref="O12">
    <cfRule type="duplicateValues" dxfId="6383" priority="59"/>
  </conditionalFormatting>
  <conditionalFormatting sqref="O13">
    <cfRule type="duplicateValues" dxfId="6382" priority="58"/>
  </conditionalFormatting>
  <conditionalFormatting sqref="O14">
    <cfRule type="duplicateValues" dxfId="6381" priority="56"/>
  </conditionalFormatting>
  <conditionalFormatting sqref="O15">
    <cfRule type="duplicateValues" dxfId="6380" priority="55"/>
  </conditionalFormatting>
  <conditionalFormatting sqref="O19">
    <cfRule type="duplicateValues" dxfId="6379" priority="52"/>
  </conditionalFormatting>
  <conditionalFormatting sqref="O22">
    <cfRule type="duplicateValues" dxfId="6378" priority="47"/>
  </conditionalFormatting>
  <conditionalFormatting sqref="O23">
    <cfRule type="duplicateValues" dxfId="6377" priority="46"/>
  </conditionalFormatting>
  <conditionalFormatting sqref="O24">
    <cfRule type="duplicateValues" dxfId="6376" priority="45"/>
  </conditionalFormatting>
  <conditionalFormatting sqref="O25">
    <cfRule type="duplicateValues" dxfId="6375" priority="44"/>
  </conditionalFormatting>
  <conditionalFormatting sqref="O26">
    <cfRule type="duplicateValues" dxfId="6374" priority="43"/>
  </conditionalFormatting>
  <conditionalFormatting sqref="O27">
    <cfRule type="duplicateValues" dxfId="6373" priority="41"/>
  </conditionalFormatting>
  <conditionalFormatting sqref="O28">
    <cfRule type="duplicateValues" dxfId="6372" priority="39"/>
  </conditionalFormatting>
  <conditionalFormatting sqref="O29">
    <cfRule type="duplicateValues" dxfId="6371" priority="38"/>
  </conditionalFormatting>
  <conditionalFormatting sqref="O30">
    <cfRule type="duplicateValues" dxfId="6370" priority="37"/>
  </conditionalFormatting>
  <conditionalFormatting sqref="O31">
    <cfRule type="duplicateValues" dxfId="6369" priority="36"/>
  </conditionalFormatting>
  <conditionalFormatting sqref="O32">
    <cfRule type="duplicateValues" dxfId="6368" priority="35"/>
  </conditionalFormatting>
  <conditionalFormatting sqref="O33">
    <cfRule type="duplicateValues" dxfId="6367" priority="34"/>
  </conditionalFormatting>
  <conditionalFormatting sqref="X2">
    <cfRule type="duplicateValues" dxfId="6366" priority="29"/>
  </conditionalFormatting>
  <conditionalFormatting sqref="W2">
    <cfRule type="duplicateValues" dxfId="6365" priority="25"/>
  </conditionalFormatting>
  <conditionalFormatting sqref="O34:O36">
    <cfRule type="duplicateValues" dxfId="6364" priority="21"/>
  </conditionalFormatting>
  <conditionalFormatting sqref="Q31">
    <cfRule type="duplicateValues" dxfId="6363" priority="19"/>
  </conditionalFormatting>
  <conditionalFormatting sqref="U10">
    <cfRule type="duplicateValues" dxfId="6362" priority="13"/>
  </conditionalFormatting>
  <conditionalFormatting sqref="U35:U38 U27:U30">
    <cfRule type="duplicateValues" dxfId="6361" priority="4856"/>
  </conditionalFormatting>
  <conditionalFormatting sqref="U39:U40">
    <cfRule type="duplicateValues" dxfId="6360" priority="4857"/>
  </conditionalFormatting>
  <conditionalFormatting sqref="U39">
    <cfRule type="duplicateValues" dxfId="6359" priority="4859"/>
  </conditionalFormatting>
  <conditionalFormatting sqref="U30">
    <cfRule type="duplicateValues" dxfId="6358" priority="4924"/>
  </conditionalFormatting>
  <conditionalFormatting sqref="U31:U34">
    <cfRule type="duplicateValues" dxfId="6357" priority="4925"/>
  </conditionalFormatting>
  <conditionalFormatting sqref="O16">
    <cfRule type="duplicateValues" dxfId="6356" priority="4928"/>
  </conditionalFormatting>
  <conditionalFormatting sqref="O17">
    <cfRule type="duplicateValues" dxfId="6355" priority="4929"/>
  </conditionalFormatting>
  <conditionalFormatting sqref="P43:P46">
    <cfRule type="duplicateValues" dxfId="6354" priority="4930"/>
  </conditionalFormatting>
  <conditionalFormatting sqref="V33">
    <cfRule type="duplicateValues" dxfId="6353" priority="12"/>
  </conditionalFormatting>
  <conditionalFormatting sqref="X63:X65">
    <cfRule type="duplicateValues" dxfId="6352" priority="5026"/>
  </conditionalFormatting>
  <conditionalFormatting sqref="T34:T37 X36:X40 U27:U29 P2:P3 N2 X5 T2:T4 T39:T53 Z4:Z95 Y2:Z3">
    <cfRule type="duplicateValues" dxfId="6351" priority="5053"/>
  </conditionalFormatting>
  <conditionalFormatting sqref="Y4">
    <cfRule type="duplicateValues" dxfId="6350" priority="11"/>
  </conditionalFormatting>
  <conditionalFormatting sqref="Y9">
    <cfRule type="duplicateValues" dxfId="6349" priority="9"/>
  </conditionalFormatting>
  <conditionalFormatting sqref="F7:F12 B2 A2:A8 E3:E19 D2:D7 C2:C10 I2:J6 J7 J9 I7:I11 K2:L11 G2 F3:G6 G7:G16 E21:E25">
    <cfRule type="duplicateValues" dxfId="6348" priority="5066"/>
  </conditionalFormatting>
  <conditionalFormatting sqref="S45:S46">
    <cfRule type="duplicateValues" dxfId="6347" priority="1"/>
  </conditionalFormatting>
  <conditionalFormatting sqref="S3:S4">
    <cfRule type="duplicateValues" dxfId="6346" priority="5"/>
  </conditionalFormatting>
  <conditionalFormatting sqref="S31:S32 S5:S8 S15:S19">
    <cfRule type="duplicateValues" dxfId="6345" priority="6"/>
  </conditionalFormatting>
  <conditionalFormatting sqref="Y22:Y30">
    <cfRule type="duplicateValues" dxfId="6344" priority="5089"/>
  </conditionalFormatting>
  <conditionalFormatting sqref="S33:S38 S3:S4">
    <cfRule type="duplicateValues" dxfId="6343" priority="5100"/>
  </conditionalFormatting>
  <conditionalFormatting sqref="S22:S30">
    <cfRule type="duplicateValues" dxfId="6342" priority="5147"/>
  </conditionalFormatting>
  <conditionalFormatting sqref="S20:S21">
    <cfRule type="duplicateValues" dxfId="6341" priority="5194"/>
  </conditionalFormatting>
  <conditionalFormatting sqref="Y10:Y20 T5:T33 V31:V32 U2:U9 P4:P28 Q3:Q29 X6:X35 W3:W32 U11:U26 Y5:Y8 P32:P33">
    <cfRule type="duplicateValues" dxfId="6340" priority="5248"/>
  </conditionalFormatting>
  <conditionalFormatting sqref="S40:S44">
    <cfRule type="duplicateValues" dxfId="6339" priority="5259"/>
  </conditionalFormatting>
  <hyperlinks>
    <hyperlink ref="Y59" r:id="rId1" display="https://workload-measurement.hmpps.service.justice.gov.uk/probation/team/4204" xr:uid="{FF3C7A8F-6407-45F8-83F2-36DE1CD65E10}"/>
    <hyperlink ref="Y100"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W153"/>
  <sheetViews>
    <sheetView topLeftCell="B1" zoomScale="70" zoomScaleNormal="70" workbookViewId="0">
      <pane ySplit="1" topLeftCell="A2" activePane="bottomLeft" state="frozen"/>
      <selection activeCell="B20" sqref="B20"/>
      <selection pane="bottomLeft" activeCell="J25" sqref="J25"/>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26" bestFit="1" customWidth="1"/>
    <col min="7" max="7" width="13.5" bestFit="1" customWidth="1"/>
    <col min="8" max="8" width="18.5" bestFit="1" customWidth="1"/>
    <col min="9" max="9" width="15.5" bestFit="1" customWidth="1"/>
    <col min="10" max="10" width="18.5" bestFit="1" customWidth="1"/>
    <col min="11" max="12" width="11" customWidth="1"/>
    <col min="13" max="13" width="14.5" style="225"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 min="22" max="22" width="11.1640625" bestFit="1" customWidth="1"/>
    <col min="23" max="23" width="10.83203125" customWidth="1"/>
  </cols>
  <sheetData>
    <row r="1" spans="1:23" ht="45" customHeight="1" x14ac:dyDescent="0.2">
      <c r="A1" s="216" t="s">
        <v>788</v>
      </c>
      <c r="B1" s="216" t="s">
        <v>789</v>
      </c>
      <c r="C1" s="216" t="s">
        <v>790</v>
      </c>
      <c r="D1" s="216" t="s">
        <v>791</v>
      </c>
      <c r="E1" s="216" t="s">
        <v>792</v>
      </c>
      <c r="F1" s="216" t="s">
        <v>793</v>
      </c>
      <c r="G1" s="216" t="s">
        <v>794</v>
      </c>
      <c r="H1" s="216" t="s">
        <v>795</v>
      </c>
      <c r="I1" s="216" t="s">
        <v>796</v>
      </c>
      <c r="J1" s="216" t="s">
        <v>797</v>
      </c>
      <c r="K1" s="216" t="s">
        <v>798</v>
      </c>
      <c r="L1" s="216" t="s">
        <v>799</v>
      </c>
      <c r="M1" s="216" t="s">
        <v>800</v>
      </c>
      <c r="O1" s="23" t="s">
        <v>801</v>
      </c>
      <c r="P1" s="43" t="s">
        <v>802</v>
      </c>
      <c r="Q1" s="44" t="s">
        <v>803</v>
      </c>
      <c r="R1" s="44" t="s">
        <v>804</v>
      </c>
      <c r="S1" s="45" t="s">
        <v>805</v>
      </c>
      <c r="T1" s="45" t="s">
        <v>806</v>
      </c>
      <c r="U1" s="190" t="s">
        <v>807</v>
      </c>
      <c r="V1" s="190" t="s">
        <v>1346</v>
      </c>
      <c r="W1" s="44" t="s">
        <v>1347</v>
      </c>
    </row>
    <row r="2" spans="1:23" ht="16" x14ac:dyDescent="0.2">
      <c r="O2" s="23" t="s">
        <v>17</v>
      </c>
      <c r="P2" s="23" t="s">
        <v>29</v>
      </c>
      <c r="Q2" s="222" t="str">
        <f>IFERROR(SUM((SUMIFS('capacity data'!$G:$G,'capacity data'!$E:$E,"PO",'capacity data'!$B:$B,P2))-SUMIFS('capacity data'!$H:$H,'capacity data'!$E:$E,"PO",'capacity data'!$B:$B,P2))/SUMIFS('capacity data'!$G:$G,'capacity data'!$E:$E,"PO",'capacity data'!$B:$B,P2),"")</f>
        <v/>
      </c>
      <c r="R2" s="222" t="str">
        <f>IFERROR(SUM((SUMIFS('capacity data'!$G:$G,'capacity data'!$E:$E,"PSO",'capacity data'!$B:$B,P2))-SUMIFS('capacity data'!$H:$H,'capacity data'!$E:$E,"PSO",'capacity data'!$B:$B,P2))/SUMIFS('capacity data'!$G:$G,'capacity data'!$E:$E,"PSO",'capacity data'!$B:$B,P2),"")</f>
        <v/>
      </c>
      <c r="S2" s="22" t="str">
        <f>IFERROR((Q2-R2),"")</f>
        <v/>
      </c>
      <c r="T2" s="223" t="str">
        <f>IFERROR(SUMIFS('capacity data'!$L:$L,'capacity data'!$B:$B,P2,'capacity data'!$E:$E,"PSO")/SUMIFS('capacity data'!$G:$G,'capacity data'!$E:$E,"PSO",'capacity data'!$B:$B,P2),"")</f>
        <v/>
      </c>
      <c r="U2" s="223" t="str">
        <f>IFERROR(SUMIFS('capacity data'!$L:$L,'capacity data'!$B:$B,P2,'capacity data'!$E:$E,"TPO")/SUMIFS('capacity data'!$G:$G,'capacity data'!$E:$E,"TPO",'capacity data'!$B:$B,P2),"")</f>
        <v/>
      </c>
      <c r="V2" t="str">
        <f>IFERROR(SUMIFS('capacity data'!$L:$L,'capacity data'!$B:$B,P2,'capacity data'!$E:$E,"PO")/SUMIFS('capacity data'!$G:$G,'capacity data'!$E:$E,"PO",'capacity data'!$B:$B,P2),"")</f>
        <v/>
      </c>
      <c r="W2" t="str">
        <f>IFERROR(SUM((SUMIFS('capacity data'!$G:$G,'capacity data'!$B:$B,P2))-SUMIFS('capacity data'!$H:$H,'capacity data'!$B:$B,P2))/SUMIFS('capacity data'!$G:$G,'capacity data'!$B:$B,P2),"")</f>
        <v/>
      </c>
    </row>
    <row r="3" spans="1:23" ht="16" x14ac:dyDescent="0.2">
      <c r="O3" s="23" t="s">
        <v>17</v>
      </c>
      <c r="P3" t="s">
        <v>51</v>
      </c>
      <c r="Q3" s="222" t="str">
        <f>IFERROR(SUM((SUMIFS('capacity data'!$G:$G,'capacity data'!$E:$E,"PO",'capacity data'!$B:$B,P3))-SUMIFS('capacity data'!$H:$H,'capacity data'!$E:$E,"PO",'capacity data'!$B:$B,P3))/SUMIFS('capacity data'!$G:$G,'capacity data'!$E:$E,"PO",'capacity data'!$B:$B,P3),"")</f>
        <v/>
      </c>
      <c r="R3" s="222" t="str">
        <f>IFERROR(SUM((SUMIFS('capacity data'!$G:$G,'capacity data'!$E:$E,"PSO",'capacity data'!$B:$B,P3))-SUMIFS('capacity data'!$H:$H,'capacity data'!$E:$E,"PSO",'capacity data'!$B:$B,P3))/SUMIFS('capacity data'!$G:$G,'capacity data'!$E:$E,"PSO",'capacity data'!$B:$B,P3),"")</f>
        <v/>
      </c>
      <c r="S3" s="22" t="str">
        <f t="shared" ref="S3:S66" si="0">IFERROR((Q3-R3),"")</f>
        <v/>
      </c>
      <c r="T3" s="223" t="str">
        <f>IFERROR(SUMIFS('capacity data'!$L:$L,'capacity data'!$B:$B,P3,'capacity data'!$E:$E,"PSO")/SUMIFS('capacity data'!$G:$G,'capacity data'!$E:$E,"PSO",'capacity data'!$B:$B,P3),"")</f>
        <v/>
      </c>
      <c r="U3" s="223" t="str">
        <f>IFERROR(SUMIFS('capacity data'!$L:$L,'capacity data'!$B:$B,P3,'capacity data'!$E:$E,"TPO")/SUMIFS('capacity data'!$G:$G,'capacity data'!$E:$E,"TPO",'capacity data'!$B:$B,P3),"")</f>
        <v/>
      </c>
      <c r="V3" s="400" t="str">
        <f>IFERROR(SUMIFS('capacity data'!$L:$L,'capacity data'!$B:$B,P3,'capacity data'!$E:$E,"PO")/SUMIFS('capacity data'!$G:$G,'capacity data'!$E:$E,"PO",'capacity data'!$B:$B,P3),"")</f>
        <v/>
      </c>
      <c r="W3" s="400" t="str">
        <f>IFERROR(SUM((SUMIFS('capacity data'!$G:$G,'capacity data'!$B:$B,P3))-SUMIFS('capacity data'!$H:$H,'capacity data'!$B:$B,P3))/SUMIFS('capacity data'!$G:$G,'capacity data'!$B:$B,P3),"")</f>
        <v/>
      </c>
    </row>
    <row r="4" spans="1:23" ht="16" x14ac:dyDescent="0.2">
      <c r="O4" s="23" t="s">
        <v>17</v>
      </c>
      <c r="P4" t="s">
        <v>72</v>
      </c>
      <c r="Q4" s="222" t="str">
        <f>IFERROR(SUM((SUMIFS('capacity data'!$G:$G,'capacity data'!$E:$E,"PO",'capacity data'!$B:$B,P4))-SUMIFS('capacity data'!$H:$H,'capacity data'!$E:$E,"PO",'capacity data'!$B:$B,P4))/SUMIFS('capacity data'!$G:$G,'capacity data'!$E:$E,"PO",'capacity data'!$B:$B,P4),"")</f>
        <v/>
      </c>
      <c r="R4" s="222" t="str">
        <f>IFERROR(SUM((SUMIFS('capacity data'!$G:$G,'capacity data'!$E:$E,"PSO",'capacity data'!$B:$B,P4))-SUMIFS('capacity data'!$H:$H,'capacity data'!$E:$E,"PSO",'capacity data'!$B:$B,P4))/SUMIFS('capacity data'!$G:$G,'capacity data'!$E:$E,"PSO",'capacity data'!$B:$B,P4),"")</f>
        <v/>
      </c>
      <c r="S4" s="22" t="str">
        <f t="shared" si="0"/>
        <v/>
      </c>
      <c r="T4" s="223" t="str">
        <f>IFERROR(SUMIFS('capacity data'!$L:$L,'capacity data'!$B:$B,P4,'capacity data'!$E:$E,"PSO")/SUMIFS('capacity data'!$G:$G,'capacity data'!$E:$E,"PSO",'capacity data'!$B:$B,P4),"")</f>
        <v/>
      </c>
      <c r="U4" s="223" t="str">
        <f>IFERROR(SUMIFS('capacity data'!$L:$L,'capacity data'!$B:$B,P4,'capacity data'!$E:$E,"TPO")/SUMIFS('capacity data'!$G:$G,'capacity data'!$E:$E,"TPO",'capacity data'!$B:$B,P4),"")</f>
        <v/>
      </c>
      <c r="V4" s="400" t="str">
        <f>IFERROR(SUMIFS('capacity data'!$L:$L,'capacity data'!$B:$B,P4,'capacity data'!$E:$E,"PO")/SUMIFS('capacity data'!$G:$G,'capacity data'!$E:$E,"PO",'capacity data'!$B:$B,P4),"")</f>
        <v/>
      </c>
      <c r="W4" s="400" t="str">
        <f>IFERROR(SUM((SUMIFS('capacity data'!$G:$G,'capacity data'!$B:$B,P4))-SUMIFS('capacity data'!$H:$H,'capacity data'!$B:$B,P4))/SUMIFS('capacity data'!$G:$G,'capacity data'!$B:$B,P4),"")</f>
        <v/>
      </c>
    </row>
    <row r="5" spans="1:23" ht="16" x14ac:dyDescent="0.2">
      <c r="O5" s="23" t="s">
        <v>17</v>
      </c>
      <c r="P5" t="s">
        <v>93</v>
      </c>
      <c r="Q5" s="222" t="str">
        <f>IFERROR(SUM((SUMIFS('capacity data'!$G:$G,'capacity data'!$E:$E,"PO",'capacity data'!$B:$B,P5))-SUMIFS('capacity data'!$H:$H,'capacity data'!$E:$E,"PO",'capacity data'!$B:$B,P5))/SUMIFS('capacity data'!$G:$G,'capacity data'!$E:$E,"PO",'capacity data'!$B:$B,P5),"")</f>
        <v/>
      </c>
      <c r="R5" s="222" t="str">
        <f>IFERROR(SUM((SUMIFS('capacity data'!$G:$G,'capacity data'!$E:$E,"PSO",'capacity data'!$B:$B,P5))-SUMIFS('capacity data'!$H:$H,'capacity data'!$E:$E,"PSO",'capacity data'!$B:$B,P5))/SUMIFS('capacity data'!$G:$G,'capacity data'!$E:$E,"PSO",'capacity data'!$B:$B,P5),"")</f>
        <v/>
      </c>
      <c r="S5" s="22" t="str">
        <f t="shared" si="0"/>
        <v/>
      </c>
      <c r="T5" s="223" t="str">
        <f>IFERROR(SUMIFS('capacity data'!$L:$L,'capacity data'!$B:$B,P5,'capacity data'!$E:$E,"PSO")/SUMIFS('capacity data'!$G:$G,'capacity data'!$E:$E,"PSO",'capacity data'!$B:$B,P5),"")</f>
        <v/>
      </c>
      <c r="U5" s="223" t="str">
        <f>IFERROR(SUMIFS('capacity data'!$L:$L,'capacity data'!$B:$B,P5,'capacity data'!$E:$E,"TPO")/SUMIFS('capacity data'!$G:$G,'capacity data'!$E:$E,"TPO",'capacity data'!$B:$B,P5),"")</f>
        <v/>
      </c>
      <c r="V5" s="400" t="str">
        <f>IFERROR(SUMIFS('capacity data'!$L:$L,'capacity data'!$B:$B,P5,'capacity data'!$E:$E,"PO")/SUMIFS('capacity data'!$G:$G,'capacity data'!$E:$E,"PO",'capacity data'!$B:$B,P5),"")</f>
        <v/>
      </c>
      <c r="W5" s="400" t="str">
        <f>IFERROR(SUM((SUMIFS('capacity data'!$G:$G,'capacity data'!$B:$B,P5))-SUMIFS('capacity data'!$H:$H,'capacity data'!$B:$B,P5))/SUMIFS('capacity data'!$G:$G,'capacity data'!$B:$B,P5),"")</f>
        <v/>
      </c>
    </row>
    <row r="6" spans="1:23" ht="16" x14ac:dyDescent="0.2">
      <c r="O6" s="23" t="s">
        <v>17</v>
      </c>
      <c r="P6" t="s">
        <v>115</v>
      </c>
      <c r="Q6" s="222" t="str">
        <f>IFERROR(SUM((SUMIFS('capacity data'!$G:$G,'capacity data'!$E:$E,"PO",'capacity data'!$B:$B,P6))-SUMIFS('capacity data'!$H:$H,'capacity data'!$E:$E,"PO",'capacity data'!$B:$B,P6))/SUMIFS('capacity data'!$G:$G,'capacity data'!$E:$E,"PO",'capacity data'!$B:$B,P6),"")</f>
        <v/>
      </c>
      <c r="R6" s="222" t="str">
        <f>IFERROR(SUM((SUMIFS('capacity data'!$G:$G,'capacity data'!$E:$E,"PSO",'capacity data'!$B:$B,P6))-SUMIFS('capacity data'!$H:$H,'capacity data'!$E:$E,"PSO",'capacity data'!$B:$B,P6))/SUMIFS('capacity data'!$G:$G,'capacity data'!$E:$E,"PSO",'capacity data'!$B:$B,P6),"")</f>
        <v/>
      </c>
      <c r="S6" s="22" t="str">
        <f t="shared" si="0"/>
        <v/>
      </c>
      <c r="T6" s="223" t="str">
        <f>IFERROR(SUMIFS('capacity data'!$L:$L,'capacity data'!$B:$B,P6,'capacity data'!$E:$E,"PSO")/SUMIFS('capacity data'!$G:$G,'capacity data'!$E:$E,"PSO",'capacity data'!$B:$B,P6),"")</f>
        <v/>
      </c>
      <c r="U6" s="223" t="str">
        <f>IFERROR(SUMIFS('capacity data'!$L:$L,'capacity data'!$B:$B,P6,'capacity data'!$E:$E,"TPO")/SUMIFS('capacity data'!$G:$G,'capacity data'!$E:$E,"TPO",'capacity data'!$B:$B,P6),"")</f>
        <v/>
      </c>
      <c r="V6" s="400" t="str">
        <f>IFERROR(SUMIFS('capacity data'!$L:$L,'capacity data'!$B:$B,P6,'capacity data'!$E:$E,"PO")/SUMIFS('capacity data'!$G:$G,'capacity data'!$E:$E,"PO",'capacity data'!$B:$B,P6),"")</f>
        <v/>
      </c>
      <c r="W6" s="400" t="str">
        <f>IFERROR(SUM((SUMIFS('capacity data'!$G:$G,'capacity data'!$B:$B,P6))-SUMIFS('capacity data'!$H:$H,'capacity data'!$B:$B,P6))/SUMIFS('capacity data'!$G:$G,'capacity data'!$B:$B,P6),"")</f>
        <v/>
      </c>
    </row>
    <row r="7" spans="1:23" ht="16" x14ac:dyDescent="0.2">
      <c r="O7" s="23" t="s">
        <v>17</v>
      </c>
      <c r="P7" t="s">
        <v>136</v>
      </c>
      <c r="Q7" s="222" t="str">
        <f>IFERROR(SUM((SUMIFS('capacity data'!$G:$G,'capacity data'!$E:$E,"PO",'capacity data'!$B:$B,P7))-SUMIFS('capacity data'!$H:$H,'capacity data'!$E:$E,"PO",'capacity data'!$B:$B,P7))/SUMIFS('capacity data'!$G:$G,'capacity data'!$E:$E,"PO",'capacity data'!$B:$B,P7),"")</f>
        <v/>
      </c>
      <c r="R7" s="222" t="str">
        <f>IFERROR(SUM((SUMIFS('capacity data'!$G:$G,'capacity data'!$E:$E,"PSO",'capacity data'!$B:$B,P7))-SUMIFS('capacity data'!$H:$H,'capacity data'!$E:$E,"PSO",'capacity data'!$B:$B,P7))/SUMIFS('capacity data'!$G:$G,'capacity data'!$E:$E,"PSO",'capacity data'!$B:$B,P7),"")</f>
        <v/>
      </c>
      <c r="S7" s="22" t="str">
        <f t="shared" si="0"/>
        <v/>
      </c>
      <c r="T7" s="223" t="str">
        <f>IFERROR(SUMIFS('capacity data'!$L:$L,'capacity data'!$B:$B,P7,'capacity data'!$E:$E,"PSO")/SUMIFS('capacity data'!$G:$G,'capacity data'!$E:$E,"PSO",'capacity data'!$B:$B,P7),"")</f>
        <v/>
      </c>
      <c r="U7" s="223" t="str">
        <f>IFERROR(SUMIFS('capacity data'!$L:$L,'capacity data'!$B:$B,P7,'capacity data'!$E:$E,"TPO")/SUMIFS('capacity data'!$G:$G,'capacity data'!$E:$E,"TPO",'capacity data'!$B:$B,P7),"")</f>
        <v/>
      </c>
      <c r="V7" s="400" t="str">
        <f>IFERROR(SUMIFS('capacity data'!$L:$L,'capacity data'!$B:$B,P7,'capacity data'!$E:$E,"PO")/SUMIFS('capacity data'!$G:$G,'capacity data'!$E:$E,"PO",'capacity data'!$B:$B,P7),"")</f>
        <v/>
      </c>
      <c r="W7" s="400" t="str">
        <f>IFERROR(SUM((SUMIFS('capacity data'!$G:$G,'capacity data'!$B:$B,P7))-SUMIFS('capacity data'!$H:$H,'capacity data'!$B:$B,P7))/SUMIFS('capacity data'!$G:$G,'capacity data'!$B:$B,P7),"")</f>
        <v/>
      </c>
    </row>
    <row r="8" spans="1:23" ht="16" x14ac:dyDescent="0.2">
      <c r="O8" s="23" t="s">
        <v>17</v>
      </c>
      <c r="P8" t="s">
        <v>157</v>
      </c>
      <c r="Q8" s="222" t="str">
        <f>IFERROR(SUM((SUMIFS('capacity data'!$G:$G,'capacity data'!$E:$E,"PO",'capacity data'!$B:$B,P8))-SUMIFS('capacity data'!$H:$H,'capacity data'!$E:$E,"PO",'capacity data'!$B:$B,P8))/SUMIFS('capacity data'!$G:$G,'capacity data'!$E:$E,"PO",'capacity data'!$B:$B,P8),"")</f>
        <v/>
      </c>
      <c r="R8" s="222" t="str">
        <f>IFERROR(SUM((SUMIFS('capacity data'!$G:$G,'capacity data'!$E:$E,"PSO",'capacity data'!$B:$B,P8))-SUMIFS('capacity data'!$H:$H,'capacity data'!$E:$E,"PSO",'capacity data'!$B:$B,P8))/SUMIFS('capacity data'!$G:$G,'capacity data'!$E:$E,"PSO",'capacity data'!$B:$B,P8),"")</f>
        <v/>
      </c>
      <c r="S8" s="22" t="str">
        <f t="shared" si="0"/>
        <v/>
      </c>
      <c r="T8" s="223" t="str">
        <f>IFERROR(SUMIFS('capacity data'!$L:$L,'capacity data'!$B:$B,P8,'capacity data'!$E:$E,"PSO")/SUMIFS('capacity data'!$G:$G,'capacity data'!$E:$E,"PSO",'capacity data'!$B:$B,P8),"")</f>
        <v/>
      </c>
      <c r="U8" s="223" t="str">
        <f>IFERROR(SUMIFS('capacity data'!$L:$L,'capacity data'!$B:$B,P8,'capacity data'!$E:$E,"TPO")/SUMIFS('capacity data'!$G:$G,'capacity data'!$E:$E,"TPO",'capacity data'!$B:$B,P8),"")</f>
        <v/>
      </c>
      <c r="V8" s="400" t="str">
        <f>IFERROR(SUMIFS('capacity data'!$L:$L,'capacity data'!$B:$B,P8,'capacity data'!$E:$E,"PO")/SUMIFS('capacity data'!$G:$G,'capacity data'!$E:$E,"PO",'capacity data'!$B:$B,P8),"")</f>
        <v/>
      </c>
      <c r="W8" s="400" t="str">
        <f>IFERROR(SUM((SUMIFS('capacity data'!$G:$G,'capacity data'!$B:$B,P8))-SUMIFS('capacity data'!$H:$H,'capacity data'!$B:$B,P8))/SUMIFS('capacity data'!$G:$G,'capacity data'!$B:$B,P8),"")</f>
        <v/>
      </c>
    </row>
    <row r="9" spans="1:23" ht="16" x14ac:dyDescent="0.2">
      <c r="O9" s="23" t="s">
        <v>18</v>
      </c>
      <c r="P9" t="s">
        <v>52</v>
      </c>
      <c r="Q9" s="222" t="str">
        <f>IFERROR(SUM((SUMIFS('capacity data'!$G:$G,'capacity data'!$E:$E,"PO",'capacity data'!$B:$B,P9))-SUMIFS('capacity data'!$H:$H,'capacity data'!$E:$E,"PO",'capacity data'!$B:$B,P9))/SUMIFS('capacity data'!$G:$G,'capacity data'!$E:$E,"PO",'capacity data'!$B:$B,P9),"")</f>
        <v/>
      </c>
      <c r="R9" s="222" t="str">
        <f>IFERROR(SUM((SUMIFS('capacity data'!$G:$G,'capacity data'!$E:$E,"PSO",'capacity data'!$B:$B,P9))-SUMIFS('capacity data'!$H:$H,'capacity data'!$E:$E,"PSO",'capacity data'!$B:$B,P9))/SUMIFS('capacity data'!$G:$G,'capacity data'!$E:$E,"PSO",'capacity data'!$B:$B,P9),"")</f>
        <v/>
      </c>
      <c r="S9" s="22" t="str">
        <f t="shared" si="0"/>
        <v/>
      </c>
      <c r="T9" s="223" t="str">
        <f>IFERROR(SUMIFS('capacity data'!$L:$L,'capacity data'!$B:$B,P9,'capacity data'!$E:$E,"PSO")/SUMIFS('capacity data'!$G:$G,'capacity data'!$E:$E,"PSO",'capacity data'!$B:$B,P9),"")</f>
        <v/>
      </c>
      <c r="U9" s="223" t="str">
        <f>IFERROR(SUMIFS('capacity data'!$L:$L,'capacity data'!$B:$B,P9,'capacity data'!$E:$E,"TPO")/SUMIFS('capacity data'!$G:$G,'capacity data'!$E:$E,"TPO",'capacity data'!$B:$B,P9),"")</f>
        <v/>
      </c>
      <c r="V9" s="400" t="str">
        <f>IFERROR(SUMIFS('capacity data'!$L:$L,'capacity data'!$B:$B,P9,'capacity data'!$E:$E,"PO")/SUMIFS('capacity data'!$G:$G,'capacity data'!$E:$E,"PO",'capacity data'!$B:$B,P9),"")</f>
        <v/>
      </c>
      <c r="W9" s="400" t="str">
        <f>IFERROR(SUM((SUMIFS('capacity data'!$G:$G,'capacity data'!$B:$B,P9))-SUMIFS('capacity data'!$H:$H,'capacity data'!$B:$B,P9))/SUMIFS('capacity data'!$G:$G,'capacity data'!$B:$B,P9),"")</f>
        <v/>
      </c>
    </row>
    <row r="10" spans="1:23" ht="16" x14ac:dyDescent="0.2">
      <c r="O10" s="23" t="s">
        <v>18</v>
      </c>
      <c r="P10" t="s">
        <v>73</v>
      </c>
      <c r="Q10" s="222" t="str">
        <f>IFERROR(SUM((SUMIFS('capacity data'!$G:$G,'capacity data'!$E:$E,"PO",'capacity data'!$B:$B,P10))-SUMIFS('capacity data'!$H:$H,'capacity data'!$E:$E,"PO",'capacity data'!$B:$B,P10))/SUMIFS('capacity data'!$G:$G,'capacity data'!$E:$E,"PO",'capacity data'!$B:$B,P10),"")</f>
        <v/>
      </c>
      <c r="R10" s="222" t="str">
        <f>IFERROR(SUM((SUMIFS('capacity data'!$G:$G,'capacity data'!$E:$E,"PSO",'capacity data'!$B:$B,P10))-SUMIFS('capacity data'!$H:$H,'capacity data'!$E:$E,"PSO",'capacity data'!$B:$B,P10))/SUMIFS('capacity data'!$G:$G,'capacity data'!$E:$E,"PSO",'capacity data'!$B:$B,P10),"")</f>
        <v/>
      </c>
      <c r="S10" s="22" t="str">
        <f t="shared" si="0"/>
        <v/>
      </c>
      <c r="T10" s="223" t="str">
        <f>IFERROR(SUMIFS('capacity data'!$L:$L,'capacity data'!$B:$B,P10,'capacity data'!$E:$E,"PSO")/SUMIFS('capacity data'!$G:$G,'capacity data'!$E:$E,"PSO",'capacity data'!$B:$B,P10),"")</f>
        <v/>
      </c>
      <c r="U10" s="223" t="str">
        <f>IFERROR(SUMIFS('capacity data'!$L:$L,'capacity data'!$B:$B,P10,'capacity data'!$E:$E,"TPO")/SUMIFS('capacity data'!$G:$G,'capacity data'!$E:$E,"TPO",'capacity data'!$B:$B,P10),"")</f>
        <v/>
      </c>
      <c r="V10" s="400" t="str">
        <f>IFERROR(SUMIFS('capacity data'!$L:$L,'capacity data'!$B:$B,P10,'capacity data'!$E:$E,"PO")/SUMIFS('capacity data'!$G:$G,'capacity data'!$E:$E,"PO",'capacity data'!$B:$B,P10),"")</f>
        <v/>
      </c>
      <c r="W10" s="400" t="str">
        <f>IFERROR(SUM((SUMIFS('capacity data'!$G:$G,'capacity data'!$B:$B,P10))-SUMIFS('capacity data'!$H:$H,'capacity data'!$B:$B,P10))/SUMIFS('capacity data'!$G:$G,'capacity data'!$B:$B,P10),"")</f>
        <v/>
      </c>
    </row>
    <row r="11" spans="1:23" ht="16" x14ac:dyDescent="0.2">
      <c r="O11" s="23" t="s">
        <v>18</v>
      </c>
      <c r="P11" t="s">
        <v>94</v>
      </c>
      <c r="Q11" s="222" t="str">
        <f>IFERROR(SUM((SUMIFS('capacity data'!$G:$G,'capacity data'!$E:$E,"PO",'capacity data'!$B:$B,P11))-SUMIFS('capacity data'!$H:$H,'capacity data'!$E:$E,"PO",'capacity data'!$B:$B,P11))/SUMIFS('capacity data'!$G:$G,'capacity data'!$E:$E,"PO",'capacity data'!$B:$B,P11),"")</f>
        <v/>
      </c>
      <c r="R11" s="222" t="str">
        <f>IFERROR(SUM((SUMIFS('capacity data'!$G:$G,'capacity data'!$E:$E,"PSO",'capacity data'!$B:$B,P11))-SUMIFS('capacity data'!$H:$H,'capacity data'!$E:$E,"PSO",'capacity data'!$B:$B,P11))/SUMIFS('capacity data'!$G:$G,'capacity data'!$E:$E,"PSO",'capacity data'!$B:$B,P11),"")</f>
        <v/>
      </c>
      <c r="S11" s="22" t="str">
        <f t="shared" si="0"/>
        <v/>
      </c>
      <c r="T11" s="223" t="str">
        <f>IFERROR(SUMIFS('capacity data'!$L:$L,'capacity data'!$B:$B,P11,'capacity data'!$E:$E,"PSO")/SUMIFS('capacity data'!$G:$G,'capacity data'!$E:$E,"PSO",'capacity data'!$B:$B,P11),"")</f>
        <v/>
      </c>
      <c r="U11" s="223" t="str">
        <f>IFERROR(SUMIFS('capacity data'!$L:$L,'capacity data'!$B:$B,P11,'capacity data'!$E:$E,"TPO")/SUMIFS('capacity data'!$G:$G,'capacity data'!$E:$E,"TPO",'capacity data'!$B:$B,P11),"")</f>
        <v/>
      </c>
      <c r="V11" s="400" t="str">
        <f>IFERROR(SUMIFS('capacity data'!$L:$L,'capacity data'!$B:$B,P11,'capacity data'!$E:$E,"PO")/SUMIFS('capacity data'!$G:$G,'capacity data'!$E:$E,"PO",'capacity data'!$B:$B,P11),"")</f>
        <v/>
      </c>
      <c r="W11" s="400" t="str">
        <f>IFERROR(SUM((SUMIFS('capacity data'!$G:$G,'capacity data'!$B:$B,P11))-SUMIFS('capacity data'!$H:$H,'capacity data'!$B:$B,P11))/SUMIFS('capacity data'!$G:$G,'capacity data'!$B:$B,P11),"")</f>
        <v/>
      </c>
    </row>
    <row r="12" spans="1:23" ht="16" x14ac:dyDescent="0.2">
      <c r="O12" s="23" t="s">
        <v>18</v>
      </c>
      <c r="P12" t="s">
        <v>116</v>
      </c>
      <c r="Q12" s="222" t="str">
        <f>IFERROR(SUM((SUMIFS('capacity data'!$G:$G,'capacity data'!$E:$E,"PO",'capacity data'!$B:$B,P12))-SUMIFS('capacity data'!$H:$H,'capacity data'!$E:$E,"PO",'capacity data'!$B:$B,P12))/SUMIFS('capacity data'!$G:$G,'capacity data'!$E:$E,"PO",'capacity data'!$B:$B,P12),"")</f>
        <v/>
      </c>
      <c r="R12" s="222" t="str">
        <f>IFERROR(SUM((SUMIFS('capacity data'!$G:$G,'capacity data'!$E:$E,"PSO",'capacity data'!$B:$B,P12))-SUMIFS('capacity data'!$H:$H,'capacity data'!$E:$E,"PSO",'capacity data'!$B:$B,P12))/SUMIFS('capacity data'!$G:$G,'capacity data'!$E:$E,"PSO",'capacity data'!$B:$B,P12),"")</f>
        <v/>
      </c>
      <c r="S12" s="22" t="str">
        <f t="shared" si="0"/>
        <v/>
      </c>
      <c r="T12" s="223" t="str">
        <f>IFERROR(SUMIFS('capacity data'!$L:$L,'capacity data'!$B:$B,P12,'capacity data'!$E:$E,"PSO")/SUMIFS('capacity data'!$G:$G,'capacity data'!$E:$E,"PSO",'capacity data'!$B:$B,P12),"")</f>
        <v/>
      </c>
      <c r="U12" s="223" t="str">
        <f>IFERROR(SUMIFS('capacity data'!$L:$L,'capacity data'!$B:$B,P12,'capacity data'!$E:$E,"TPO")/SUMIFS('capacity data'!$G:$G,'capacity data'!$E:$E,"TPO",'capacity data'!$B:$B,P12),"")</f>
        <v/>
      </c>
      <c r="V12" s="400" t="str">
        <f>IFERROR(SUMIFS('capacity data'!$L:$L,'capacity data'!$B:$B,P12,'capacity data'!$E:$E,"PO")/SUMIFS('capacity data'!$G:$G,'capacity data'!$E:$E,"PO",'capacity data'!$B:$B,P12),"")</f>
        <v/>
      </c>
      <c r="W12" s="400" t="str">
        <f>IFERROR(SUM((SUMIFS('capacity data'!$G:$G,'capacity data'!$B:$B,P12))-SUMIFS('capacity data'!$H:$H,'capacity data'!$B:$B,P12))/SUMIFS('capacity data'!$G:$G,'capacity data'!$B:$B,P12),"")</f>
        <v/>
      </c>
    </row>
    <row r="13" spans="1:23" ht="16" x14ac:dyDescent="0.2">
      <c r="O13" s="23" t="s">
        <v>18</v>
      </c>
      <c r="P13" t="s">
        <v>137</v>
      </c>
      <c r="Q13" s="222" t="str">
        <f>IFERROR(SUM((SUMIFS('capacity data'!$G:$G,'capacity data'!$E:$E,"PO",'capacity data'!$B:$B,P13))-SUMIFS('capacity data'!$H:$H,'capacity data'!$E:$E,"PO",'capacity data'!$B:$B,P13))/SUMIFS('capacity data'!$G:$G,'capacity data'!$E:$E,"PO",'capacity data'!$B:$B,P13),"")</f>
        <v/>
      </c>
      <c r="R13" s="222" t="str">
        <f>IFERROR(SUM((SUMIFS('capacity data'!$G:$G,'capacity data'!$E:$E,"PSO",'capacity data'!$B:$B,P13))-SUMIFS('capacity data'!$H:$H,'capacity data'!$E:$E,"PSO",'capacity data'!$B:$B,P13))/SUMIFS('capacity data'!$G:$G,'capacity data'!$E:$E,"PSO",'capacity data'!$B:$B,P13),"")</f>
        <v/>
      </c>
      <c r="S13" s="22" t="str">
        <f t="shared" si="0"/>
        <v/>
      </c>
      <c r="T13" s="223" t="str">
        <f>IFERROR(SUMIFS('capacity data'!$L:$L,'capacity data'!$B:$B,P13,'capacity data'!$E:$E,"PSO")/SUMIFS('capacity data'!$G:$G,'capacity data'!$E:$E,"PSO",'capacity data'!$B:$B,P13),"")</f>
        <v/>
      </c>
      <c r="U13" s="223" t="str">
        <f>IFERROR(SUMIFS('capacity data'!$L:$L,'capacity data'!$B:$B,P13,'capacity data'!$E:$E,"TPO")/SUMIFS('capacity data'!$G:$G,'capacity data'!$E:$E,"TPO",'capacity data'!$B:$B,P13),"")</f>
        <v/>
      </c>
      <c r="V13" s="400" t="str">
        <f>IFERROR(SUMIFS('capacity data'!$L:$L,'capacity data'!$B:$B,P13,'capacity data'!$E:$E,"PO")/SUMIFS('capacity data'!$G:$G,'capacity data'!$E:$E,"PO",'capacity data'!$B:$B,P13),"")</f>
        <v/>
      </c>
      <c r="W13" s="400" t="str">
        <f>IFERROR(SUM((SUMIFS('capacity data'!$G:$G,'capacity data'!$B:$B,P13))-SUMIFS('capacity data'!$H:$H,'capacity data'!$B:$B,P13))/SUMIFS('capacity data'!$G:$G,'capacity data'!$B:$B,P13),"")</f>
        <v/>
      </c>
    </row>
    <row r="14" spans="1:23" ht="16" x14ac:dyDescent="0.2">
      <c r="O14" s="23" t="s">
        <v>18</v>
      </c>
      <c r="P14" t="s">
        <v>158</v>
      </c>
      <c r="Q14" s="222" t="str">
        <f>IFERROR(SUM((SUMIFS('capacity data'!$G:$G,'capacity data'!$E:$E,"PO",'capacity data'!$B:$B,P14))-SUMIFS('capacity data'!$H:$H,'capacity data'!$E:$E,"PO",'capacity data'!$B:$B,P14))/SUMIFS('capacity data'!$G:$G,'capacity data'!$E:$E,"PO",'capacity data'!$B:$B,P14),"")</f>
        <v/>
      </c>
      <c r="R14" s="222" t="str">
        <f>IFERROR(SUM((SUMIFS('capacity data'!$G:$G,'capacity data'!$E:$E,"PSO",'capacity data'!$B:$B,P14))-SUMIFS('capacity data'!$H:$H,'capacity data'!$E:$E,"PSO",'capacity data'!$B:$B,P14))/SUMIFS('capacity data'!$G:$G,'capacity data'!$E:$E,"PSO",'capacity data'!$B:$B,P14),"")</f>
        <v/>
      </c>
      <c r="S14" s="22" t="str">
        <f t="shared" si="0"/>
        <v/>
      </c>
      <c r="T14" s="223" t="str">
        <f>IFERROR(SUMIFS('capacity data'!$L:$L,'capacity data'!$B:$B,P14,'capacity data'!$E:$E,"PSO")/SUMIFS('capacity data'!$G:$G,'capacity data'!$E:$E,"PSO",'capacity data'!$B:$B,P14),"")</f>
        <v/>
      </c>
      <c r="U14" s="223" t="str">
        <f>IFERROR(SUMIFS('capacity data'!$L:$L,'capacity data'!$B:$B,P14,'capacity data'!$E:$E,"TPO")/SUMIFS('capacity data'!$G:$G,'capacity data'!$E:$E,"TPO",'capacity data'!$B:$B,P14),"")</f>
        <v/>
      </c>
      <c r="V14" s="400" t="str">
        <f>IFERROR(SUMIFS('capacity data'!$L:$L,'capacity data'!$B:$B,P14,'capacity data'!$E:$E,"PO")/SUMIFS('capacity data'!$G:$G,'capacity data'!$E:$E,"PO",'capacity data'!$B:$B,P14),"")</f>
        <v/>
      </c>
      <c r="W14" s="400" t="str">
        <f>IFERROR(SUM((SUMIFS('capacity data'!$G:$G,'capacity data'!$B:$B,P14))-SUMIFS('capacity data'!$H:$H,'capacity data'!$B:$B,P14))/SUMIFS('capacity data'!$G:$G,'capacity data'!$B:$B,P14),"")</f>
        <v/>
      </c>
    </row>
    <row r="15" spans="1:23" ht="16" x14ac:dyDescent="0.2">
      <c r="O15" s="23" t="s">
        <v>18</v>
      </c>
      <c r="P15" t="s">
        <v>178</v>
      </c>
      <c r="Q15" s="222" t="str">
        <f>IFERROR(SUM((SUMIFS('capacity data'!$G:$G,'capacity data'!$E:$E,"PO",'capacity data'!$B:$B,P15))-SUMIFS('capacity data'!$H:$H,'capacity data'!$E:$E,"PO",'capacity data'!$B:$B,P15))/SUMIFS('capacity data'!$G:$G,'capacity data'!$E:$E,"PO",'capacity data'!$B:$B,P15),"")</f>
        <v/>
      </c>
      <c r="R15" s="222" t="str">
        <f>IFERROR(SUM((SUMIFS('capacity data'!$G:$G,'capacity data'!$E:$E,"PSO",'capacity data'!$B:$B,P15))-SUMIFS('capacity data'!$H:$H,'capacity data'!$E:$E,"PSO",'capacity data'!$B:$B,P15))/SUMIFS('capacity data'!$G:$G,'capacity data'!$E:$E,"PSO",'capacity data'!$B:$B,P15),"")</f>
        <v/>
      </c>
      <c r="S15" s="22" t="str">
        <f t="shared" si="0"/>
        <v/>
      </c>
      <c r="T15" s="223" t="str">
        <f>IFERROR(SUMIFS('capacity data'!$L:$L,'capacity data'!$B:$B,P15,'capacity data'!$E:$E,"PSO")/SUMIFS('capacity data'!$G:$G,'capacity data'!$E:$E,"PSO",'capacity data'!$B:$B,P15),"")</f>
        <v/>
      </c>
      <c r="U15" s="223" t="str">
        <f>IFERROR(SUMIFS('capacity data'!$L:$L,'capacity data'!$B:$B,P15,'capacity data'!$E:$E,"TPO")/SUMIFS('capacity data'!$G:$G,'capacity data'!$E:$E,"TPO",'capacity data'!$B:$B,P15),"")</f>
        <v/>
      </c>
      <c r="V15" s="400" t="str">
        <f>IFERROR(SUMIFS('capacity data'!$L:$L,'capacity data'!$B:$B,P15,'capacity data'!$E:$E,"PO")/SUMIFS('capacity data'!$G:$G,'capacity data'!$E:$E,"PO",'capacity data'!$B:$B,P15),"")</f>
        <v/>
      </c>
      <c r="W15" s="400" t="str">
        <f>IFERROR(SUM((SUMIFS('capacity data'!$G:$G,'capacity data'!$B:$B,P15))-SUMIFS('capacity data'!$H:$H,'capacity data'!$B:$B,P15))/SUMIFS('capacity data'!$G:$G,'capacity data'!$B:$B,P15),"")</f>
        <v/>
      </c>
    </row>
    <row r="16" spans="1:23" ht="16" x14ac:dyDescent="0.2">
      <c r="O16" s="23" t="s">
        <v>18</v>
      </c>
      <c r="P16" t="s">
        <v>197</v>
      </c>
      <c r="Q16" s="222" t="str">
        <f>IFERROR(SUM((SUMIFS('capacity data'!$G:$G,'capacity data'!$E:$E,"PO",'capacity data'!$B:$B,P16))-SUMIFS('capacity data'!$H:$H,'capacity data'!$E:$E,"PO",'capacity data'!$B:$B,P16))/SUMIFS('capacity data'!$G:$G,'capacity data'!$E:$E,"PO",'capacity data'!$B:$B,P16),"")</f>
        <v/>
      </c>
      <c r="R16" s="222" t="str">
        <f>IFERROR(SUM((SUMIFS('capacity data'!$G:$G,'capacity data'!$E:$E,"PSO",'capacity data'!$B:$B,P16))-SUMIFS('capacity data'!$H:$H,'capacity data'!$E:$E,"PSO",'capacity data'!$B:$B,P16))/SUMIFS('capacity data'!$G:$G,'capacity data'!$E:$E,"PSO",'capacity data'!$B:$B,P16),"")</f>
        <v/>
      </c>
      <c r="S16" s="22" t="str">
        <f t="shared" si="0"/>
        <v/>
      </c>
      <c r="T16" s="223" t="str">
        <f>IFERROR(SUMIFS('capacity data'!$L:$L,'capacity data'!$B:$B,P16,'capacity data'!$E:$E,"PSO")/SUMIFS('capacity data'!$G:$G,'capacity data'!$E:$E,"PSO",'capacity data'!$B:$B,P16),"")</f>
        <v/>
      </c>
      <c r="U16" s="223" t="str">
        <f>IFERROR(SUMIFS('capacity data'!$L:$L,'capacity data'!$B:$B,P16,'capacity data'!$E:$E,"TPO")/SUMIFS('capacity data'!$G:$G,'capacity data'!$E:$E,"TPO",'capacity data'!$B:$B,P16),"")</f>
        <v/>
      </c>
      <c r="V16" s="400" t="str">
        <f>IFERROR(SUMIFS('capacity data'!$L:$L,'capacity data'!$B:$B,P16,'capacity data'!$E:$E,"PO")/SUMIFS('capacity data'!$G:$G,'capacity data'!$E:$E,"PO",'capacity data'!$B:$B,P16),"")</f>
        <v/>
      </c>
      <c r="W16" s="400" t="str">
        <f>IFERROR(SUM((SUMIFS('capacity data'!$G:$G,'capacity data'!$B:$B,P16))-SUMIFS('capacity data'!$H:$H,'capacity data'!$B:$B,P16))/SUMIFS('capacity data'!$G:$G,'capacity data'!$B:$B,P16),"")</f>
        <v/>
      </c>
    </row>
    <row r="17" spans="15:23" ht="16" x14ac:dyDescent="0.2">
      <c r="O17" s="23" t="s">
        <v>18</v>
      </c>
      <c r="P17" t="s">
        <v>215</v>
      </c>
      <c r="Q17" s="222" t="str">
        <f>IFERROR(SUM((SUMIFS('capacity data'!$G:$G,'capacity data'!$E:$E,"PO",'capacity data'!$B:$B,P17))-SUMIFS('capacity data'!$H:$H,'capacity data'!$E:$E,"PO",'capacity data'!$B:$B,P17))/SUMIFS('capacity data'!$G:$G,'capacity data'!$E:$E,"PO",'capacity data'!$B:$B,P17),"")</f>
        <v/>
      </c>
      <c r="R17" s="222" t="str">
        <f>IFERROR(SUM((SUMIFS('capacity data'!$G:$G,'capacity data'!$E:$E,"PSO",'capacity data'!$B:$B,P17))-SUMIFS('capacity data'!$H:$H,'capacity data'!$E:$E,"PSO",'capacity data'!$B:$B,P17))/SUMIFS('capacity data'!$G:$G,'capacity data'!$E:$E,"PSO",'capacity data'!$B:$B,P17),"")</f>
        <v/>
      </c>
      <c r="S17" s="22" t="str">
        <f t="shared" si="0"/>
        <v/>
      </c>
      <c r="T17" s="223" t="str">
        <f>IFERROR(SUMIFS('capacity data'!$L:$L,'capacity data'!$B:$B,P17,'capacity data'!$E:$E,"PSO")/SUMIFS('capacity data'!$G:$G,'capacity data'!$E:$E,"PSO",'capacity data'!$B:$B,P17),"")</f>
        <v/>
      </c>
      <c r="U17" s="223" t="str">
        <f>IFERROR(SUMIFS('capacity data'!$L:$L,'capacity data'!$B:$B,P17,'capacity data'!$E:$E,"TPO")/SUMIFS('capacity data'!$G:$G,'capacity data'!$E:$E,"TPO",'capacity data'!$B:$B,P17),"")</f>
        <v/>
      </c>
      <c r="V17" s="400" t="str">
        <f>IFERROR(SUMIFS('capacity data'!$L:$L,'capacity data'!$B:$B,P17,'capacity data'!$E:$E,"PO")/SUMIFS('capacity data'!$G:$G,'capacity data'!$E:$E,"PO",'capacity data'!$B:$B,P17),"")</f>
        <v/>
      </c>
      <c r="W17" s="400" t="str">
        <f>IFERROR(SUM((SUMIFS('capacity data'!$G:$G,'capacity data'!$B:$B,P17))-SUMIFS('capacity data'!$H:$H,'capacity data'!$B:$B,P17))/SUMIFS('capacity data'!$G:$G,'capacity data'!$B:$B,P17),"")</f>
        <v/>
      </c>
    </row>
    <row r="18" spans="15:23" ht="16" x14ac:dyDescent="0.2">
      <c r="O18" s="23" t="s">
        <v>18</v>
      </c>
      <c r="P18" t="s">
        <v>232</v>
      </c>
      <c r="Q18" s="222" t="str">
        <f>IFERROR(SUM((SUMIFS('capacity data'!$G:$G,'capacity data'!$E:$E,"PO",'capacity data'!$B:$B,P18))-SUMIFS('capacity data'!$H:$H,'capacity data'!$E:$E,"PO",'capacity data'!$B:$B,P18))/SUMIFS('capacity data'!$G:$G,'capacity data'!$E:$E,"PO",'capacity data'!$B:$B,P18),"")</f>
        <v/>
      </c>
      <c r="R18" s="222" t="str">
        <f>IFERROR(SUM((SUMIFS('capacity data'!$G:$G,'capacity data'!$E:$E,"PSO",'capacity data'!$B:$B,P18))-SUMIFS('capacity data'!$H:$H,'capacity data'!$E:$E,"PSO",'capacity data'!$B:$B,P18))/SUMIFS('capacity data'!$G:$G,'capacity data'!$E:$E,"PSO",'capacity data'!$B:$B,P18),"")</f>
        <v/>
      </c>
      <c r="S18" s="22" t="str">
        <f t="shared" si="0"/>
        <v/>
      </c>
      <c r="T18" s="223" t="str">
        <f>IFERROR(SUMIFS('capacity data'!$L:$L,'capacity data'!$B:$B,P18,'capacity data'!$E:$E,"PSO")/SUMIFS('capacity data'!$G:$G,'capacity data'!$E:$E,"PSO",'capacity data'!$B:$B,P18),"")</f>
        <v/>
      </c>
      <c r="U18" s="223" t="str">
        <f>IFERROR(SUMIFS('capacity data'!$L:$L,'capacity data'!$B:$B,P18,'capacity data'!$E:$E,"TPO")/SUMIFS('capacity data'!$G:$G,'capacity data'!$E:$E,"TPO",'capacity data'!$B:$B,P18),"")</f>
        <v/>
      </c>
      <c r="V18" s="400" t="str">
        <f>IFERROR(SUMIFS('capacity data'!$L:$L,'capacity data'!$B:$B,P18,'capacity data'!$E:$E,"PO")/SUMIFS('capacity data'!$G:$G,'capacity data'!$E:$E,"PO",'capacity data'!$B:$B,P18),"")</f>
        <v/>
      </c>
      <c r="W18" s="400" t="str">
        <f>IFERROR(SUM((SUMIFS('capacity data'!$G:$G,'capacity data'!$B:$B,P18))-SUMIFS('capacity data'!$H:$H,'capacity data'!$B:$B,P18))/SUMIFS('capacity data'!$G:$G,'capacity data'!$B:$B,P18),"")</f>
        <v/>
      </c>
    </row>
    <row r="19" spans="15:23" ht="16" x14ac:dyDescent="0.2">
      <c r="O19" s="23" t="s">
        <v>18</v>
      </c>
      <c r="P19" t="s">
        <v>247</v>
      </c>
      <c r="Q19" s="222" t="str">
        <f>IFERROR(SUM((SUMIFS('capacity data'!$G:$G,'capacity data'!$E:$E,"PO",'capacity data'!$B:$B,P19))-SUMIFS('capacity data'!$H:$H,'capacity data'!$E:$E,"PO",'capacity data'!$B:$B,P19))/SUMIFS('capacity data'!$G:$G,'capacity data'!$E:$E,"PO",'capacity data'!$B:$B,P19),"")</f>
        <v/>
      </c>
      <c r="R19" s="222" t="str">
        <f>IFERROR(SUM((SUMIFS('capacity data'!$G:$G,'capacity data'!$E:$E,"PSO",'capacity data'!$B:$B,P19))-SUMIFS('capacity data'!$H:$H,'capacity data'!$E:$E,"PSO",'capacity data'!$B:$B,P19))/SUMIFS('capacity data'!$G:$G,'capacity data'!$E:$E,"PSO",'capacity data'!$B:$B,P19),"")</f>
        <v/>
      </c>
      <c r="S19" s="22" t="str">
        <f t="shared" si="0"/>
        <v/>
      </c>
      <c r="T19" s="223" t="str">
        <f>IFERROR(SUMIFS('capacity data'!$L:$L,'capacity data'!$B:$B,P19,'capacity data'!$E:$E,"PSO")/SUMIFS('capacity data'!$G:$G,'capacity data'!$E:$E,"PSO",'capacity data'!$B:$B,P19),"")</f>
        <v/>
      </c>
      <c r="U19" s="223" t="str">
        <f>IFERROR(SUMIFS('capacity data'!$L:$L,'capacity data'!$B:$B,P19,'capacity data'!$E:$E,"TPO")/SUMIFS('capacity data'!$G:$G,'capacity data'!$E:$E,"TPO",'capacity data'!$B:$B,P19),"")</f>
        <v/>
      </c>
      <c r="V19" s="400" t="str">
        <f>IFERROR(SUMIFS('capacity data'!$L:$L,'capacity data'!$B:$B,P19,'capacity data'!$E:$E,"PO")/SUMIFS('capacity data'!$G:$G,'capacity data'!$E:$E,"PO",'capacity data'!$B:$B,P19),"")</f>
        <v/>
      </c>
      <c r="W19" s="400" t="str">
        <f>IFERROR(SUM((SUMIFS('capacity data'!$G:$G,'capacity data'!$B:$B,P19))-SUMIFS('capacity data'!$H:$H,'capacity data'!$B:$B,P19))/SUMIFS('capacity data'!$G:$G,'capacity data'!$B:$B,P19),"")</f>
        <v/>
      </c>
    </row>
    <row r="20" spans="15:23" ht="16" x14ac:dyDescent="0.2">
      <c r="O20" s="23" t="s">
        <v>19</v>
      </c>
      <c r="P20" t="s">
        <v>31</v>
      </c>
      <c r="Q20" s="222" t="str">
        <f>IFERROR(SUM((SUMIFS('capacity data'!$G:$G,'capacity data'!$E:$E,"PO",'capacity data'!$B:$B,P20))-SUMIFS('capacity data'!$H:$H,'capacity data'!$E:$E,"PO",'capacity data'!$B:$B,P20))/SUMIFS('capacity data'!$G:$G,'capacity data'!$E:$E,"PO",'capacity data'!$B:$B,P20),"")</f>
        <v/>
      </c>
      <c r="R20" s="222" t="str">
        <f>IFERROR(SUM((SUMIFS('capacity data'!$G:$G,'capacity data'!$E:$E,"PSO",'capacity data'!$B:$B,P20))-SUMIFS('capacity data'!$H:$H,'capacity data'!$E:$E,"PSO",'capacity data'!$B:$B,P20))/SUMIFS('capacity data'!$G:$G,'capacity data'!$E:$E,"PSO",'capacity data'!$B:$B,P20),"")</f>
        <v/>
      </c>
      <c r="S20" s="22" t="str">
        <f t="shared" si="0"/>
        <v/>
      </c>
      <c r="T20" s="223" t="str">
        <f>IFERROR(SUMIFS('capacity data'!$L:$L,'capacity data'!$B:$B,P20,'capacity data'!$E:$E,"PSO")/SUMIFS('capacity data'!$G:$G,'capacity data'!$E:$E,"PSO",'capacity data'!$B:$B,P20),"")</f>
        <v/>
      </c>
      <c r="U20" s="223" t="str">
        <f>IFERROR(SUMIFS('capacity data'!$L:$L,'capacity data'!$B:$B,P20,'capacity data'!$E:$E,"TPO")/SUMIFS('capacity data'!$G:$G,'capacity data'!$E:$E,"TPO",'capacity data'!$B:$B,P20),"")</f>
        <v/>
      </c>
      <c r="V20" s="400" t="str">
        <f>IFERROR(SUMIFS('capacity data'!$L:$L,'capacity data'!$B:$B,P20,'capacity data'!$E:$E,"PO")/SUMIFS('capacity data'!$G:$G,'capacity data'!$E:$E,"PO",'capacity data'!$B:$B,P20),"")</f>
        <v/>
      </c>
      <c r="W20" s="400" t="str">
        <f>IFERROR(SUM((SUMIFS('capacity data'!$G:$G,'capacity data'!$B:$B,P20))-SUMIFS('capacity data'!$H:$H,'capacity data'!$B:$B,P20))/SUMIFS('capacity data'!$G:$G,'capacity data'!$B:$B,P20),"")</f>
        <v/>
      </c>
    </row>
    <row r="21" spans="15:23" ht="16" x14ac:dyDescent="0.2">
      <c r="O21" s="23" t="s">
        <v>19</v>
      </c>
      <c r="P21" t="s">
        <v>53</v>
      </c>
      <c r="Q21" s="222" t="str">
        <f>IFERROR(SUM((SUMIFS('capacity data'!$G:$G,'capacity data'!$E:$E,"PO",'capacity data'!$B:$B,P21))-SUMIFS('capacity data'!$H:$H,'capacity data'!$E:$E,"PO",'capacity data'!$B:$B,P21))/SUMIFS('capacity data'!$G:$G,'capacity data'!$E:$E,"PO",'capacity data'!$B:$B,P21),"")</f>
        <v/>
      </c>
      <c r="R21" s="222" t="str">
        <f>IFERROR(SUM((SUMIFS('capacity data'!$G:$G,'capacity data'!$E:$E,"PSO",'capacity data'!$B:$B,P21))-SUMIFS('capacity data'!$H:$H,'capacity data'!$E:$E,"PSO",'capacity data'!$B:$B,P21))/SUMIFS('capacity data'!$G:$G,'capacity data'!$E:$E,"PSO",'capacity data'!$B:$B,P21),"")</f>
        <v/>
      </c>
      <c r="S21" s="22" t="str">
        <f t="shared" si="0"/>
        <v/>
      </c>
      <c r="T21" s="223" t="str">
        <f>IFERROR(SUMIFS('capacity data'!$L:$L,'capacity data'!$B:$B,P21,'capacity data'!$E:$E,"PSO")/SUMIFS('capacity data'!$G:$G,'capacity data'!$E:$E,"PSO",'capacity data'!$B:$B,P21),"")</f>
        <v/>
      </c>
      <c r="U21" s="223" t="str">
        <f>IFERROR(SUMIFS('capacity data'!$L:$L,'capacity data'!$B:$B,P21,'capacity data'!$E:$E,"TPO")/SUMIFS('capacity data'!$G:$G,'capacity data'!$E:$E,"TPO",'capacity data'!$B:$B,P21),"")</f>
        <v/>
      </c>
      <c r="V21" s="400" t="str">
        <f>IFERROR(SUMIFS('capacity data'!$L:$L,'capacity data'!$B:$B,P21,'capacity data'!$E:$E,"PO")/SUMIFS('capacity data'!$G:$G,'capacity data'!$E:$E,"PO",'capacity data'!$B:$B,P21),"")</f>
        <v/>
      </c>
      <c r="W21" s="400" t="str">
        <f>IFERROR(SUM((SUMIFS('capacity data'!$G:$G,'capacity data'!$B:$B,P21))-SUMIFS('capacity data'!$H:$H,'capacity data'!$B:$B,P21))/SUMIFS('capacity data'!$G:$G,'capacity data'!$B:$B,P21),"")</f>
        <v/>
      </c>
    </row>
    <row r="22" spans="15:23" ht="16" x14ac:dyDescent="0.2">
      <c r="O22" s="23" t="s">
        <v>19</v>
      </c>
      <c r="P22" t="s">
        <v>74</v>
      </c>
      <c r="Q22" s="222" t="str">
        <f>IFERROR(SUM((SUMIFS('capacity data'!$G:$G,'capacity data'!$E:$E,"PO",'capacity data'!$B:$B,P22))-SUMIFS('capacity data'!$H:$H,'capacity data'!$E:$E,"PO",'capacity data'!$B:$B,P22))/SUMIFS('capacity data'!$G:$G,'capacity data'!$E:$E,"PO",'capacity data'!$B:$B,P22),"")</f>
        <v/>
      </c>
      <c r="R22" s="222" t="str">
        <f>IFERROR(SUM((SUMIFS('capacity data'!$G:$G,'capacity data'!$E:$E,"PSO",'capacity data'!$B:$B,P22))-SUMIFS('capacity data'!$H:$H,'capacity data'!$E:$E,"PSO",'capacity data'!$B:$B,P22))/SUMIFS('capacity data'!$G:$G,'capacity data'!$E:$E,"PSO",'capacity data'!$B:$B,P22),"")</f>
        <v/>
      </c>
      <c r="S22" s="22" t="str">
        <f t="shared" si="0"/>
        <v/>
      </c>
      <c r="T22" s="223" t="str">
        <f>IFERROR(SUMIFS('capacity data'!$L:$L,'capacity data'!$B:$B,P22,'capacity data'!$E:$E,"PSO")/SUMIFS('capacity data'!$G:$G,'capacity data'!$E:$E,"PSO",'capacity data'!$B:$B,P22),"")</f>
        <v/>
      </c>
      <c r="U22" s="223" t="str">
        <f>IFERROR(SUMIFS('capacity data'!$L:$L,'capacity data'!$B:$B,P22,'capacity data'!$E:$E,"TPO")/SUMIFS('capacity data'!$G:$G,'capacity data'!$E:$E,"TPO",'capacity data'!$B:$B,P22),"")</f>
        <v/>
      </c>
      <c r="V22" s="400" t="str">
        <f>IFERROR(SUMIFS('capacity data'!$L:$L,'capacity data'!$B:$B,P22,'capacity data'!$E:$E,"PO")/SUMIFS('capacity data'!$G:$G,'capacity data'!$E:$E,"PO",'capacity data'!$B:$B,P22),"")</f>
        <v/>
      </c>
      <c r="W22" s="400" t="str">
        <f>IFERROR(SUM((SUMIFS('capacity data'!$G:$G,'capacity data'!$B:$B,P22))-SUMIFS('capacity data'!$H:$H,'capacity data'!$B:$B,P22))/SUMIFS('capacity data'!$G:$G,'capacity data'!$B:$B,P22),"")</f>
        <v/>
      </c>
    </row>
    <row r="23" spans="15:23" ht="16" x14ac:dyDescent="0.2">
      <c r="O23" s="23" t="s">
        <v>19</v>
      </c>
      <c r="P23" t="s">
        <v>95</v>
      </c>
      <c r="Q23" s="222" t="str">
        <f>IFERROR(SUM((SUMIFS('capacity data'!$G:$G,'capacity data'!$E:$E,"PO",'capacity data'!$B:$B,P23))-SUMIFS('capacity data'!$H:$H,'capacity data'!$E:$E,"PO",'capacity data'!$B:$B,P23))/SUMIFS('capacity data'!$G:$G,'capacity data'!$E:$E,"PO",'capacity data'!$B:$B,P23),"")</f>
        <v/>
      </c>
      <c r="R23" s="222" t="str">
        <f>IFERROR(SUM((SUMIFS('capacity data'!$G:$G,'capacity data'!$E:$E,"PSO",'capacity data'!$B:$B,P23))-SUMIFS('capacity data'!$H:$H,'capacity data'!$E:$E,"PSO",'capacity data'!$B:$B,P23))/SUMIFS('capacity data'!$G:$G,'capacity data'!$E:$E,"PSO",'capacity data'!$B:$B,P23),"")</f>
        <v/>
      </c>
      <c r="S23" s="22" t="str">
        <f t="shared" si="0"/>
        <v/>
      </c>
      <c r="T23" s="223" t="str">
        <f>IFERROR(SUMIFS('capacity data'!$L:$L,'capacity data'!$B:$B,P23,'capacity data'!$E:$E,"PSO")/SUMIFS('capacity data'!$G:$G,'capacity data'!$E:$E,"PSO",'capacity data'!$B:$B,P23),"")</f>
        <v/>
      </c>
      <c r="U23" s="223" t="str">
        <f>IFERROR(SUMIFS('capacity data'!$L:$L,'capacity data'!$B:$B,P23,'capacity data'!$E:$E,"TPO")/SUMIFS('capacity data'!$G:$G,'capacity data'!$E:$E,"TPO",'capacity data'!$B:$B,P23),"")</f>
        <v/>
      </c>
      <c r="V23" s="400" t="str">
        <f>IFERROR(SUMIFS('capacity data'!$L:$L,'capacity data'!$B:$B,P23,'capacity data'!$E:$E,"PO")/SUMIFS('capacity data'!$G:$G,'capacity data'!$E:$E,"PO",'capacity data'!$B:$B,P23),"")</f>
        <v/>
      </c>
      <c r="W23" s="400" t="str">
        <f>IFERROR(SUM((SUMIFS('capacity data'!$G:$G,'capacity data'!$B:$B,P23))-SUMIFS('capacity data'!$H:$H,'capacity data'!$B:$B,P23))/SUMIFS('capacity data'!$G:$G,'capacity data'!$B:$B,P23),"")</f>
        <v/>
      </c>
    </row>
    <row r="24" spans="15:23" ht="16" x14ac:dyDescent="0.2">
      <c r="O24" s="23" t="s">
        <v>19</v>
      </c>
      <c r="P24" t="s">
        <v>117</v>
      </c>
      <c r="Q24" s="222" t="str">
        <f>IFERROR(SUM((SUMIFS('capacity data'!$G:$G,'capacity data'!$E:$E,"PO",'capacity data'!$B:$B,P24))-SUMIFS('capacity data'!$H:$H,'capacity data'!$E:$E,"PO",'capacity data'!$B:$B,P24))/SUMIFS('capacity data'!$G:$G,'capacity data'!$E:$E,"PO",'capacity data'!$B:$B,P24),"")</f>
        <v/>
      </c>
      <c r="R24" s="222" t="str">
        <f>IFERROR(SUM((SUMIFS('capacity data'!$G:$G,'capacity data'!$E:$E,"PSO",'capacity data'!$B:$B,P24))-SUMIFS('capacity data'!$H:$H,'capacity data'!$E:$E,"PSO",'capacity data'!$B:$B,P24))/SUMIFS('capacity data'!$G:$G,'capacity data'!$E:$E,"PSO",'capacity data'!$B:$B,P24),"")</f>
        <v/>
      </c>
      <c r="S24" s="22" t="str">
        <f t="shared" si="0"/>
        <v/>
      </c>
      <c r="T24" s="223" t="str">
        <f>IFERROR(SUMIFS('capacity data'!$L:$L,'capacity data'!$B:$B,P24,'capacity data'!$E:$E,"PSO")/SUMIFS('capacity data'!$G:$G,'capacity data'!$E:$E,"PSO",'capacity data'!$B:$B,P24),"")</f>
        <v/>
      </c>
      <c r="U24" s="223" t="str">
        <f>IFERROR(SUMIFS('capacity data'!$L:$L,'capacity data'!$B:$B,P24,'capacity data'!$E:$E,"TPO")/SUMIFS('capacity data'!$G:$G,'capacity data'!$E:$E,"TPO",'capacity data'!$B:$B,P24),"")</f>
        <v/>
      </c>
      <c r="V24" s="400" t="str">
        <f>IFERROR(SUMIFS('capacity data'!$L:$L,'capacity data'!$B:$B,P24,'capacity data'!$E:$E,"PO")/SUMIFS('capacity data'!$G:$G,'capacity data'!$E:$E,"PO",'capacity data'!$B:$B,P24),"")</f>
        <v/>
      </c>
      <c r="W24" s="400" t="str">
        <f>IFERROR(SUM((SUMIFS('capacity data'!$G:$G,'capacity data'!$B:$B,P24))-SUMIFS('capacity data'!$H:$H,'capacity data'!$B:$B,P24))/SUMIFS('capacity data'!$G:$G,'capacity data'!$B:$B,P24),"")</f>
        <v/>
      </c>
    </row>
    <row r="25" spans="15:23" ht="16" x14ac:dyDescent="0.2">
      <c r="O25" s="23" t="s">
        <v>19</v>
      </c>
      <c r="P25" t="s">
        <v>138</v>
      </c>
      <c r="Q25" s="222" t="str">
        <f>IFERROR(SUM((SUMIFS('capacity data'!$G:$G,'capacity data'!$E:$E,"PO",'capacity data'!$B:$B,P25))-SUMIFS('capacity data'!$H:$H,'capacity data'!$E:$E,"PO",'capacity data'!$B:$B,P25))/SUMIFS('capacity data'!$G:$G,'capacity data'!$E:$E,"PO",'capacity data'!$B:$B,P25),"")</f>
        <v/>
      </c>
      <c r="R25" s="222" t="str">
        <f>IFERROR(SUM((SUMIFS('capacity data'!$G:$G,'capacity data'!$E:$E,"PSO",'capacity data'!$B:$B,P25))-SUMIFS('capacity data'!$H:$H,'capacity data'!$E:$E,"PSO",'capacity data'!$B:$B,P25))/SUMIFS('capacity data'!$G:$G,'capacity data'!$E:$E,"PSO",'capacity data'!$B:$B,P25),"")</f>
        <v/>
      </c>
      <c r="S25" s="22" t="str">
        <f t="shared" si="0"/>
        <v/>
      </c>
      <c r="T25" s="223" t="str">
        <f>IFERROR(SUMIFS('capacity data'!$L:$L,'capacity data'!$B:$B,P25,'capacity data'!$E:$E,"PSO")/SUMIFS('capacity data'!$G:$G,'capacity data'!$E:$E,"PSO",'capacity data'!$B:$B,P25),"")</f>
        <v/>
      </c>
      <c r="U25" s="223" t="str">
        <f>IFERROR(SUMIFS('capacity data'!$L:$L,'capacity data'!$B:$B,P25,'capacity data'!$E:$E,"TPO")/SUMIFS('capacity data'!$G:$G,'capacity data'!$E:$E,"TPO",'capacity data'!$B:$B,P25),"")</f>
        <v/>
      </c>
      <c r="V25" s="400" t="str">
        <f>IFERROR(SUMIFS('capacity data'!$L:$L,'capacity data'!$B:$B,P25,'capacity data'!$E:$E,"PO")/SUMIFS('capacity data'!$G:$G,'capacity data'!$E:$E,"PO",'capacity data'!$B:$B,P25),"")</f>
        <v/>
      </c>
      <c r="W25" s="400" t="str">
        <f>IFERROR(SUM((SUMIFS('capacity data'!$G:$G,'capacity data'!$B:$B,P25))-SUMIFS('capacity data'!$H:$H,'capacity data'!$B:$B,P25))/SUMIFS('capacity data'!$G:$G,'capacity data'!$B:$B,P25),"")</f>
        <v/>
      </c>
    </row>
    <row r="26" spans="15:23" ht="16" x14ac:dyDescent="0.2">
      <c r="O26" s="23" t="s">
        <v>19</v>
      </c>
      <c r="P26" t="s">
        <v>159</v>
      </c>
      <c r="Q26" s="222" t="str">
        <f>IFERROR(SUM((SUMIFS('capacity data'!$G:$G,'capacity data'!$E:$E,"PO",'capacity data'!$B:$B,P26))-SUMIFS('capacity data'!$H:$H,'capacity data'!$E:$E,"PO",'capacity data'!$B:$B,P26))/SUMIFS('capacity data'!$G:$G,'capacity data'!$E:$E,"PO",'capacity data'!$B:$B,P26),"")</f>
        <v/>
      </c>
      <c r="R26" s="222" t="str">
        <f>IFERROR(SUM((SUMIFS('capacity data'!$G:$G,'capacity data'!$E:$E,"PSO",'capacity data'!$B:$B,P26))-SUMIFS('capacity data'!$H:$H,'capacity data'!$E:$E,"PSO",'capacity data'!$B:$B,P26))/SUMIFS('capacity data'!$G:$G,'capacity data'!$E:$E,"PSO",'capacity data'!$B:$B,P26),"")</f>
        <v/>
      </c>
      <c r="S26" s="22" t="str">
        <f t="shared" si="0"/>
        <v/>
      </c>
      <c r="T26" s="223" t="str">
        <f>IFERROR(SUMIFS('capacity data'!$L:$L,'capacity data'!$B:$B,P26,'capacity data'!$E:$E,"PSO")/SUMIFS('capacity data'!$G:$G,'capacity data'!$E:$E,"PSO",'capacity data'!$B:$B,P26),"")</f>
        <v/>
      </c>
      <c r="U26" s="223" t="str">
        <f>IFERROR(SUMIFS('capacity data'!$L:$L,'capacity data'!$B:$B,P26,'capacity data'!$E:$E,"TPO")/SUMIFS('capacity data'!$G:$G,'capacity data'!$E:$E,"TPO",'capacity data'!$B:$B,P26),"")</f>
        <v/>
      </c>
      <c r="V26" s="400" t="str">
        <f>IFERROR(SUMIFS('capacity data'!$L:$L,'capacity data'!$B:$B,P26,'capacity data'!$E:$E,"PO")/SUMIFS('capacity data'!$G:$G,'capacity data'!$E:$E,"PO",'capacity data'!$B:$B,P26),"")</f>
        <v/>
      </c>
      <c r="W26" s="400" t="str">
        <f>IFERROR(SUM((SUMIFS('capacity data'!$G:$G,'capacity data'!$B:$B,P26))-SUMIFS('capacity data'!$H:$H,'capacity data'!$B:$B,P26))/SUMIFS('capacity data'!$G:$G,'capacity data'!$B:$B,P26),"")</f>
        <v/>
      </c>
    </row>
    <row r="27" spans="15:23" ht="16" x14ac:dyDescent="0.2">
      <c r="O27" s="23" t="s">
        <v>19</v>
      </c>
      <c r="P27" t="s">
        <v>179</v>
      </c>
      <c r="Q27" s="222" t="str">
        <f>IFERROR(SUM((SUMIFS('capacity data'!$G:$G,'capacity data'!$E:$E,"PO",'capacity data'!$B:$B,P27))-SUMIFS('capacity data'!$H:$H,'capacity data'!$E:$E,"PO",'capacity data'!$B:$B,P27))/SUMIFS('capacity data'!$G:$G,'capacity data'!$E:$E,"PO",'capacity data'!$B:$B,P27),"")</f>
        <v/>
      </c>
      <c r="R27" s="222" t="str">
        <f>IFERROR(SUM((SUMIFS('capacity data'!$G:$G,'capacity data'!$E:$E,"PSO",'capacity data'!$B:$B,P27))-SUMIFS('capacity data'!$H:$H,'capacity data'!$E:$E,"PSO",'capacity data'!$B:$B,P27))/SUMIFS('capacity data'!$G:$G,'capacity data'!$E:$E,"PSO",'capacity data'!$B:$B,P27),"")</f>
        <v/>
      </c>
      <c r="S27" s="22" t="str">
        <f t="shared" si="0"/>
        <v/>
      </c>
      <c r="T27" s="223" t="str">
        <f>IFERROR(SUMIFS('capacity data'!$L:$L,'capacity data'!$B:$B,P27,'capacity data'!$E:$E,"PSO")/SUMIFS('capacity data'!$G:$G,'capacity data'!$E:$E,"PSO",'capacity data'!$B:$B,P27),"")</f>
        <v/>
      </c>
      <c r="U27" s="223" t="str">
        <f>IFERROR(SUMIFS('capacity data'!$L:$L,'capacity data'!$B:$B,P27,'capacity data'!$E:$E,"TPO")/SUMIFS('capacity data'!$G:$G,'capacity data'!$E:$E,"TPO",'capacity data'!$B:$B,P27),"")</f>
        <v/>
      </c>
      <c r="V27" s="400" t="str">
        <f>IFERROR(SUMIFS('capacity data'!$L:$L,'capacity data'!$B:$B,P27,'capacity data'!$E:$E,"PO")/SUMIFS('capacity data'!$G:$G,'capacity data'!$E:$E,"PO",'capacity data'!$B:$B,P27),"")</f>
        <v/>
      </c>
      <c r="W27" s="400" t="str">
        <f>IFERROR(SUM((SUMIFS('capacity data'!$G:$G,'capacity data'!$B:$B,P27))-SUMIFS('capacity data'!$H:$H,'capacity data'!$B:$B,P27))/SUMIFS('capacity data'!$G:$G,'capacity data'!$B:$B,P27),"")</f>
        <v/>
      </c>
    </row>
    <row r="28" spans="15:23" ht="16" x14ac:dyDescent="0.2">
      <c r="O28" s="23" t="s">
        <v>19</v>
      </c>
      <c r="P28" t="s">
        <v>198</v>
      </c>
      <c r="Q28" s="222" t="str">
        <f>IFERROR(SUM((SUMIFS('capacity data'!$G:$G,'capacity data'!$E:$E,"PO",'capacity data'!$B:$B,P28))-SUMIFS('capacity data'!$H:$H,'capacity data'!$E:$E,"PO",'capacity data'!$B:$B,P28))/SUMIFS('capacity data'!$G:$G,'capacity data'!$E:$E,"PO",'capacity data'!$B:$B,P28),"")</f>
        <v/>
      </c>
      <c r="R28" s="222" t="str">
        <f>IFERROR(SUM((SUMIFS('capacity data'!$G:$G,'capacity data'!$E:$E,"PSO",'capacity data'!$B:$B,P28))-SUMIFS('capacity data'!$H:$H,'capacity data'!$E:$E,"PSO",'capacity data'!$B:$B,P28))/SUMIFS('capacity data'!$G:$G,'capacity data'!$E:$E,"PSO",'capacity data'!$B:$B,P28),"")</f>
        <v/>
      </c>
      <c r="S28" s="22" t="str">
        <f t="shared" si="0"/>
        <v/>
      </c>
      <c r="T28" s="223" t="str">
        <f>IFERROR(SUMIFS('capacity data'!$L:$L,'capacity data'!$B:$B,P28,'capacity data'!$E:$E,"PSO")/SUMIFS('capacity data'!$G:$G,'capacity data'!$E:$E,"PSO",'capacity data'!$B:$B,P28),"")</f>
        <v/>
      </c>
      <c r="U28" s="223" t="str">
        <f>IFERROR(SUMIFS('capacity data'!$L:$L,'capacity data'!$B:$B,P28,'capacity data'!$E:$E,"TPO")/SUMIFS('capacity data'!$G:$G,'capacity data'!$E:$E,"TPO",'capacity data'!$B:$B,P28),"")</f>
        <v/>
      </c>
      <c r="V28" s="400" t="str">
        <f>IFERROR(SUMIFS('capacity data'!$L:$L,'capacity data'!$B:$B,P28,'capacity data'!$E:$E,"PO")/SUMIFS('capacity data'!$G:$G,'capacity data'!$E:$E,"PO",'capacity data'!$B:$B,P28),"")</f>
        <v/>
      </c>
      <c r="W28" s="400" t="str">
        <f>IFERROR(SUM((SUMIFS('capacity data'!$G:$G,'capacity data'!$B:$B,P28))-SUMIFS('capacity data'!$H:$H,'capacity data'!$B:$B,P28))/SUMIFS('capacity data'!$G:$G,'capacity data'!$B:$B,P28),"")</f>
        <v/>
      </c>
    </row>
    <row r="29" spans="15:23" ht="16" x14ac:dyDescent="0.2">
      <c r="O29" s="23" t="s">
        <v>19</v>
      </c>
      <c r="P29" t="s">
        <v>216</v>
      </c>
      <c r="Q29" s="222" t="str">
        <f>IFERROR(SUM((SUMIFS('capacity data'!$G:$G,'capacity data'!$E:$E,"PO",'capacity data'!$B:$B,P29))-SUMIFS('capacity data'!$H:$H,'capacity data'!$E:$E,"PO",'capacity data'!$B:$B,P29))/SUMIFS('capacity data'!$G:$G,'capacity data'!$E:$E,"PO",'capacity data'!$B:$B,P29),"")</f>
        <v/>
      </c>
      <c r="R29" s="222" t="str">
        <f>IFERROR(SUM((SUMIFS('capacity data'!$G:$G,'capacity data'!$E:$E,"PSO",'capacity data'!$B:$B,P29))-SUMIFS('capacity data'!$H:$H,'capacity data'!$E:$E,"PSO",'capacity data'!$B:$B,P29))/SUMIFS('capacity data'!$G:$G,'capacity data'!$E:$E,"PSO",'capacity data'!$B:$B,P29),"")</f>
        <v/>
      </c>
      <c r="S29" s="22" t="str">
        <f t="shared" si="0"/>
        <v/>
      </c>
      <c r="T29" s="223" t="str">
        <f>IFERROR(SUMIFS('capacity data'!$L:$L,'capacity data'!$B:$B,P29,'capacity data'!$E:$E,"PSO")/SUMIFS('capacity data'!$G:$G,'capacity data'!$E:$E,"PSO",'capacity data'!$B:$B,P29),"")</f>
        <v/>
      </c>
      <c r="U29" s="223" t="str">
        <f>IFERROR(SUMIFS('capacity data'!$L:$L,'capacity data'!$B:$B,P29,'capacity data'!$E:$E,"TPO")/SUMIFS('capacity data'!$G:$G,'capacity data'!$E:$E,"TPO",'capacity data'!$B:$B,P29),"")</f>
        <v/>
      </c>
      <c r="V29" s="400" t="str">
        <f>IFERROR(SUMIFS('capacity data'!$L:$L,'capacity data'!$B:$B,P29,'capacity data'!$E:$E,"PO")/SUMIFS('capacity data'!$G:$G,'capacity data'!$E:$E,"PO",'capacity data'!$B:$B,P29),"")</f>
        <v/>
      </c>
      <c r="W29" s="400" t="str">
        <f>IFERROR(SUM((SUMIFS('capacity data'!$G:$G,'capacity data'!$B:$B,P29))-SUMIFS('capacity data'!$H:$H,'capacity data'!$B:$B,P29))/SUMIFS('capacity data'!$G:$G,'capacity data'!$B:$B,P29),"")</f>
        <v/>
      </c>
    </row>
    <row r="30" spans="15:23" ht="16" x14ac:dyDescent="0.2">
      <c r="O30" s="23" t="s">
        <v>19</v>
      </c>
      <c r="P30" t="s">
        <v>233</v>
      </c>
      <c r="Q30" s="222" t="str">
        <f>IFERROR(SUM((SUMIFS('capacity data'!$G:$G,'capacity data'!$E:$E,"PO",'capacity data'!$B:$B,P30))-SUMIFS('capacity data'!$H:$H,'capacity data'!$E:$E,"PO",'capacity data'!$B:$B,P30))/SUMIFS('capacity data'!$G:$G,'capacity data'!$E:$E,"PO",'capacity data'!$B:$B,P30),"")</f>
        <v/>
      </c>
      <c r="R30" s="222" t="str">
        <f>IFERROR(SUM((SUMIFS('capacity data'!$G:$G,'capacity data'!$E:$E,"PSO",'capacity data'!$B:$B,P30))-SUMIFS('capacity data'!$H:$H,'capacity data'!$E:$E,"PSO",'capacity data'!$B:$B,P30))/SUMIFS('capacity data'!$G:$G,'capacity data'!$E:$E,"PSO",'capacity data'!$B:$B,P30),"")</f>
        <v/>
      </c>
      <c r="S30" s="22" t="str">
        <f t="shared" si="0"/>
        <v/>
      </c>
      <c r="T30" s="223" t="str">
        <f>IFERROR(SUMIFS('capacity data'!$L:$L,'capacity data'!$B:$B,P30,'capacity data'!$E:$E,"PSO")/SUMIFS('capacity data'!$G:$G,'capacity data'!$E:$E,"PSO",'capacity data'!$B:$B,P30),"")</f>
        <v/>
      </c>
      <c r="U30" s="223" t="str">
        <f>IFERROR(SUMIFS('capacity data'!$L:$L,'capacity data'!$B:$B,P30,'capacity data'!$E:$E,"TPO")/SUMIFS('capacity data'!$G:$G,'capacity data'!$E:$E,"TPO",'capacity data'!$B:$B,P30),"")</f>
        <v/>
      </c>
      <c r="V30" s="400" t="str">
        <f>IFERROR(SUMIFS('capacity data'!$L:$L,'capacity data'!$B:$B,P30,'capacity data'!$E:$E,"PO")/SUMIFS('capacity data'!$G:$G,'capacity data'!$E:$E,"PO",'capacity data'!$B:$B,P30),"")</f>
        <v/>
      </c>
      <c r="W30" s="400" t="str">
        <f>IFERROR(SUM((SUMIFS('capacity data'!$G:$G,'capacity data'!$B:$B,P30))-SUMIFS('capacity data'!$H:$H,'capacity data'!$B:$B,P30))/SUMIFS('capacity data'!$G:$G,'capacity data'!$B:$B,P30),"")</f>
        <v/>
      </c>
    </row>
    <row r="31" spans="15:23" ht="16" x14ac:dyDescent="0.2">
      <c r="O31" s="23" t="s">
        <v>19</v>
      </c>
      <c r="P31" t="s">
        <v>248</v>
      </c>
      <c r="Q31" s="222" t="str">
        <f>IFERROR(SUM((SUMIFS('capacity data'!$G:$G,'capacity data'!$E:$E,"PO",'capacity data'!$B:$B,P31))-SUMIFS('capacity data'!$H:$H,'capacity data'!$E:$E,"PO",'capacity data'!$B:$B,P31))/SUMIFS('capacity data'!$G:$G,'capacity data'!$E:$E,"PO",'capacity data'!$B:$B,P31),"")</f>
        <v/>
      </c>
      <c r="R31" s="222" t="str">
        <f>IFERROR(SUM((SUMIFS('capacity data'!$G:$G,'capacity data'!$E:$E,"PSO",'capacity data'!$B:$B,P31))-SUMIFS('capacity data'!$H:$H,'capacity data'!$E:$E,"PSO",'capacity data'!$B:$B,P31))/SUMIFS('capacity data'!$G:$G,'capacity data'!$E:$E,"PSO",'capacity data'!$B:$B,P31),"")</f>
        <v/>
      </c>
      <c r="S31" s="22" t="str">
        <f t="shared" si="0"/>
        <v/>
      </c>
      <c r="T31" s="223" t="str">
        <f>IFERROR(SUMIFS('capacity data'!$L:$L,'capacity data'!$B:$B,P31,'capacity data'!$E:$E,"PSO")/SUMIFS('capacity data'!$G:$G,'capacity data'!$E:$E,"PSO",'capacity data'!$B:$B,P31),"")</f>
        <v/>
      </c>
      <c r="U31" s="223" t="str">
        <f>IFERROR(SUMIFS('capacity data'!$L:$L,'capacity data'!$B:$B,P31,'capacity data'!$E:$E,"TPO")/SUMIFS('capacity data'!$G:$G,'capacity data'!$E:$E,"TPO",'capacity data'!$B:$B,P31),"")</f>
        <v/>
      </c>
      <c r="V31" s="400" t="str">
        <f>IFERROR(SUMIFS('capacity data'!$L:$L,'capacity data'!$B:$B,P31,'capacity data'!$E:$E,"PO")/SUMIFS('capacity data'!$G:$G,'capacity data'!$E:$E,"PO",'capacity data'!$B:$B,P31),"")</f>
        <v/>
      </c>
      <c r="W31" s="400" t="str">
        <f>IFERROR(SUM((SUMIFS('capacity data'!$G:$G,'capacity data'!$B:$B,P31))-SUMIFS('capacity data'!$H:$H,'capacity data'!$B:$B,P31))/SUMIFS('capacity data'!$G:$G,'capacity data'!$B:$B,P31),"")</f>
        <v/>
      </c>
    </row>
    <row r="32" spans="15:23" ht="16" x14ac:dyDescent="0.2">
      <c r="O32" s="23" t="s">
        <v>20</v>
      </c>
      <c r="P32" t="s">
        <v>32</v>
      </c>
      <c r="Q32" s="222" t="str">
        <f>IFERROR(SUM((SUMIFS('capacity data'!$G:$G,'capacity data'!$E:$E,"PO",'capacity data'!$B:$B,P32))-SUMIFS('capacity data'!$H:$H,'capacity data'!$E:$E,"PO",'capacity data'!$B:$B,P32))/SUMIFS('capacity data'!$G:$G,'capacity data'!$E:$E,"PO",'capacity data'!$B:$B,P32),"")</f>
        <v/>
      </c>
      <c r="R32" s="222" t="str">
        <f>IFERROR(SUM((SUMIFS('capacity data'!$G:$G,'capacity data'!$E:$E,"PSO",'capacity data'!$B:$B,P32))-SUMIFS('capacity data'!$H:$H,'capacity data'!$E:$E,"PSO",'capacity data'!$B:$B,P32))/SUMIFS('capacity data'!$G:$G,'capacity data'!$E:$E,"PSO",'capacity data'!$B:$B,P32),"")</f>
        <v/>
      </c>
      <c r="S32" s="22" t="str">
        <f t="shared" si="0"/>
        <v/>
      </c>
      <c r="T32" s="223" t="str">
        <f>IFERROR(SUMIFS('capacity data'!$L:$L,'capacity data'!$B:$B,P32,'capacity data'!$E:$E,"PSO")/SUMIFS('capacity data'!$G:$G,'capacity data'!$E:$E,"PSO",'capacity data'!$B:$B,P32),"")</f>
        <v/>
      </c>
      <c r="U32" s="223" t="str">
        <f>IFERROR(SUMIFS('capacity data'!$L:$L,'capacity data'!$B:$B,P32,'capacity data'!$E:$E,"TPO")/SUMIFS('capacity data'!$G:$G,'capacity data'!$E:$E,"TPO",'capacity data'!$B:$B,P32),"")</f>
        <v/>
      </c>
      <c r="V32" s="400" t="str">
        <f>IFERROR(SUMIFS('capacity data'!$L:$L,'capacity data'!$B:$B,P32,'capacity data'!$E:$E,"PO")/SUMIFS('capacity data'!$G:$G,'capacity data'!$E:$E,"PO",'capacity data'!$B:$B,P32),"")</f>
        <v/>
      </c>
      <c r="W32" s="400" t="str">
        <f>IFERROR(SUM((SUMIFS('capacity data'!$G:$G,'capacity data'!$B:$B,P32))-SUMIFS('capacity data'!$H:$H,'capacity data'!$B:$B,P32))/SUMIFS('capacity data'!$G:$G,'capacity data'!$B:$B,P32),"")</f>
        <v/>
      </c>
    </row>
    <row r="33" spans="15:23" ht="16" x14ac:dyDescent="0.2">
      <c r="O33" s="23" t="s">
        <v>20</v>
      </c>
      <c r="P33" t="s">
        <v>54</v>
      </c>
      <c r="Q33" s="222" t="str">
        <f>IFERROR(SUM((SUMIFS('capacity data'!$G:$G,'capacity data'!$E:$E,"PO",'capacity data'!$B:$B,P33))-SUMIFS('capacity data'!$H:$H,'capacity data'!$E:$E,"PO",'capacity data'!$B:$B,P33))/SUMIFS('capacity data'!$G:$G,'capacity data'!$E:$E,"PO",'capacity data'!$B:$B,P33),"")</f>
        <v/>
      </c>
      <c r="R33" s="222" t="str">
        <f>IFERROR(SUM((SUMIFS('capacity data'!$G:$G,'capacity data'!$E:$E,"PSO",'capacity data'!$B:$B,P33))-SUMIFS('capacity data'!$H:$H,'capacity data'!$E:$E,"PSO",'capacity data'!$B:$B,P33))/SUMIFS('capacity data'!$G:$G,'capacity data'!$E:$E,"PSO",'capacity data'!$B:$B,P33),"")</f>
        <v/>
      </c>
      <c r="S33" s="22" t="str">
        <f t="shared" si="0"/>
        <v/>
      </c>
      <c r="T33" s="223" t="str">
        <f>IFERROR(SUMIFS('capacity data'!$L:$L,'capacity data'!$B:$B,P33,'capacity data'!$E:$E,"PSO")/SUMIFS('capacity data'!$G:$G,'capacity data'!$E:$E,"PSO",'capacity data'!$B:$B,P33),"")</f>
        <v/>
      </c>
      <c r="U33" s="223" t="str">
        <f>IFERROR(SUMIFS('capacity data'!$L:$L,'capacity data'!$B:$B,P33,'capacity data'!$E:$E,"TPO")/SUMIFS('capacity data'!$G:$G,'capacity data'!$E:$E,"TPO",'capacity data'!$B:$B,P33),"")</f>
        <v/>
      </c>
      <c r="V33" s="400" t="str">
        <f>IFERROR(SUMIFS('capacity data'!$L:$L,'capacity data'!$B:$B,P33,'capacity data'!$E:$E,"PO")/SUMIFS('capacity data'!$G:$G,'capacity data'!$E:$E,"PO",'capacity data'!$B:$B,P33),"")</f>
        <v/>
      </c>
      <c r="W33" s="400" t="str">
        <f>IFERROR(SUM((SUMIFS('capacity data'!$G:$G,'capacity data'!$B:$B,P33))-SUMIFS('capacity data'!$H:$H,'capacity data'!$B:$B,P33))/SUMIFS('capacity data'!$G:$G,'capacity data'!$B:$B,P33),"")</f>
        <v/>
      </c>
    </row>
    <row r="34" spans="15:23" ht="16" x14ac:dyDescent="0.2">
      <c r="O34" s="23" t="s">
        <v>20</v>
      </c>
      <c r="P34" t="s">
        <v>75</v>
      </c>
      <c r="Q34" s="222" t="str">
        <f>IFERROR(SUM((SUMIFS('capacity data'!$G:$G,'capacity data'!$E:$E,"PO",'capacity data'!$B:$B,P34))-SUMIFS('capacity data'!$H:$H,'capacity data'!$E:$E,"PO",'capacity data'!$B:$B,P34))/SUMIFS('capacity data'!$G:$G,'capacity data'!$E:$E,"PO",'capacity data'!$B:$B,P34),"")</f>
        <v/>
      </c>
      <c r="R34" s="222" t="str">
        <f>IFERROR(SUM((SUMIFS('capacity data'!$G:$G,'capacity data'!$E:$E,"PSO",'capacity data'!$B:$B,P34))-SUMIFS('capacity data'!$H:$H,'capacity data'!$E:$E,"PSO",'capacity data'!$B:$B,P34))/SUMIFS('capacity data'!$G:$G,'capacity data'!$E:$E,"PSO",'capacity data'!$B:$B,P34),"")</f>
        <v/>
      </c>
      <c r="S34" s="22" t="str">
        <f t="shared" si="0"/>
        <v/>
      </c>
      <c r="T34" s="223" t="str">
        <f>IFERROR(SUMIFS('capacity data'!$L:$L,'capacity data'!$B:$B,P34,'capacity data'!$E:$E,"PSO")/SUMIFS('capacity data'!$G:$G,'capacity data'!$E:$E,"PSO",'capacity data'!$B:$B,P34),"")</f>
        <v/>
      </c>
      <c r="U34" s="223" t="str">
        <f>IFERROR(SUMIFS('capacity data'!$L:$L,'capacity data'!$B:$B,P34,'capacity data'!$E:$E,"TPO")/SUMIFS('capacity data'!$G:$G,'capacity data'!$E:$E,"TPO",'capacity data'!$B:$B,P34),"")</f>
        <v/>
      </c>
      <c r="V34" s="400" t="str">
        <f>IFERROR(SUMIFS('capacity data'!$L:$L,'capacity data'!$B:$B,P34,'capacity data'!$E:$E,"PO")/SUMIFS('capacity data'!$G:$G,'capacity data'!$E:$E,"PO",'capacity data'!$B:$B,P34),"")</f>
        <v/>
      </c>
      <c r="W34" s="400" t="str">
        <f>IFERROR(SUM((SUMIFS('capacity data'!$G:$G,'capacity data'!$B:$B,P34))-SUMIFS('capacity data'!$H:$H,'capacity data'!$B:$B,P34))/SUMIFS('capacity data'!$G:$G,'capacity data'!$B:$B,P34),"")</f>
        <v/>
      </c>
    </row>
    <row r="35" spans="15:23" ht="16" x14ac:dyDescent="0.2">
      <c r="O35" s="23" t="s">
        <v>20</v>
      </c>
      <c r="P35" t="s">
        <v>96</v>
      </c>
      <c r="Q35" s="222" t="str">
        <f>IFERROR(SUM((SUMIFS('capacity data'!$G:$G,'capacity data'!$E:$E,"PO",'capacity data'!$B:$B,P35))-SUMIFS('capacity data'!$H:$H,'capacity data'!$E:$E,"PO",'capacity data'!$B:$B,P35))/SUMIFS('capacity data'!$G:$G,'capacity data'!$E:$E,"PO",'capacity data'!$B:$B,P35),"")</f>
        <v/>
      </c>
      <c r="R35" s="222" t="str">
        <f>IFERROR(SUM((SUMIFS('capacity data'!$G:$G,'capacity data'!$E:$E,"PSO",'capacity data'!$B:$B,P35))-SUMIFS('capacity data'!$H:$H,'capacity data'!$E:$E,"PSO",'capacity data'!$B:$B,P35))/SUMIFS('capacity data'!$G:$G,'capacity data'!$E:$E,"PSO",'capacity data'!$B:$B,P35),"")</f>
        <v/>
      </c>
      <c r="S35" s="22" t="str">
        <f t="shared" si="0"/>
        <v/>
      </c>
      <c r="T35" s="223" t="str">
        <f>IFERROR(SUMIFS('capacity data'!$L:$L,'capacity data'!$B:$B,P35,'capacity data'!$E:$E,"PSO")/SUMIFS('capacity data'!$G:$G,'capacity data'!$E:$E,"PSO",'capacity data'!$B:$B,P35),"")</f>
        <v/>
      </c>
      <c r="U35" s="223" t="str">
        <f>IFERROR(SUMIFS('capacity data'!$L:$L,'capacity data'!$B:$B,P35,'capacity data'!$E:$E,"TPO")/SUMIFS('capacity data'!$G:$G,'capacity data'!$E:$E,"TPO",'capacity data'!$B:$B,P35),"")</f>
        <v/>
      </c>
      <c r="V35" s="400" t="str">
        <f>IFERROR(SUMIFS('capacity data'!$L:$L,'capacity data'!$B:$B,P35,'capacity data'!$E:$E,"PO")/SUMIFS('capacity data'!$G:$G,'capacity data'!$E:$E,"PO",'capacity data'!$B:$B,P35),"")</f>
        <v/>
      </c>
      <c r="W35" s="400" t="str">
        <f>IFERROR(SUM((SUMIFS('capacity data'!$G:$G,'capacity data'!$B:$B,P35))-SUMIFS('capacity data'!$H:$H,'capacity data'!$B:$B,P35))/SUMIFS('capacity data'!$G:$G,'capacity data'!$B:$B,P35),"")</f>
        <v/>
      </c>
    </row>
    <row r="36" spans="15:23" ht="16" x14ac:dyDescent="0.2">
      <c r="O36" s="23" t="s">
        <v>20</v>
      </c>
      <c r="P36" t="s">
        <v>118</v>
      </c>
      <c r="Q36" s="222" t="str">
        <f>IFERROR(SUM((SUMIFS('capacity data'!$G:$G,'capacity data'!$E:$E,"PO",'capacity data'!$B:$B,P36))-SUMIFS('capacity data'!$H:$H,'capacity data'!$E:$E,"PO",'capacity data'!$B:$B,P36))/SUMIFS('capacity data'!$G:$G,'capacity data'!$E:$E,"PO",'capacity data'!$B:$B,P36),"")</f>
        <v/>
      </c>
      <c r="R36" s="222" t="str">
        <f>IFERROR(SUM((SUMIFS('capacity data'!$G:$G,'capacity data'!$E:$E,"PSO",'capacity data'!$B:$B,P36))-SUMIFS('capacity data'!$H:$H,'capacity data'!$E:$E,"PSO",'capacity data'!$B:$B,P36))/SUMIFS('capacity data'!$G:$G,'capacity data'!$E:$E,"PSO",'capacity data'!$B:$B,P36),"")</f>
        <v/>
      </c>
      <c r="S36" s="22" t="str">
        <f t="shared" si="0"/>
        <v/>
      </c>
      <c r="T36" s="223" t="str">
        <f>IFERROR(SUMIFS('capacity data'!$L:$L,'capacity data'!$B:$B,P36,'capacity data'!$E:$E,"PSO")/SUMIFS('capacity data'!$G:$G,'capacity data'!$E:$E,"PSO",'capacity data'!$B:$B,P36),"")</f>
        <v/>
      </c>
      <c r="U36" s="223" t="str">
        <f>IFERROR(SUMIFS('capacity data'!$L:$L,'capacity data'!$B:$B,P36,'capacity data'!$E:$E,"TPO")/SUMIFS('capacity data'!$G:$G,'capacity data'!$E:$E,"TPO",'capacity data'!$B:$B,P36),"")</f>
        <v/>
      </c>
      <c r="V36" s="400" t="str">
        <f>IFERROR(SUMIFS('capacity data'!$L:$L,'capacity data'!$B:$B,P36,'capacity data'!$E:$E,"PO")/SUMIFS('capacity data'!$G:$G,'capacity data'!$E:$E,"PO",'capacity data'!$B:$B,P36),"")</f>
        <v/>
      </c>
      <c r="W36" s="400" t="str">
        <f>IFERROR(SUM((SUMIFS('capacity data'!$G:$G,'capacity data'!$B:$B,P36))-SUMIFS('capacity data'!$H:$H,'capacity data'!$B:$B,P36))/SUMIFS('capacity data'!$G:$G,'capacity data'!$B:$B,P36),"")</f>
        <v/>
      </c>
    </row>
    <row r="37" spans="15:23" ht="16" x14ac:dyDescent="0.2">
      <c r="O37" s="23" t="s">
        <v>20</v>
      </c>
      <c r="P37" t="s">
        <v>139</v>
      </c>
      <c r="Q37" s="222" t="str">
        <f>IFERROR(SUM((SUMIFS('capacity data'!$G:$G,'capacity data'!$E:$E,"PO",'capacity data'!$B:$B,P37))-SUMIFS('capacity data'!$H:$H,'capacity data'!$E:$E,"PO",'capacity data'!$B:$B,P37))/SUMIFS('capacity data'!$G:$G,'capacity data'!$E:$E,"PO",'capacity data'!$B:$B,P37),"")</f>
        <v/>
      </c>
      <c r="R37" s="222" t="str">
        <f>IFERROR(SUM((SUMIFS('capacity data'!$G:$G,'capacity data'!$E:$E,"PSO",'capacity data'!$B:$B,P37))-SUMIFS('capacity data'!$H:$H,'capacity data'!$E:$E,"PSO",'capacity data'!$B:$B,P37))/SUMIFS('capacity data'!$G:$G,'capacity data'!$E:$E,"PSO",'capacity data'!$B:$B,P37),"")</f>
        <v/>
      </c>
      <c r="S37" s="22" t="str">
        <f t="shared" si="0"/>
        <v/>
      </c>
      <c r="T37" s="223" t="str">
        <f>IFERROR(SUMIFS('capacity data'!$L:$L,'capacity data'!$B:$B,P37,'capacity data'!$E:$E,"PSO")/SUMIFS('capacity data'!$G:$G,'capacity data'!$E:$E,"PSO",'capacity data'!$B:$B,P37),"")</f>
        <v/>
      </c>
      <c r="U37" s="223" t="str">
        <f>IFERROR(SUMIFS('capacity data'!$L:$L,'capacity data'!$B:$B,P37,'capacity data'!$E:$E,"TPO")/SUMIFS('capacity data'!$G:$G,'capacity data'!$E:$E,"TPO",'capacity data'!$B:$B,P37),"")</f>
        <v/>
      </c>
      <c r="V37" s="400" t="str">
        <f>IFERROR(SUMIFS('capacity data'!$L:$L,'capacity data'!$B:$B,P37,'capacity data'!$E:$E,"PO")/SUMIFS('capacity data'!$G:$G,'capacity data'!$E:$E,"PO",'capacity data'!$B:$B,P37),"")</f>
        <v/>
      </c>
      <c r="W37" s="400" t="str">
        <f>IFERROR(SUM((SUMIFS('capacity data'!$G:$G,'capacity data'!$B:$B,P37))-SUMIFS('capacity data'!$H:$H,'capacity data'!$B:$B,P37))/SUMIFS('capacity data'!$G:$G,'capacity data'!$B:$B,P37),"")</f>
        <v/>
      </c>
    </row>
    <row r="38" spans="15:23" ht="16" x14ac:dyDescent="0.2">
      <c r="O38" s="23" t="s">
        <v>20</v>
      </c>
      <c r="P38" t="s">
        <v>160</v>
      </c>
      <c r="Q38" s="222" t="str">
        <f>IFERROR(SUM((SUMIFS('capacity data'!$G:$G,'capacity data'!$E:$E,"PO",'capacity data'!$B:$B,P38))-SUMIFS('capacity data'!$H:$H,'capacity data'!$E:$E,"PO",'capacity data'!$B:$B,P38))/SUMIFS('capacity data'!$G:$G,'capacity data'!$E:$E,"PO",'capacity data'!$B:$B,P38),"")</f>
        <v/>
      </c>
      <c r="R38" s="222" t="str">
        <f>IFERROR(SUM((SUMIFS('capacity data'!$G:$G,'capacity data'!$E:$E,"PSO",'capacity data'!$B:$B,P38))-SUMIFS('capacity data'!$H:$H,'capacity data'!$E:$E,"PSO",'capacity data'!$B:$B,P38))/SUMIFS('capacity data'!$G:$G,'capacity data'!$E:$E,"PSO",'capacity data'!$B:$B,P38),"")</f>
        <v/>
      </c>
      <c r="S38" s="22" t="str">
        <f t="shared" si="0"/>
        <v/>
      </c>
      <c r="T38" s="223" t="str">
        <f>IFERROR(SUMIFS('capacity data'!$L:$L,'capacity data'!$B:$B,P38,'capacity data'!$E:$E,"PSO")/SUMIFS('capacity data'!$G:$G,'capacity data'!$E:$E,"PSO",'capacity data'!$B:$B,P38),"")</f>
        <v/>
      </c>
      <c r="U38" s="223" t="str">
        <f>IFERROR(SUMIFS('capacity data'!$L:$L,'capacity data'!$B:$B,P38,'capacity data'!$E:$E,"TPO")/SUMIFS('capacity data'!$G:$G,'capacity data'!$E:$E,"TPO",'capacity data'!$B:$B,P38),"")</f>
        <v/>
      </c>
      <c r="V38" s="400" t="str">
        <f>IFERROR(SUMIFS('capacity data'!$L:$L,'capacity data'!$B:$B,P38,'capacity data'!$E:$E,"PO")/SUMIFS('capacity data'!$G:$G,'capacity data'!$E:$E,"PO",'capacity data'!$B:$B,P38),"")</f>
        <v/>
      </c>
      <c r="W38" s="400" t="str">
        <f>IFERROR(SUM((SUMIFS('capacity data'!$G:$G,'capacity data'!$B:$B,P38))-SUMIFS('capacity data'!$H:$H,'capacity data'!$B:$B,P38))/SUMIFS('capacity data'!$G:$G,'capacity data'!$B:$B,P38),"")</f>
        <v/>
      </c>
    </row>
    <row r="39" spans="15:23" ht="16" x14ac:dyDescent="0.2">
      <c r="O39" s="23" t="s">
        <v>21</v>
      </c>
      <c r="P39" t="s">
        <v>33</v>
      </c>
      <c r="Q39" s="222" t="str">
        <f>IFERROR(SUM((SUMIFS('capacity data'!$G:$G,'capacity data'!$E:$E,"PO",'capacity data'!$B:$B,P39))-SUMIFS('capacity data'!$H:$H,'capacity data'!$E:$E,"PO",'capacity data'!$B:$B,P39))/SUMIFS('capacity data'!$G:$G,'capacity data'!$E:$E,"PO",'capacity data'!$B:$B,P39),"")</f>
        <v/>
      </c>
      <c r="R39" s="222" t="str">
        <f>IFERROR(SUM((SUMIFS('capacity data'!$G:$G,'capacity data'!$E:$E,"PSO",'capacity data'!$B:$B,P39))-SUMIFS('capacity data'!$H:$H,'capacity data'!$E:$E,"PSO",'capacity data'!$B:$B,P39))/SUMIFS('capacity data'!$G:$G,'capacity data'!$E:$E,"PSO",'capacity data'!$B:$B,P39),"")</f>
        <v/>
      </c>
      <c r="S39" s="22" t="str">
        <f t="shared" si="0"/>
        <v/>
      </c>
      <c r="T39" s="223" t="str">
        <f>IFERROR(SUMIFS('capacity data'!$L:$L,'capacity data'!$B:$B,P39,'capacity data'!$E:$E,"PSO")/SUMIFS('capacity data'!$G:$G,'capacity data'!$E:$E,"PSO",'capacity data'!$B:$B,P39),"")</f>
        <v/>
      </c>
      <c r="U39" s="223" t="str">
        <f>IFERROR(SUMIFS('capacity data'!$L:$L,'capacity data'!$B:$B,P39,'capacity data'!$E:$E,"TPO")/SUMIFS('capacity data'!$G:$G,'capacity data'!$E:$E,"TPO",'capacity data'!$B:$B,P39),"")</f>
        <v/>
      </c>
      <c r="V39" s="400" t="str">
        <f>IFERROR(SUMIFS('capacity data'!$L:$L,'capacity data'!$B:$B,P39,'capacity data'!$E:$E,"PO")/SUMIFS('capacity data'!$G:$G,'capacity data'!$E:$E,"PO",'capacity data'!$B:$B,P39),"")</f>
        <v/>
      </c>
      <c r="W39" s="400" t="str">
        <f>IFERROR(SUM((SUMIFS('capacity data'!$G:$G,'capacity data'!$B:$B,P39))-SUMIFS('capacity data'!$H:$H,'capacity data'!$B:$B,P39))/SUMIFS('capacity data'!$G:$G,'capacity data'!$B:$B,P39),"")</f>
        <v/>
      </c>
    </row>
    <row r="40" spans="15:23" ht="16" x14ac:dyDescent="0.2">
      <c r="O40" s="23" t="s">
        <v>21</v>
      </c>
      <c r="P40" t="s">
        <v>55</v>
      </c>
      <c r="Q40" s="222" t="str">
        <f>IFERROR(SUM((SUMIFS('capacity data'!$G:$G,'capacity data'!$E:$E,"PO",'capacity data'!$B:$B,P40))-SUMIFS('capacity data'!$H:$H,'capacity data'!$E:$E,"PO",'capacity data'!$B:$B,P40))/SUMIFS('capacity data'!$G:$G,'capacity data'!$E:$E,"PO",'capacity data'!$B:$B,P40),"")</f>
        <v/>
      </c>
      <c r="R40" s="222" t="str">
        <f>IFERROR(SUM((SUMIFS('capacity data'!$G:$G,'capacity data'!$E:$E,"PSO",'capacity data'!$B:$B,P40))-SUMIFS('capacity data'!$H:$H,'capacity data'!$E:$E,"PSO",'capacity data'!$B:$B,P40))/SUMIFS('capacity data'!$G:$G,'capacity data'!$E:$E,"PSO",'capacity data'!$B:$B,P40),"")</f>
        <v/>
      </c>
      <c r="S40" s="22" t="str">
        <f t="shared" si="0"/>
        <v/>
      </c>
      <c r="T40" s="223" t="str">
        <f>IFERROR(SUMIFS('capacity data'!$L:$L,'capacity data'!$B:$B,P40,'capacity data'!$E:$E,"PSO")/SUMIFS('capacity data'!$G:$G,'capacity data'!$E:$E,"PSO",'capacity data'!$B:$B,P40),"")</f>
        <v/>
      </c>
      <c r="U40" s="223" t="str">
        <f>IFERROR(SUMIFS('capacity data'!$L:$L,'capacity data'!$B:$B,P40,'capacity data'!$E:$E,"TPO")/SUMIFS('capacity data'!$G:$G,'capacity data'!$E:$E,"TPO",'capacity data'!$B:$B,P40),"")</f>
        <v/>
      </c>
      <c r="V40" s="400" t="str">
        <f>IFERROR(SUMIFS('capacity data'!$L:$L,'capacity data'!$B:$B,P40,'capacity data'!$E:$E,"PO")/SUMIFS('capacity data'!$G:$G,'capacity data'!$E:$E,"PO",'capacity data'!$B:$B,P40),"")</f>
        <v/>
      </c>
      <c r="W40" s="400" t="str">
        <f>IFERROR(SUM((SUMIFS('capacity data'!$G:$G,'capacity data'!$B:$B,P40))-SUMIFS('capacity data'!$H:$H,'capacity data'!$B:$B,P40))/SUMIFS('capacity data'!$G:$G,'capacity data'!$B:$B,P40),"")</f>
        <v/>
      </c>
    </row>
    <row r="41" spans="15:23" ht="16" x14ac:dyDescent="0.2">
      <c r="O41" s="23" t="s">
        <v>21</v>
      </c>
      <c r="P41" t="s">
        <v>76</v>
      </c>
      <c r="Q41" s="222" t="str">
        <f>IFERROR(SUM((SUMIFS('capacity data'!$G:$G,'capacity data'!$E:$E,"PO",'capacity data'!$B:$B,P41))-SUMIFS('capacity data'!$H:$H,'capacity data'!$E:$E,"PO",'capacity data'!$B:$B,P41))/SUMIFS('capacity data'!$G:$G,'capacity data'!$E:$E,"PO",'capacity data'!$B:$B,P41),"")</f>
        <v/>
      </c>
      <c r="R41" s="222" t="str">
        <f>IFERROR(SUM((SUMIFS('capacity data'!$G:$G,'capacity data'!$E:$E,"PSO",'capacity data'!$B:$B,P41))-SUMIFS('capacity data'!$H:$H,'capacity data'!$E:$E,"PSO",'capacity data'!$B:$B,P41))/SUMIFS('capacity data'!$G:$G,'capacity data'!$E:$E,"PSO",'capacity data'!$B:$B,P41),"")</f>
        <v/>
      </c>
      <c r="S41" s="22" t="str">
        <f t="shared" si="0"/>
        <v/>
      </c>
      <c r="T41" s="223" t="str">
        <f>IFERROR(SUMIFS('capacity data'!$L:$L,'capacity data'!$B:$B,P41,'capacity data'!$E:$E,"PSO")/SUMIFS('capacity data'!$G:$G,'capacity data'!$E:$E,"PSO",'capacity data'!$B:$B,P41),"")</f>
        <v/>
      </c>
      <c r="U41" s="223" t="str">
        <f>IFERROR(SUMIFS('capacity data'!$L:$L,'capacity data'!$B:$B,P41,'capacity data'!$E:$E,"TPO")/SUMIFS('capacity data'!$G:$G,'capacity data'!$E:$E,"TPO",'capacity data'!$B:$B,P41),"")</f>
        <v/>
      </c>
      <c r="V41" s="400" t="str">
        <f>IFERROR(SUMIFS('capacity data'!$L:$L,'capacity data'!$B:$B,P41,'capacity data'!$E:$E,"PO")/SUMIFS('capacity data'!$G:$G,'capacity data'!$E:$E,"PO",'capacity data'!$B:$B,P41),"")</f>
        <v/>
      </c>
      <c r="W41" s="400" t="str">
        <f>IFERROR(SUM((SUMIFS('capacity data'!$G:$G,'capacity data'!$B:$B,P41))-SUMIFS('capacity data'!$H:$H,'capacity data'!$B:$B,P41))/SUMIFS('capacity data'!$G:$G,'capacity data'!$B:$B,P41),"")</f>
        <v/>
      </c>
    </row>
    <row r="42" spans="15:23" ht="16" x14ac:dyDescent="0.2">
      <c r="O42" s="23" t="s">
        <v>21</v>
      </c>
      <c r="P42" t="s">
        <v>97</v>
      </c>
      <c r="Q42" s="222" t="str">
        <f>IFERROR(SUM((SUMIFS('capacity data'!$G:$G,'capacity data'!$E:$E,"PO",'capacity data'!$B:$B,P42))-SUMIFS('capacity data'!$H:$H,'capacity data'!$E:$E,"PO",'capacity data'!$B:$B,P42))/SUMIFS('capacity data'!$G:$G,'capacity data'!$E:$E,"PO",'capacity data'!$B:$B,P42),"")</f>
        <v/>
      </c>
      <c r="R42" s="222" t="str">
        <f>IFERROR(SUM((SUMIFS('capacity data'!$G:$G,'capacity data'!$E:$E,"PSO",'capacity data'!$B:$B,P42))-SUMIFS('capacity data'!$H:$H,'capacity data'!$E:$E,"PSO",'capacity data'!$B:$B,P42))/SUMIFS('capacity data'!$G:$G,'capacity data'!$E:$E,"PSO",'capacity data'!$B:$B,P42),"")</f>
        <v/>
      </c>
      <c r="S42" s="22" t="str">
        <f t="shared" si="0"/>
        <v/>
      </c>
      <c r="T42" s="223" t="str">
        <f>IFERROR(SUMIFS('capacity data'!$L:$L,'capacity data'!$B:$B,P42,'capacity data'!$E:$E,"PSO")/SUMIFS('capacity data'!$G:$G,'capacity data'!$E:$E,"PSO",'capacity data'!$B:$B,P42),"")</f>
        <v/>
      </c>
      <c r="U42" s="223" t="str">
        <f>IFERROR(SUMIFS('capacity data'!$L:$L,'capacity data'!$B:$B,P42,'capacity data'!$E:$E,"TPO")/SUMIFS('capacity data'!$G:$G,'capacity data'!$E:$E,"TPO",'capacity data'!$B:$B,P42),"")</f>
        <v/>
      </c>
      <c r="V42" s="400" t="str">
        <f>IFERROR(SUMIFS('capacity data'!$L:$L,'capacity data'!$B:$B,P42,'capacity data'!$E:$E,"PO")/SUMIFS('capacity data'!$G:$G,'capacity data'!$E:$E,"PO",'capacity data'!$B:$B,P42),"")</f>
        <v/>
      </c>
      <c r="W42" s="400" t="str">
        <f>IFERROR(SUM((SUMIFS('capacity data'!$G:$G,'capacity data'!$B:$B,P42))-SUMIFS('capacity data'!$H:$H,'capacity data'!$B:$B,P42))/SUMIFS('capacity data'!$G:$G,'capacity data'!$B:$B,P42),"")</f>
        <v/>
      </c>
    </row>
    <row r="43" spans="15:23" ht="16" x14ac:dyDescent="0.2">
      <c r="O43" s="23" t="s">
        <v>21</v>
      </c>
      <c r="P43" t="s">
        <v>119</v>
      </c>
      <c r="Q43" s="222" t="str">
        <f>IFERROR(SUM((SUMIFS('capacity data'!$G:$G,'capacity data'!$E:$E,"PO",'capacity data'!$B:$B,P43))-SUMIFS('capacity data'!$H:$H,'capacity data'!$E:$E,"PO",'capacity data'!$B:$B,P43))/SUMIFS('capacity data'!$G:$G,'capacity data'!$E:$E,"PO",'capacity data'!$B:$B,P43),"")</f>
        <v/>
      </c>
      <c r="R43" s="222" t="str">
        <f>IFERROR(SUM((SUMIFS('capacity data'!$G:$G,'capacity data'!$E:$E,"PSO",'capacity data'!$B:$B,P43))-SUMIFS('capacity data'!$H:$H,'capacity data'!$E:$E,"PSO",'capacity data'!$B:$B,P43))/SUMIFS('capacity data'!$G:$G,'capacity data'!$E:$E,"PSO",'capacity data'!$B:$B,P43),"")</f>
        <v/>
      </c>
      <c r="S43" s="22" t="str">
        <f t="shared" si="0"/>
        <v/>
      </c>
      <c r="T43" s="223" t="str">
        <f>IFERROR(SUMIFS('capacity data'!$L:$L,'capacity data'!$B:$B,P43,'capacity data'!$E:$E,"PSO")/SUMIFS('capacity data'!$G:$G,'capacity data'!$E:$E,"PSO",'capacity data'!$B:$B,P43),"")</f>
        <v/>
      </c>
      <c r="U43" s="223" t="str">
        <f>IFERROR(SUMIFS('capacity data'!$L:$L,'capacity data'!$B:$B,P43,'capacity data'!$E:$E,"TPO")/SUMIFS('capacity data'!$G:$G,'capacity data'!$E:$E,"TPO",'capacity data'!$B:$B,P43),"")</f>
        <v/>
      </c>
      <c r="V43" s="400" t="str">
        <f>IFERROR(SUMIFS('capacity data'!$L:$L,'capacity data'!$B:$B,P43,'capacity data'!$E:$E,"PO")/SUMIFS('capacity data'!$G:$G,'capacity data'!$E:$E,"PO",'capacity data'!$B:$B,P43),"")</f>
        <v/>
      </c>
      <c r="W43" s="400" t="str">
        <f>IFERROR(SUM((SUMIFS('capacity data'!$G:$G,'capacity data'!$B:$B,P43))-SUMIFS('capacity data'!$H:$H,'capacity data'!$B:$B,P43))/SUMIFS('capacity data'!$G:$G,'capacity data'!$B:$B,P43),"")</f>
        <v/>
      </c>
    </row>
    <row r="44" spans="15:23" ht="16" x14ac:dyDescent="0.2">
      <c r="O44" s="23" t="s">
        <v>21</v>
      </c>
      <c r="P44" t="s">
        <v>140</v>
      </c>
      <c r="Q44" s="222" t="str">
        <f>IFERROR(SUM((SUMIFS('capacity data'!$G:$G,'capacity data'!$E:$E,"PO",'capacity data'!$B:$B,P44))-SUMIFS('capacity data'!$H:$H,'capacity data'!$E:$E,"PO",'capacity data'!$B:$B,P44))/SUMIFS('capacity data'!$G:$G,'capacity data'!$E:$E,"PO",'capacity data'!$B:$B,P44),"")</f>
        <v/>
      </c>
      <c r="R44" s="222" t="str">
        <f>IFERROR(SUM((SUMIFS('capacity data'!$G:$G,'capacity data'!$E:$E,"PSO",'capacity data'!$B:$B,P44))-SUMIFS('capacity data'!$H:$H,'capacity data'!$E:$E,"PSO",'capacity data'!$B:$B,P44))/SUMIFS('capacity data'!$G:$G,'capacity data'!$E:$E,"PSO",'capacity data'!$B:$B,P44),"")</f>
        <v/>
      </c>
      <c r="S44" s="22" t="str">
        <f t="shared" si="0"/>
        <v/>
      </c>
      <c r="T44" s="223" t="str">
        <f>IFERROR(SUMIFS('capacity data'!$L:$L,'capacity data'!$B:$B,P44,'capacity data'!$E:$E,"PSO")/SUMIFS('capacity data'!$G:$G,'capacity data'!$E:$E,"PSO",'capacity data'!$B:$B,P44),"")</f>
        <v/>
      </c>
      <c r="U44" s="223" t="str">
        <f>IFERROR(SUMIFS('capacity data'!$L:$L,'capacity data'!$B:$B,P44,'capacity data'!$E:$E,"TPO")/SUMIFS('capacity data'!$G:$G,'capacity data'!$E:$E,"TPO",'capacity data'!$B:$B,P44),"")</f>
        <v/>
      </c>
      <c r="V44" s="400" t="str">
        <f>IFERROR(SUMIFS('capacity data'!$L:$L,'capacity data'!$B:$B,P44,'capacity data'!$E:$E,"PO")/SUMIFS('capacity data'!$G:$G,'capacity data'!$E:$E,"PO",'capacity data'!$B:$B,P44),"")</f>
        <v/>
      </c>
      <c r="W44" s="400" t="str">
        <f>IFERROR(SUM((SUMIFS('capacity data'!$G:$G,'capacity data'!$B:$B,P44))-SUMIFS('capacity data'!$H:$H,'capacity data'!$B:$B,P44))/SUMIFS('capacity data'!$G:$G,'capacity data'!$B:$B,P44),"")</f>
        <v/>
      </c>
    </row>
    <row r="45" spans="15:23" ht="16" x14ac:dyDescent="0.2">
      <c r="O45" s="23" t="s">
        <v>21</v>
      </c>
      <c r="P45" t="s">
        <v>161</v>
      </c>
      <c r="Q45" s="222" t="str">
        <f>IFERROR(SUM((SUMIFS('capacity data'!$G:$G,'capacity data'!$E:$E,"PO",'capacity data'!$B:$B,P45))-SUMIFS('capacity data'!$H:$H,'capacity data'!$E:$E,"PO",'capacity data'!$B:$B,P45))/SUMIFS('capacity data'!$G:$G,'capacity data'!$E:$E,"PO",'capacity data'!$B:$B,P45),"")</f>
        <v/>
      </c>
      <c r="R45" s="222" t="str">
        <f>IFERROR(SUM((SUMIFS('capacity data'!$G:$G,'capacity data'!$E:$E,"PSO",'capacity data'!$B:$B,P45))-SUMIFS('capacity data'!$H:$H,'capacity data'!$E:$E,"PSO",'capacity data'!$B:$B,P45))/SUMIFS('capacity data'!$G:$G,'capacity data'!$E:$E,"PSO",'capacity data'!$B:$B,P45),"")</f>
        <v/>
      </c>
      <c r="S45" s="22" t="str">
        <f t="shared" si="0"/>
        <v/>
      </c>
      <c r="T45" s="223" t="str">
        <f>IFERROR(SUMIFS('capacity data'!$L:$L,'capacity data'!$B:$B,P45,'capacity data'!$E:$E,"PSO")/SUMIFS('capacity data'!$G:$G,'capacity data'!$E:$E,"PSO",'capacity data'!$B:$B,P45),"")</f>
        <v/>
      </c>
      <c r="U45" s="223" t="str">
        <f>IFERROR(SUMIFS('capacity data'!$L:$L,'capacity data'!$B:$B,P45,'capacity data'!$E:$E,"TPO")/SUMIFS('capacity data'!$G:$G,'capacity data'!$E:$E,"TPO",'capacity data'!$B:$B,P45),"")</f>
        <v/>
      </c>
      <c r="V45" s="400" t="str">
        <f>IFERROR(SUMIFS('capacity data'!$L:$L,'capacity data'!$B:$B,P45,'capacity data'!$E:$E,"PO")/SUMIFS('capacity data'!$G:$G,'capacity data'!$E:$E,"PO",'capacity data'!$B:$B,P45),"")</f>
        <v/>
      </c>
      <c r="W45" s="400" t="str">
        <f>IFERROR(SUM((SUMIFS('capacity data'!$G:$G,'capacity data'!$B:$B,P45))-SUMIFS('capacity data'!$H:$H,'capacity data'!$B:$B,P45))/SUMIFS('capacity data'!$G:$G,'capacity data'!$B:$B,P45),"")</f>
        <v/>
      </c>
    </row>
    <row r="46" spans="15:23" ht="16" x14ac:dyDescent="0.2">
      <c r="O46" s="23" t="s">
        <v>21</v>
      </c>
      <c r="P46" t="s">
        <v>180</v>
      </c>
      <c r="Q46" s="222" t="str">
        <f>IFERROR(SUM((SUMIFS('capacity data'!$G:$G,'capacity data'!$E:$E,"PO",'capacity data'!$B:$B,P46))-SUMIFS('capacity data'!$H:$H,'capacity data'!$E:$E,"PO",'capacity data'!$B:$B,P46))/SUMIFS('capacity data'!$G:$G,'capacity data'!$E:$E,"PO",'capacity data'!$B:$B,P46),"")</f>
        <v/>
      </c>
      <c r="R46" s="222" t="str">
        <f>IFERROR(SUM((SUMIFS('capacity data'!$G:$G,'capacity data'!$E:$E,"PSO",'capacity data'!$B:$B,P46))-SUMIFS('capacity data'!$H:$H,'capacity data'!$E:$E,"PSO",'capacity data'!$B:$B,P46))/SUMIFS('capacity data'!$G:$G,'capacity data'!$E:$E,"PSO",'capacity data'!$B:$B,P46),"")</f>
        <v/>
      </c>
      <c r="S46" s="22" t="str">
        <f t="shared" si="0"/>
        <v/>
      </c>
      <c r="T46" s="223" t="str">
        <f>IFERROR(SUMIFS('capacity data'!$L:$L,'capacity data'!$B:$B,P46,'capacity data'!$E:$E,"PSO")/SUMIFS('capacity data'!$G:$G,'capacity data'!$E:$E,"PSO",'capacity data'!$B:$B,P46),"")</f>
        <v/>
      </c>
      <c r="U46" s="223" t="str">
        <f>IFERROR(SUMIFS('capacity data'!$L:$L,'capacity data'!$B:$B,P46,'capacity data'!$E:$E,"TPO")/SUMIFS('capacity data'!$G:$G,'capacity data'!$E:$E,"TPO",'capacity data'!$B:$B,P46),"")</f>
        <v/>
      </c>
      <c r="V46" s="400" t="str">
        <f>IFERROR(SUMIFS('capacity data'!$L:$L,'capacity data'!$B:$B,P46,'capacity data'!$E:$E,"PO")/SUMIFS('capacity data'!$G:$G,'capacity data'!$E:$E,"PO",'capacity data'!$B:$B,P46),"")</f>
        <v/>
      </c>
      <c r="W46" s="400" t="str">
        <f>IFERROR(SUM((SUMIFS('capacity data'!$G:$G,'capacity data'!$B:$B,P46))-SUMIFS('capacity data'!$H:$H,'capacity data'!$B:$B,P46))/SUMIFS('capacity data'!$G:$G,'capacity data'!$B:$B,P46),"")</f>
        <v/>
      </c>
    </row>
    <row r="47" spans="15:23" ht="16" x14ac:dyDescent="0.2">
      <c r="O47" s="23" t="s">
        <v>21</v>
      </c>
      <c r="P47" t="s">
        <v>199</v>
      </c>
      <c r="Q47" s="222" t="str">
        <f>IFERROR(SUM((SUMIFS('capacity data'!$G:$G,'capacity data'!$E:$E,"PO",'capacity data'!$B:$B,P47))-SUMIFS('capacity data'!$H:$H,'capacity data'!$E:$E,"PO",'capacity data'!$B:$B,P47))/SUMIFS('capacity data'!$G:$G,'capacity data'!$E:$E,"PO",'capacity data'!$B:$B,P47),"")</f>
        <v/>
      </c>
      <c r="R47" s="222" t="str">
        <f>IFERROR(SUM((SUMIFS('capacity data'!$G:$G,'capacity data'!$E:$E,"PSO",'capacity data'!$B:$B,P47))-SUMIFS('capacity data'!$H:$H,'capacity data'!$E:$E,"PSO",'capacity data'!$B:$B,P47))/SUMIFS('capacity data'!$G:$G,'capacity data'!$E:$E,"PSO",'capacity data'!$B:$B,P47),"")</f>
        <v/>
      </c>
      <c r="S47" s="22" t="str">
        <f t="shared" si="0"/>
        <v/>
      </c>
      <c r="T47" s="223" t="str">
        <f>IFERROR(SUMIFS('capacity data'!$L:$L,'capacity data'!$B:$B,P47,'capacity data'!$E:$E,"PSO")/SUMIFS('capacity data'!$G:$G,'capacity data'!$E:$E,"PSO",'capacity data'!$B:$B,P47),"")</f>
        <v/>
      </c>
      <c r="U47" s="223" t="str">
        <f>IFERROR(SUMIFS('capacity data'!$L:$L,'capacity data'!$B:$B,P47,'capacity data'!$E:$E,"TPO")/SUMIFS('capacity data'!$G:$G,'capacity data'!$E:$E,"TPO",'capacity data'!$B:$B,P47),"")</f>
        <v/>
      </c>
      <c r="V47" s="400" t="str">
        <f>IFERROR(SUMIFS('capacity data'!$L:$L,'capacity data'!$B:$B,P47,'capacity data'!$E:$E,"PO")/SUMIFS('capacity data'!$G:$G,'capacity data'!$E:$E,"PO",'capacity data'!$B:$B,P47),"")</f>
        <v/>
      </c>
      <c r="W47" s="400" t="str">
        <f>IFERROR(SUM((SUMIFS('capacity data'!$G:$G,'capacity data'!$B:$B,P47))-SUMIFS('capacity data'!$H:$H,'capacity data'!$B:$B,P47))/SUMIFS('capacity data'!$G:$G,'capacity data'!$B:$B,P47),"")</f>
        <v/>
      </c>
    </row>
    <row r="48" spans="15:23" ht="16" x14ac:dyDescent="0.2">
      <c r="O48" s="23" t="s">
        <v>21</v>
      </c>
      <c r="P48" t="s">
        <v>217</v>
      </c>
      <c r="Q48" s="222" t="str">
        <f>IFERROR(SUM((SUMIFS('capacity data'!$G:$G,'capacity data'!$E:$E,"PO",'capacity data'!$B:$B,P48))-SUMIFS('capacity data'!$H:$H,'capacity data'!$E:$E,"PO",'capacity data'!$B:$B,P48))/SUMIFS('capacity data'!$G:$G,'capacity data'!$E:$E,"PO",'capacity data'!$B:$B,P48),"")</f>
        <v/>
      </c>
      <c r="R48" s="222" t="str">
        <f>IFERROR(SUM((SUMIFS('capacity data'!$G:$G,'capacity data'!$E:$E,"PSO",'capacity data'!$B:$B,P48))-SUMIFS('capacity data'!$H:$H,'capacity data'!$E:$E,"PSO",'capacity data'!$B:$B,P48))/SUMIFS('capacity data'!$G:$G,'capacity data'!$E:$E,"PSO",'capacity data'!$B:$B,P48),"")</f>
        <v/>
      </c>
      <c r="S48" s="22" t="str">
        <f t="shared" si="0"/>
        <v/>
      </c>
      <c r="T48" s="223" t="str">
        <f>IFERROR(SUMIFS('capacity data'!$L:$L,'capacity data'!$B:$B,P48,'capacity data'!$E:$E,"PSO")/SUMIFS('capacity data'!$G:$G,'capacity data'!$E:$E,"PSO",'capacity data'!$B:$B,P48),"")</f>
        <v/>
      </c>
      <c r="U48" s="223" t="str">
        <f>IFERROR(SUMIFS('capacity data'!$L:$L,'capacity data'!$B:$B,P48,'capacity data'!$E:$E,"TPO")/SUMIFS('capacity data'!$G:$G,'capacity data'!$E:$E,"TPO",'capacity data'!$B:$B,P48),"")</f>
        <v/>
      </c>
      <c r="V48" s="400" t="str">
        <f>IFERROR(SUMIFS('capacity data'!$L:$L,'capacity data'!$B:$B,P48,'capacity data'!$E:$E,"PO")/SUMIFS('capacity data'!$G:$G,'capacity data'!$E:$E,"PO",'capacity data'!$B:$B,P48),"")</f>
        <v/>
      </c>
      <c r="W48" s="400" t="str">
        <f>IFERROR(SUM((SUMIFS('capacity data'!$G:$G,'capacity data'!$B:$B,P48))-SUMIFS('capacity data'!$H:$H,'capacity data'!$B:$B,P48))/SUMIFS('capacity data'!$G:$G,'capacity data'!$B:$B,P48),"")</f>
        <v/>
      </c>
    </row>
    <row r="49" spans="15:23" ht="16" x14ac:dyDescent="0.2">
      <c r="O49" s="23" t="s">
        <v>21</v>
      </c>
      <c r="P49" t="s">
        <v>234</v>
      </c>
      <c r="Q49" s="222" t="str">
        <f>IFERROR(SUM((SUMIFS('capacity data'!$G:$G,'capacity data'!$E:$E,"PO",'capacity data'!$B:$B,P49))-SUMIFS('capacity data'!$H:$H,'capacity data'!$E:$E,"PO",'capacity data'!$B:$B,P49))/SUMIFS('capacity data'!$G:$G,'capacity data'!$E:$E,"PO",'capacity data'!$B:$B,P49),"")</f>
        <v/>
      </c>
      <c r="R49" s="222" t="str">
        <f>IFERROR(SUM((SUMIFS('capacity data'!$G:$G,'capacity data'!$E:$E,"PSO",'capacity data'!$B:$B,P49))-SUMIFS('capacity data'!$H:$H,'capacity data'!$E:$E,"PSO",'capacity data'!$B:$B,P49))/SUMIFS('capacity data'!$G:$G,'capacity data'!$E:$E,"PSO",'capacity data'!$B:$B,P49),"")</f>
        <v/>
      </c>
      <c r="S49" s="22" t="str">
        <f t="shared" si="0"/>
        <v/>
      </c>
      <c r="T49" s="223" t="str">
        <f>IFERROR(SUMIFS('capacity data'!$L:$L,'capacity data'!$B:$B,P49,'capacity data'!$E:$E,"PSO")/SUMIFS('capacity data'!$G:$G,'capacity data'!$E:$E,"PSO",'capacity data'!$B:$B,P49),"")</f>
        <v/>
      </c>
      <c r="U49" s="223" t="str">
        <f>IFERROR(SUMIFS('capacity data'!$L:$L,'capacity data'!$B:$B,P49,'capacity data'!$E:$E,"TPO")/SUMIFS('capacity data'!$G:$G,'capacity data'!$E:$E,"TPO",'capacity data'!$B:$B,P49),"")</f>
        <v/>
      </c>
      <c r="V49" s="400" t="str">
        <f>IFERROR(SUMIFS('capacity data'!$L:$L,'capacity data'!$B:$B,P49,'capacity data'!$E:$E,"PO")/SUMIFS('capacity data'!$G:$G,'capacity data'!$E:$E,"PO",'capacity data'!$B:$B,P49),"")</f>
        <v/>
      </c>
      <c r="W49" s="400" t="str">
        <f>IFERROR(SUM((SUMIFS('capacity data'!$G:$G,'capacity data'!$B:$B,P49))-SUMIFS('capacity data'!$H:$H,'capacity data'!$B:$B,P49))/SUMIFS('capacity data'!$G:$G,'capacity data'!$B:$B,P49),"")</f>
        <v/>
      </c>
    </row>
    <row r="50" spans="15:23" ht="16" x14ac:dyDescent="0.2">
      <c r="O50" s="23" t="s">
        <v>21</v>
      </c>
      <c r="P50" t="s">
        <v>249</v>
      </c>
      <c r="Q50" s="222" t="str">
        <f>IFERROR(SUM((SUMIFS('capacity data'!$G:$G,'capacity data'!$E:$E,"PO",'capacity data'!$B:$B,P50))-SUMIFS('capacity data'!$H:$H,'capacity data'!$E:$E,"PO",'capacity data'!$B:$B,P50))/SUMIFS('capacity data'!$G:$G,'capacity data'!$E:$E,"PO",'capacity data'!$B:$B,P50),"")</f>
        <v/>
      </c>
      <c r="R50" s="222" t="str">
        <f>IFERROR(SUM((SUMIFS('capacity data'!$G:$G,'capacity data'!$E:$E,"PSO",'capacity data'!$B:$B,P50))-SUMIFS('capacity data'!$H:$H,'capacity data'!$E:$E,"PSO",'capacity data'!$B:$B,P50))/SUMIFS('capacity data'!$G:$G,'capacity data'!$E:$E,"PSO",'capacity data'!$B:$B,P50),"")</f>
        <v/>
      </c>
      <c r="S50" s="22" t="str">
        <f t="shared" si="0"/>
        <v/>
      </c>
      <c r="T50" s="223" t="str">
        <f>IFERROR(SUMIFS('capacity data'!$L:$L,'capacity data'!$B:$B,P50,'capacity data'!$E:$E,"PSO")/SUMIFS('capacity data'!$G:$G,'capacity data'!$E:$E,"PSO",'capacity data'!$B:$B,P50),"")</f>
        <v/>
      </c>
      <c r="U50" s="223" t="str">
        <f>IFERROR(SUMIFS('capacity data'!$L:$L,'capacity data'!$B:$B,P50,'capacity data'!$E:$E,"TPO")/SUMIFS('capacity data'!$G:$G,'capacity data'!$E:$E,"TPO",'capacity data'!$B:$B,P50),"")</f>
        <v/>
      </c>
      <c r="V50" s="400" t="str">
        <f>IFERROR(SUMIFS('capacity data'!$L:$L,'capacity data'!$B:$B,P50,'capacity data'!$E:$E,"PO")/SUMIFS('capacity data'!$G:$G,'capacity data'!$E:$E,"PO",'capacity data'!$B:$B,P50),"")</f>
        <v/>
      </c>
      <c r="W50" s="400" t="str">
        <f>IFERROR(SUM((SUMIFS('capacity data'!$G:$G,'capacity data'!$B:$B,P50))-SUMIFS('capacity data'!$H:$H,'capacity data'!$B:$B,P50))/SUMIFS('capacity data'!$G:$G,'capacity data'!$B:$B,P50),"")</f>
        <v/>
      </c>
    </row>
    <row r="51" spans="15:23" ht="16" x14ac:dyDescent="0.2">
      <c r="O51" s="23" t="s">
        <v>21</v>
      </c>
      <c r="P51" t="s">
        <v>262</v>
      </c>
      <c r="Q51" s="222" t="str">
        <f>IFERROR(SUM((SUMIFS('capacity data'!$G:$G,'capacity data'!$E:$E,"PO",'capacity data'!$B:$B,P51))-SUMIFS('capacity data'!$H:$H,'capacity data'!$E:$E,"PO",'capacity data'!$B:$B,P51))/SUMIFS('capacity data'!$G:$G,'capacity data'!$E:$E,"PO",'capacity data'!$B:$B,P51),"")</f>
        <v/>
      </c>
      <c r="R51" s="222" t="str">
        <f>IFERROR(SUM((SUMIFS('capacity data'!$G:$G,'capacity data'!$E:$E,"PSO",'capacity data'!$B:$B,P51))-SUMIFS('capacity data'!$H:$H,'capacity data'!$E:$E,"PSO",'capacity data'!$B:$B,P51))/SUMIFS('capacity data'!$G:$G,'capacity data'!$E:$E,"PSO",'capacity data'!$B:$B,P51),"")</f>
        <v/>
      </c>
      <c r="S51" s="22" t="str">
        <f t="shared" si="0"/>
        <v/>
      </c>
      <c r="T51" s="223" t="str">
        <f>IFERROR(SUMIFS('capacity data'!$L:$L,'capacity data'!$B:$B,P51,'capacity data'!$E:$E,"PSO")/SUMIFS('capacity data'!$G:$G,'capacity data'!$E:$E,"PSO",'capacity data'!$B:$B,P51),"")</f>
        <v/>
      </c>
      <c r="U51" s="223" t="str">
        <f>IFERROR(SUMIFS('capacity data'!$L:$L,'capacity data'!$B:$B,P51,'capacity data'!$E:$E,"TPO")/SUMIFS('capacity data'!$G:$G,'capacity data'!$E:$E,"TPO",'capacity data'!$B:$B,P51),"")</f>
        <v/>
      </c>
      <c r="V51" s="400" t="str">
        <f>IFERROR(SUMIFS('capacity data'!$L:$L,'capacity data'!$B:$B,P51,'capacity data'!$E:$E,"PO")/SUMIFS('capacity data'!$G:$G,'capacity data'!$E:$E,"PO",'capacity data'!$B:$B,P51),"")</f>
        <v/>
      </c>
      <c r="W51" s="400" t="str">
        <f>IFERROR(SUM((SUMIFS('capacity data'!$G:$G,'capacity data'!$B:$B,P51))-SUMIFS('capacity data'!$H:$H,'capacity data'!$B:$B,P51))/SUMIFS('capacity data'!$G:$G,'capacity data'!$B:$B,P51),"")</f>
        <v/>
      </c>
    </row>
    <row r="52" spans="15:23" ht="16" x14ac:dyDescent="0.2">
      <c r="O52" s="23" t="s">
        <v>21</v>
      </c>
      <c r="P52" t="s">
        <v>275</v>
      </c>
      <c r="Q52" s="222" t="str">
        <f>IFERROR(SUM((SUMIFS('capacity data'!$G:$G,'capacity data'!$E:$E,"PO",'capacity data'!$B:$B,P52))-SUMIFS('capacity data'!$H:$H,'capacity data'!$E:$E,"PO",'capacity data'!$B:$B,P52))/SUMIFS('capacity data'!$G:$G,'capacity data'!$E:$E,"PO",'capacity data'!$B:$B,P52),"")</f>
        <v/>
      </c>
      <c r="R52" s="222" t="str">
        <f>IFERROR(SUM((SUMIFS('capacity data'!$G:$G,'capacity data'!$E:$E,"PSO",'capacity data'!$B:$B,P52))-SUMIFS('capacity data'!$H:$H,'capacity data'!$E:$E,"PSO",'capacity data'!$B:$B,P52))/SUMIFS('capacity data'!$G:$G,'capacity data'!$E:$E,"PSO",'capacity data'!$B:$B,P52),"")</f>
        <v/>
      </c>
      <c r="S52" s="22" t="str">
        <f t="shared" si="0"/>
        <v/>
      </c>
      <c r="T52" s="223" t="str">
        <f>IFERROR(SUMIFS('capacity data'!$L:$L,'capacity data'!$B:$B,P52,'capacity data'!$E:$E,"PSO")/SUMIFS('capacity data'!$G:$G,'capacity data'!$E:$E,"PSO",'capacity data'!$B:$B,P52),"")</f>
        <v/>
      </c>
      <c r="U52" s="223" t="str">
        <f>IFERROR(SUMIFS('capacity data'!$L:$L,'capacity data'!$B:$B,P52,'capacity data'!$E:$E,"TPO")/SUMIFS('capacity data'!$G:$G,'capacity data'!$E:$E,"TPO",'capacity data'!$B:$B,P52),"")</f>
        <v/>
      </c>
      <c r="V52" s="400" t="str">
        <f>IFERROR(SUMIFS('capacity data'!$L:$L,'capacity data'!$B:$B,P52,'capacity data'!$E:$E,"PO")/SUMIFS('capacity data'!$G:$G,'capacity data'!$E:$E,"PO",'capacity data'!$B:$B,P52),"")</f>
        <v/>
      </c>
      <c r="W52" s="400" t="str">
        <f>IFERROR(SUM((SUMIFS('capacity data'!$G:$G,'capacity data'!$B:$B,P52))-SUMIFS('capacity data'!$H:$H,'capacity data'!$B:$B,P52))/SUMIFS('capacity data'!$G:$G,'capacity data'!$B:$B,P52),"")</f>
        <v/>
      </c>
    </row>
    <row r="53" spans="15:23" ht="16" x14ac:dyDescent="0.2">
      <c r="O53" s="23" t="s">
        <v>21</v>
      </c>
      <c r="P53" t="s">
        <v>290</v>
      </c>
      <c r="Q53" s="222" t="str">
        <f>IFERROR(SUM((SUMIFS('capacity data'!$G:$G,'capacity data'!$E:$E,"PO",'capacity data'!$B:$B,P53))-SUMIFS('capacity data'!$H:$H,'capacity data'!$E:$E,"PO",'capacity data'!$B:$B,P53))/SUMIFS('capacity data'!$G:$G,'capacity data'!$E:$E,"PO",'capacity data'!$B:$B,P53),"")</f>
        <v/>
      </c>
      <c r="R53" s="222" t="str">
        <f>IFERROR(SUM((SUMIFS('capacity data'!$G:$G,'capacity data'!$E:$E,"PSO",'capacity data'!$B:$B,P53))-SUMIFS('capacity data'!$H:$H,'capacity data'!$E:$E,"PSO",'capacity data'!$B:$B,P53))/SUMIFS('capacity data'!$G:$G,'capacity data'!$E:$E,"PSO",'capacity data'!$B:$B,P53),"")</f>
        <v/>
      </c>
      <c r="S53" s="22" t="str">
        <f t="shared" si="0"/>
        <v/>
      </c>
      <c r="T53" s="223" t="str">
        <f>IFERROR(SUMIFS('capacity data'!$L:$L,'capacity data'!$B:$B,P53,'capacity data'!$E:$E,"PSO")/SUMIFS('capacity data'!$G:$G,'capacity data'!$E:$E,"PSO",'capacity data'!$B:$B,P53),"")</f>
        <v/>
      </c>
      <c r="U53" s="223" t="str">
        <f>IFERROR(SUMIFS('capacity data'!$L:$L,'capacity data'!$B:$B,P53,'capacity data'!$E:$E,"TPO")/SUMIFS('capacity data'!$G:$G,'capacity data'!$E:$E,"TPO",'capacity data'!$B:$B,P53),"")</f>
        <v/>
      </c>
      <c r="V53" s="400" t="str">
        <f>IFERROR(SUMIFS('capacity data'!$L:$L,'capacity data'!$B:$B,P53,'capacity data'!$E:$E,"PO")/SUMIFS('capacity data'!$G:$G,'capacity data'!$E:$E,"PO",'capacity data'!$B:$B,P53),"")</f>
        <v/>
      </c>
      <c r="W53" s="400" t="str">
        <f>IFERROR(SUM((SUMIFS('capacity data'!$G:$G,'capacity data'!$B:$B,P53))-SUMIFS('capacity data'!$H:$H,'capacity data'!$B:$B,P53))/SUMIFS('capacity data'!$G:$G,'capacity data'!$B:$B,P53),"")</f>
        <v/>
      </c>
    </row>
    <row r="54" spans="15:23" ht="16" x14ac:dyDescent="0.2">
      <c r="O54" s="23" t="s">
        <v>21</v>
      </c>
      <c r="P54" t="s">
        <v>301</v>
      </c>
      <c r="Q54" s="222" t="str">
        <f>IFERROR(SUM((SUMIFS('capacity data'!$G:$G,'capacity data'!$E:$E,"PO",'capacity data'!$B:$B,P54))-SUMIFS('capacity data'!$H:$H,'capacity data'!$E:$E,"PO",'capacity data'!$B:$B,P54))/SUMIFS('capacity data'!$G:$G,'capacity data'!$E:$E,"PO",'capacity data'!$B:$B,P54),"")</f>
        <v/>
      </c>
      <c r="R54" s="222" t="str">
        <f>IFERROR(SUM((SUMIFS('capacity data'!$G:$G,'capacity data'!$E:$E,"PSO",'capacity data'!$B:$B,P54))-SUMIFS('capacity data'!$H:$H,'capacity data'!$E:$E,"PSO",'capacity data'!$B:$B,P54))/SUMIFS('capacity data'!$G:$G,'capacity data'!$E:$E,"PSO",'capacity data'!$B:$B,P54),"")</f>
        <v/>
      </c>
      <c r="S54" s="22" t="str">
        <f t="shared" si="0"/>
        <v/>
      </c>
      <c r="T54" s="223" t="str">
        <f>IFERROR(SUMIFS('capacity data'!$L:$L,'capacity data'!$B:$B,P54,'capacity data'!$E:$E,"PSO")/SUMIFS('capacity data'!$G:$G,'capacity data'!$E:$E,"PSO",'capacity data'!$B:$B,P54),"")</f>
        <v/>
      </c>
      <c r="U54" s="223" t="str">
        <f>IFERROR(SUMIFS('capacity data'!$L:$L,'capacity data'!$B:$B,P54,'capacity data'!$E:$E,"TPO")/SUMIFS('capacity data'!$G:$G,'capacity data'!$E:$E,"TPO",'capacity data'!$B:$B,P54),"")</f>
        <v/>
      </c>
      <c r="V54" s="400" t="str">
        <f>IFERROR(SUMIFS('capacity data'!$L:$L,'capacity data'!$B:$B,P54,'capacity data'!$E:$E,"PO")/SUMIFS('capacity data'!$G:$G,'capacity data'!$E:$E,"PO",'capacity data'!$B:$B,P54),"")</f>
        <v/>
      </c>
      <c r="W54" s="400" t="str">
        <f>IFERROR(SUM((SUMIFS('capacity data'!$G:$G,'capacity data'!$B:$B,P54))-SUMIFS('capacity data'!$H:$H,'capacity data'!$B:$B,P54))/SUMIFS('capacity data'!$G:$G,'capacity data'!$B:$B,P54),"")</f>
        <v/>
      </c>
    </row>
    <row r="55" spans="15:23" ht="16" x14ac:dyDescent="0.2">
      <c r="O55" s="23" t="s">
        <v>21</v>
      </c>
      <c r="P55" t="s">
        <v>314</v>
      </c>
      <c r="Q55" s="222" t="str">
        <f>IFERROR(SUM((SUMIFS('capacity data'!$G:$G,'capacity data'!$E:$E,"PO",'capacity data'!$B:$B,P55))-SUMIFS('capacity data'!$H:$H,'capacity data'!$E:$E,"PO",'capacity data'!$B:$B,P55))/SUMIFS('capacity data'!$G:$G,'capacity data'!$E:$E,"PO",'capacity data'!$B:$B,P55),"")</f>
        <v/>
      </c>
      <c r="R55" s="222" t="str">
        <f>IFERROR(SUM((SUMIFS('capacity data'!$G:$G,'capacity data'!$E:$E,"PSO",'capacity data'!$B:$B,P55))-SUMIFS('capacity data'!$H:$H,'capacity data'!$E:$E,"PSO",'capacity data'!$B:$B,P55))/SUMIFS('capacity data'!$G:$G,'capacity data'!$E:$E,"PSO",'capacity data'!$B:$B,P55),"")</f>
        <v/>
      </c>
      <c r="S55" s="22" t="str">
        <f t="shared" si="0"/>
        <v/>
      </c>
      <c r="T55" s="223" t="str">
        <f>IFERROR(SUMIFS('capacity data'!$L:$L,'capacity data'!$B:$B,P55,'capacity data'!$E:$E,"PSO")/SUMIFS('capacity data'!$G:$G,'capacity data'!$E:$E,"PSO",'capacity data'!$B:$B,P55),"")</f>
        <v/>
      </c>
      <c r="U55" s="223" t="str">
        <f>IFERROR(SUMIFS('capacity data'!$L:$L,'capacity data'!$B:$B,P55,'capacity data'!$E:$E,"TPO")/SUMIFS('capacity data'!$G:$G,'capacity data'!$E:$E,"TPO",'capacity data'!$B:$B,P55),"")</f>
        <v/>
      </c>
      <c r="V55" s="400" t="str">
        <f>IFERROR(SUMIFS('capacity data'!$L:$L,'capacity data'!$B:$B,P55,'capacity data'!$E:$E,"PO")/SUMIFS('capacity data'!$G:$G,'capacity data'!$E:$E,"PO",'capacity data'!$B:$B,P55),"")</f>
        <v/>
      </c>
      <c r="W55" s="400" t="str">
        <f>IFERROR(SUM((SUMIFS('capacity data'!$G:$G,'capacity data'!$B:$B,P55))-SUMIFS('capacity data'!$H:$H,'capacity data'!$B:$B,P55))/SUMIFS('capacity data'!$G:$G,'capacity data'!$B:$B,P55),"")</f>
        <v/>
      </c>
    </row>
    <row r="56" spans="15:23" ht="16" x14ac:dyDescent="0.2">
      <c r="O56" s="23" t="s">
        <v>21</v>
      </c>
      <c r="P56" t="s">
        <v>327</v>
      </c>
      <c r="Q56" s="222" t="str">
        <f>IFERROR(SUM((SUMIFS('capacity data'!$G:$G,'capacity data'!$E:$E,"PO",'capacity data'!$B:$B,P56))-SUMIFS('capacity data'!$H:$H,'capacity data'!$E:$E,"PO",'capacity data'!$B:$B,P56))/SUMIFS('capacity data'!$G:$G,'capacity data'!$E:$E,"PO",'capacity data'!$B:$B,P56),"")</f>
        <v/>
      </c>
      <c r="R56" s="222" t="str">
        <f>IFERROR(SUM((SUMIFS('capacity data'!$G:$G,'capacity data'!$E:$E,"PSO",'capacity data'!$B:$B,P56))-SUMIFS('capacity data'!$H:$H,'capacity data'!$E:$E,"PSO",'capacity data'!$B:$B,P56))/SUMIFS('capacity data'!$G:$G,'capacity data'!$E:$E,"PSO",'capacity data'!$B:$B,P56),"")</f>
        <v/>
      </c>
      <c r="S56" s="22" t="str">
        <f t="shared" si="0"/>
        <v/>
      </c>
      <c r="T56" s="223" t="str">
        <f>IFERROR(SUMIFS('capacity data'!$L:$L,'capacity data'!$B:$B,P56,'capacity data'!$E:$E,"PSO")/SUMIFS('capacity data'!$G:$G,'capacity data'!$E:$E,"PSO",'capacity data'!$B:$B,P56),"")</f>
        <v/>
      </c>
      <c r="U56" s="223" t="str">
        <f>IFERROR(SUMIFS('capacity data'!$L:$L,'capacity data'!$B:$B,P56,'capacity data'!$E:$E,"TPO")/SUMIFS('capacity data'!$G:$G,'capacity data'!$E:$E,"TPO",'capacity data'!$B:$B,P56),"")</f>
        <v/>
      </c>
      <c r="V56" s="400" t="str">
        <f>IFERROR(SUMIFS('capacity data'!$L:$L,'capacity data'!$B:$B,P56,'capacity data'!$E:$E,"PO")/SUMIFS('capacity data'!$G:$G,'capacity data'!$E:$E,"PO",'capacity data'!$B:$B,P56),"")</f>
        <v/>
      </c>
      <c r="W56" s="400" t="str">
        <f>IFERROR(SUM((SUMIFS('capacity data'!$G:$G,'capacity data'!$B:$B,P56))-SUMIFS('capacity data'!$H:$H,'capacity data'!$B:$B,P56))/SUMIFS('capacity data'!$G:$G,'capacity data'!$B:$B,P56),"")</f>
        <v/>
      </c>
    </row>
    <row r="57" spans="15:23" ht="16" x14ac:dyDescent="0.2">
      <c r="O57" s="23" t="s">
        <v>21</v>
      </c>
      <c r="P57" t="s">
        <v>339</v>
      </c>
      <c r="Q57" s="222" t="str">
        <f>IFERROR(SUM((SUMIFS('capacity data'!$G:$G,'capacity data'!$E:$E,"PO",'capacity data'!$B:$B,P57))-SUMIFS('capacity data'!$H:$H,'capacity data'!$E:$E,"PO",'capacity data'!$B:$B,P57))/SUMIFS('capacity data'!$G:$G,'capacity data'!$E:$E,"PO",'capacity data'!$B:$B,P57),"")</f>
        <v/>
      </c>
      <c r="R57" s="222" t="str">
        <f>IFERROR(SUM((SUMIFS('capacity data'!$G:$G,'capacity data'!$E:$E,"PSO",'capacity data'!$B:$B,P57))-SUMIFS('capacity data'!$H:$H,'capacity data'!$E:$E,"PSO",'capacity data'!$B:$B,P57))/SUMIFS('capacity data'!$G:$G,'capacity data'!$E:$E,"PSO",'capacity data'!$B:$B,P57),"")</f>
        <v/>
      </c>
      <c r="S57" s="22" t="str">
        <f t="shared" si="0"/>
        <v/>
      </c>
      <c r="T57" s="223" t="str">
        <f>IFERROR(SUMIFS('capacity data'!$L:$L,'capacity data'!$B:$B,P57,'capacity data'!$E:$E,"PSO")/SUMIFS('capacity data'!$G:$G,'capacity data'!$E:$E,"PSO",'capacity data'!$B:$B,P57),"")</f>
        <v/>
      </c>
      <c r="U57" s="223" t="str">
        <f>IFERROR(SUMIFS('capacity data'!$L:$L,'capacity data'!$B:$B,P57,'capacity data'!$E:$E,"TPO")/SUMIFS('capacity data'!$G:$G,'capacity data'!$E:$E,"TPO",'capacity data'!$B:$B,P57),"")</f>
        <v/>
      </c>
      <c r="V57" s="400" t="str">
        <f>IFERROR(SUMIFS('capacity data'!$L:$L,'capacity data'!$B:$B,P57,'capacity data'!$E:$E,"PO")/SUMIFS('capacity data'!$G:$G,'capacity data'!$E:$E,"PO",'capacity data'!$B:$B,P57),"")</f>
        <v/>
      </c>
      <c r="W57" s="400" t="str">
        <f>IFERROR(SUM((SUMIFS('capacity data'!$G:$G,'capacity data'!$B:$B,P57))-SUMIFS('capacity data'!$H:$H,'capacity data'!$B:$B,P57))/SUMIFS('capacity data'!$G:$G,'capacity data'!$B:$B,P57),"")</f>
        <v/>
      </c>
    </row>
    <row r="58" spans="15:23" ht="16" x14ac:dyDescent="0.2">
      <c r="O58" s="23" t="s">
        <v>21</v>
      </c>
      <c r="P58" t="s">
        <v>350</v>
      </c>
      <c r="Q58" s="222" t="str">
        <f>IFERROR(SUM((SUMIFS('capacity data'!$G:$G,'capacity data'!$E:$E,"PO",'capacity data'!$B:$B,P58))-SUMIFS('capacity data'!$H:$H,'capacity data'!$E:$E,"PO",'capacity data'!$B:$B,P58))/SUMIFS('capacity data'!$G:$G,'capacity data'!$E:$E,"PO",'capacity data'!$B:$B,P58),"")</f>
        <v/>
      </c>
      <c r="R58" s="222" t="str">
        <f>IFERROR(SUM((SUMIFS('capacity data'!$G:$G,'capacity data'!$E:$E,"PSO",'capacity data'!$B:$B,P58))-SUMIFS('capacity data'!$H:$H,'capacity data'!$E:$E,"PSO",'capacity data'!$B:$B,P58))/SUMIFS('capacity data'!$G:$G,'capacity data'!$E:$E,"PSO",'capacity data'!$B:$B,P58),"")</f>
        <v/>
      </c>
      <c r="S58" s="22" t="str">
        <f t="shared" si="0"/>
        <v/>
      </c>
      <c r="T58" s="223" t="str">
        <f>IFERROR(SUMIFS('capacity data'!$L:$L,'capacity data'!$B:$B,P58,'capacity data'!$E:$E,"PSO")/SUMIFS('capacity data'!$G:$G,'capacity data'!$E:$E,"PSO",'capacity data'!$B:$B,P58),"")</f>
        <v/>
      </c>
      <c r="U58" s="223" t="str">
        <f>IFERROR(SUMIFS('capacity data'!$L:$L,'capacity data'!$B:$B,P58,'capacity data'!$E:$E,"TPO")/SUMIFS('capacity data'!$G:$G,'capacity data'!$E:$E,"TPO",'capacity data'!$B:$B,P58),"")</f>
        <v/>
      </c>
      <c r="V58" s="400" t="str">
        <f>IFERROR(SUMIFS('capacity data'!$L:$L,'capacity data'!$B:$B,P58,'capacity data'!$E:$E,"PO")/SUMIFS('capacity data'!$G:$G,'capacity data'!$E:$E,"PO",'capacity data'!$B:$B,P58),"")</f>
        <v/>
      </c>
      <c r="W58" s="400" t="str">
        <f>IFERROR(SUM((SUMIFS('capacity data'!$G:$G,'capacity data'!$B:$B,P58))-SUMIFS('capacity data'!$H:$H,'capacity data'!$B:$B,P58))/SUMIFS('capacity data'!$G:$G,'capacity data'!$B:$B,P58),"")</f>
        <v/>
      </c>
    </row>
    <row r="59" spans="15:23" ht="16" x14ac:dyDescent="0.2">
      <c r="O59" s="23" t="s">
        <v>21</v>
      </c>
      <c r="P59" t="s">
        <v>360</v>
      </c>
      <c r="Q59" s="222" t="str">
        <f>IFERROR(SUM((SUMIFS('capacity data'!$G:$G,'capacity data'!$E:$E,"PO",'capacity data'!$B:$B,P59))-SUMIFS('capacity data'!$H:$H,'capacity data'!$E:$E,"PO",'capacity data'!$B:$B,P59))/SUMIFS('capacity data'!$G:$G,'capacity data'!$E:$E,"PO",'capacity data'!$B:$B,P59),"")</f>
        <v/>
      </c>
      <c r="R59" s="222" t="str">
        <f>IFERROR(SUM((SUMIFS('capacity data'!$G:$G,'capacity data'!$E:$E,"PSO",'capacity data'!$B:$B,P59))-SUMIFS('capacity data'!$H:$H,'capacity data'!$E:$E,"PSO",'capacity data'!$B:$B,P59))/SUMIFS('capacity data'!$G:$G,'capacity data'!$E:$E,"PSO",'capacity data'!$B:$B,P59),"")</f>
        <v/>
      </c>
      <c r="S59" s="22" t="str">
        <f t="shared" si="0"/>
        <v/>
      </c>
      <c r="T59" s="223" t="str">
        <f>IFERROR(SUMIFS('capacity data'!$L:$L,'capacity data'!$B:$B,P59,'capacity data'!$E:$E,"PSO")/SUMIFS('capacity data'!$G:$G,'capacity data'!$E:$E,"PSO",'capacity data'!$B:$B,P59),"")</f>
        <v/>
      </c>
      <c r="U59" s="223" t="str">
        <f>IFERROR(SUMIFS('capacity data'!$L:$L,'capacity data'!$B:$B,P59,'capacity data'!$E:$E,"TPO")/SUMIFS('capacity data'!$G:$G,'capacity data'!$E:$E,"TPO",'capacity data'!$B:$B,P59),"")</f>
        <v/>
      </c>
      <c r="V59" s="400" t="str">
        <f>IFERROR(SUMIFS('capacity data'!$L:$L,'capacity data'!$B:$B,P59,'capacity data'!$E:$E,"PO")/SUMIFS('capacity data'!$G:$G,'capacity data'!$E:$E,"PO",'capacity data'!$B:$B,P59),"")</f>
        <v/>
      </c>
      <c r="W59" s="400" t="str">
        <f>IFERROR(SUM((SUMIFS('capacity data'!$G:$G,'capacity data'!$B:$B,P59))-SUMIFS('capacity data'!$H:$H,'capacity data'!$B:$B,P59))/SUMIFS('capacity data'!$G:$G,'capacity data'!$B:$B,P59),"")</f>
        <v/>
      </c>
    </row>
    <row r="60" spans="15:23" ht="16" x14ac:dyDescent="0.2">
      <c r="O60" s="23" t="s">
        <v>21</v>
      </c>
      <c r="P60" t="s">
        <v>367</v>
      </c>
      <c r="Q60" s="222" t="str">
        <f>IFERROR(SUM((SUMIFS('capacity data'!$G:$G,'capacity data'!$E:$E,"PO",'capacity data'!$B:$B,P60))-SUMIFS('capacity data'!$H:$H,'capacity data'!$E:$E,"PO",'capacity data'!$B:$B,P60))/SUMIFS('capacity data'!$G:$G,'capacity data'!$E:$E,"PO",'capacity data'!$B:$B,P60),"")</f>
        <v/>
      </c>
      <c r="R60" s="222" t="str">
        <f>IFERROR(SUM((SUMIFS('capacity data'!$G:$G,'capacity data'!$E:$E,"PSO",'capacity data'!$B:$B,P60))-SUMIFS('capacity data'!$H:$H,'capacity data'!$E:$E,"PSO",'capacity data'!$B:$B,P60))/SUMIFS('capacity data'!$G:$G,'capacity data'!$E:$E,"PSO",'capacity data'!$B:$B,P60),"")</f>
        <v/>
      </c>
      <c r="S60" s="22" t="str">
        <f t="shared" si="0"/>
        <v/>
      </c>
      <c r="T60" s="223" t="str">
        <f>IFERROR(SUMIFS('capacity data'!$L:$L,'capacity data'!$B:$B,P60,'capacity data'!$E:$E,"PSO")/SUMIFS('capacity data'!$G:$G,'capacity data'!$E:$E,"PSO",'capacity data'!$B:$B,P60),"")</f>
        <v/>
      </c>
      <c r="U60" s="223" t="str">
        <f>IFERROR(SUMIFS('capacity data'!$L:$L,'capacity data'!$B:$B,P60,'capacity data'!$E:$E,"TPO")/SUMIFS('capacity data'!$G:$G,'capacity data'!$E:$E,"TPO",'capacity data'!$B:$B,P60),"")</f>
        <v/>
      </c>
      <c r="V60" s="400" t="str">
        <f>IFERROR(SUMIFS('capacity data'!$L:$L,'capacity data'!$B:$B,P60,'capacity data'!$E:$E,"PO")/SUMIFS('capacity data'!$G:$G,'capacity data'!$E:$E,"PO",'capacity data'!$B:$B,P60),"")</f>
        <v/>
      </c>
      <c r="W60" s="400" t="str">
        <f>IFERROR(SUM((SUMIFS('capacity data'!$G:$G,'capacity data'!$B:$B,P60))-SUMIFS('capacity data'!$H:$H,'capacity data'!$B:$B,P60))/SUMIFS('capacity data'!$G:$G,'capacity data'!$B:$B,P60),"")</f>
        <v/>
      </c>
    </row>
    <row r="61" spans="15:23" ht="16" x14ac:dyDescent="0.2">
      <c r="O61" s="23" t="s">
        <v>21</v>
      </c>
      <c r="P61" t="s">
        <v>374</v>
      </c>
      <c r="Q61" s="222" t="str">
        <f>IFERROR(SUM((SUMIFS('capacity data'!$G:$G,'capacity data'!$E:$E,"PO",'capacity data'!$B:$B,P61))-SUMIFS('capacity data'!$H:$H,'capacity data'!$E:$E,"PO",'capacity data'!$B:$B,P61))/SUMIFS('capacity data'!$G:$G,'capacity data'!$E:$E,"PO",'capacity data'!$B:$B,P61),"")</f>
        <v/>
      </c>
      <c r="R61" s="222" t="str">
        <f>IFERROR(SUM((SUMIFS('capacity data'!$G:$G,'capacity data'!$E:$E,"PSO",'capacity data'!$B:$B,P61))-SUMIFS('capacity data'!$H:$H,'capacity data'!$E:$E,"PSO",'capacity data'!$B:$B,P61))/SUMIFS('capacity data'!$G:$G,'capacity data'!$E:$E,"PSO",'capacity data'!$B:$B,P61),"")</f>
        <v/>
      </c>
      <c r="S61" s="22" t="str">
        <f t="shared" si="0"/>
        <v/>
      </c>
      <c r="T61" s="223" t="str">
        <f>IFERROR(SUMIFS('capacity data'!$L:$L,'capacity data'!$B:$B,P61,'capacity data'!$E:$E,"PSO")/SUMIFS('capacity data'!$G:$G,'capacity data'!$E:$E,"PSO",'capacity data'!$B:$B,P61),"")</f>
        <v/>
      </c>
      <c r="U61" s="223" t="str">
        <f>IFERROR(SUMIFS('capacity data'!$L:$L,'capacity data'!$B:$B,P61,'capacity data'!$E:$E,"TPO")/SUMIFS('capacity data'!$G:$G,'capacity data'!$E:$E,"TPO",'capacity data'!$B:$B,P61),"")</f>
        <v/>
      </c>
      <c r="V61" s="400" t="str">
        <f>IFERROR(SUMIFS('capacity data'!$L:$L,'capacity data'!$B:$B,P61,'capacity data'!$E:$E,"PO")/SUMIFS('capacity data'!$G:$G,'capacity data'!$E:$E,"PO",'capacity data'!$B:$B,P61),"")</f>
        <v/>
      </c>
      <c r="W61" s="400" t="str">
        <f>IFERROR(SUM((SUMIFS('capacity data'!$G:$G,'capacity data'!$B:$B,P61))-SUMIFS('capacity data'!$H:$H,'capacity data'!$B:$B,P61))/SUMIFS('capacity data'!$G:$G,'capacity data'!$B:$B,P61),"")</f>
        <v/>
      </c>
    </row>
    <row r="62" spans="15:23" ht="16" x14ac:dyDescent="0.2">
      <c r="O62" s="23" t="s">
        <v>21</v>
      </c>
      <c r="P62" t="s">
        <v>383</v>
      </c>
      <c r="Q62" s="222" t="str">
        <f>IFERROR(SUM((SUMIFS('capacity data'!$G:$G,'capacity data'!$E:$E,"PO",'capacity data'!$B:$B,P62))-SUMIFS('capacity data'!$H:$H,'capacity data'!$E:$E,"PO",'capacity data'!$B:$B,P62))/SUMIFS('capacity data'!$G:$G,'capacity data'!$E:$E,"PO",'capacity data'!$B:$B,P62),"")</f>
        <v/>
      </c>
      <c r="R62" s="222" t="str">
        <f>IFERROR(SUM((SUMIFS('capacity data'!$G:$G,'capacity data'!$E:$E,"PSO",'capacity data'!$B:$B,P62))-SUMIFS('capacity data'!$H:$H,'capacity data'!$E:$E,"PSO",'capacity data'!$B:$B,P62))/SUMIFS('capacity data'!$G:$G,'capacity data'!$E:$E,"PSO",'capacity data'!$B:$B,P62),"")</f>
        <v/>
      </c>
      <c r="S62" s="22" t="str">
        <f t="shared" si="0"/>
        <v/>
      </c>
      <c r="T62" s="223" t="str">
        <f>IFERROR(SUMIFS('capacity data'!$L:$L,'capacity data'!$B:$B,P62,'capacity data'!$E:$E,"PSO")/SUMIFS('capacity data'!$G:$G,'capacity data'!$E:$E,"PSO",'capacity data'!$B:$B,P62),"")</f>
        <v/>
      </c>
      <c r="U62" s="223" t="str">
        <f>IFERROR(SUMIFS('capacity data'!$L:$L,'capacity data'!$B:$B,P62,'capacity data'!$E:$E,"TPO")/SUMIFS('capacity data'!$G:$G,'capacity data'!$E:$E,"TPO",'capacity data'!$B:$B,P62),"")</f>
        <v/>
      </c>
      <c r="V62" s="400" t="str">
        <f>IFERROR(SUMIFS('capacity data'!$L:$L,'capacity data'!$B:$B,P62,'capacity data'!$E:$E,"PO")/SUMIFS('capacity data'!$G:$G,'capacity data'!$E:$E,"PO",'capacity data'!$B:$B,P62),"")</f>
        <v/>
      </c>
      <c r="W62" s="400" t="str">
        <f>IFERROR(SUM((SUMIFS('capacity data'!$G:$G,'capacity data'!$B:$B,P62))-SUMIFS('capacity data'!$H:$H,'capacity data'!$B:$B,P62))/SUMIFS('capacity data'!$G:$G,'capacity data'!$B:$B,P62),"")</f>
        <v/>
      </c>
    </row>
    <row r="63" spans="15:23" ht="16" x14ac:dyDescent="0.2">
      <c r="O63" s="23" t="s">
        <v>22</v>
      </c>
      <c r="P63" t="s">
        <v>34</v>
      </c>
      <c r="Q63" s="222" t="str">
        <f>IFERROR(SUM((SUMIFS('capacity data'!$G:$G,'capacity data'!$E:$E,"PO",'capacity data'!$B:$B,P63))-SUMIFS('capacity data'!$H:$H,'capacity data'!$E:$E,"PO",'capacity data'!$B:$B,P63))/SUMIFS('capacity data'!$G:$G,'capacity data'!$E:$E,"PO",'capacity data'!$B:$B,P63),"")</f>
        <v/>
      </c>
      <c r="R63" s="222" t="str">
        <f>IFERROR(SUM((SUMIFS('capacity data'!$G:$G,'capacity data'!$E:$E,"PSO",'capacity data'!$B:$B,P63))-SUMIFS('capacity data'!$H:$H,'capacity data'!$E:$E,"PSO",'capacity data'!$B:$B,P63))/SUMIFS('capacity data'!$G:$G,'capacity data'!$E:$E,"PSO",'capacity data'!$B:$B,P63),"")</f>
        <v/>
      </c>
      <c r="S63" s="22" t="str">
        <f t="shared" si="0"/>
        <v/>
      </c>
      <c r="T63" s="223" t="str">
        <f>IFERROR(SUMIFS('capacity data'!$L:$L,'capacity data'!$B:$B,P63,'capacity data'!$E:$E,"PSO")/SUMIFS('capacity data'!$G:$G,'capacity data'!$E:$E,"PSO",'capacity data'!$B:$B,P63),"")</f>
        <v/>
      </c>
      <c r="U63" s="223" t="str">
        <f>IFERROR(SUMIFS('capacity data'!$L:$L,'capacity data'!$B:$B,P63,'capacity data'!$E:$E,"TPO")/SUMIFS('capacity data'!$G:$G,'capacity data'!$E:$E,"TPO",'capacity data'!$B:$B,P63),"")</f>
        <v/>
      </c>
      <c r="V63" s="400" t="str">
        <f>IFERROR(SUMIFS('capacity data'!$L:$L,'capacity data'!$B:$B,P63,'capacity data'!$E:$E,"PO")/SUMIFS('capacity data'!$G:$G,'capacity data'!$E:$E,"PO",'capacity data'!$B:$B,P63),"")</f>
        <v/>
      </c>
      <c r="W63" s="400" t="str">
        <f>IFERROR(SUM((SUMIFS('capacity data'!$G:$G,'capacity data'!$B:$B,P63))-SUMIFS('capacity data'!$H:$H,'capacity data'!$B:$B,P63))/SUMIFS('capacity data'!$G:$G,'capacity data'!$B:$B,P63),"")</f>
        <v/>
      </c>
    </row>
    <row r="64" spans="15:23" ht="16" x14ac:dyDescent="0.2">
      <c r="O64" s="23" t="s">
        <v>22</v>
      </c>
      <c r="P64" t="s">
        <v>56</v>
      </c>
      <c r="Q64" s="222" t="str">
        <f>IFERROR(SUM((SUMIFS('capacity data'!$G:$G,'capacity data'!$E:$E,"PO",'capacity data'!$B:$B,P64))-SUMIFS('capacity data'!$H:$H,'capacity data'!$E:$E,"PO",'capacity data'!$B:$B,P64))/SUMIFS('capacity data'!$G:$G,'capacity data'!$E:$E,"PO",'capacity data'!$B:$B,P64),"")</f>
        <v/>
      </c>
      <c r="R64" s="222" t="str">
        <f>IFERROR(SUM((SUMIFS('capacity data'!$G:$G,'capacity data'!$E:$E,"PSO",'capacity data'!$B:$B,P64))-SUMIFS('capacity data'!$H:$H,'capacity data'!$E:$E,"PSO",'capacity data'!$B:$B,P64))/SUMIFS('capacity data'!$G:$G,'capacity data'!$E:$E,"PSO",'capacity data'!$B:$B,P64),"")</f>
        <v/>
      </c>
      <c r="S64" s="22" t="str">
        <f t="shared" si="0"/>
        <v/>
      </c>
      <c r="T64" s="223" t="str">
        <f>IFERROR(SUMIFS('capacity data'!$L:$L,'capacity data'!$B:$B,P64,'capacity data'!$E:$E,"PSO")/SUMIFS('capacity data'!$G:$G,'capacity data'!$E:$E,"PSO",'capacity data'!$B:$B,P64),"")</f>
        <v/>
      </c>
      <c r="U64" s="223" t="str">
        <f>IFERROR(SUMIFS('capacity data'!$L:$L,'capacity data'!$B:$B,P64,'capacity data'!$E:$E,"TPO")/SUMIFS('capacity data'!$G:$G,'capacity data'!$E:$E,"TPO",'capacity data'!$B:$B,P64),"")</f>
        <v/>
      </c>
      <c r="V64" s="400" t="str">
        <f>IFERROR(SUMIFS('capacity data'!$L:$L,'capacity data'!$B:$B,P64,'capacity data'!$E:$E,"PO")/SUMIFS('capacity data'!$G:$G,'capacity data'!$E:$E,"PO",'capacity data'!$B:$B,P64),"")</f>
        <v/>
      </c>
      <c r="W64" s="400" t="str">
        <f>IFERROR(SUM((SUMIFS('capacity data'!$G:$G,'capacity data'!$B:$B,P64))-SUMIFS('capacity data'!$H:$H,'capacity data'!$B:$B,P64))/SUMIFS('capacity data'!$G:$G,'capacity data'!$B:$B,P64),"")</f>
        <v/>
      </c>
    </row>
    <row r="65" spans="15:23" ht="16" x14ac:dyDescent="0.2">
      <c r="O65" s="23" t="s">
        <v>22</v>
      </c>
      <c r="P65" t="s">
        <v>77</v>
      </c>
      <c r="Q65" s="222" t="str">
        <f>IFERROR(SUM((SUMIFS('capacity data'!$G:$G,'capacity data'!$E:$E,"PO",'capacity data'!$B:$B,P65))-SUMIFS('capacity data'!$H:$H,'capacity data'!$E:$E,"PO",'capacity data'!$B:$B,P65))/SUMIFS('capacity data'!$G:$G,'capacity data'!$E:$E,"PO",'capacity data'!$B:$B,P65),"")</f>
        <v/>
      </c>
      <c r="R65" s="222" t="str">
        <f>IFERROR(SUM((SUMIFS('capacity data'!$G:$G,'capacity data'!$E:$E,"PSO",'capacity data'!$B:$B,P65))-SUMIFS('capacity data'!$H:$H,'capacity data'!$E:$E,"PSO",'capacity data'!$B:$B,P65))/SUMIFS('capacity data'!$G:$G,'capacity data'!$E:$E,"PSO",'capacity data'!$B:$B,P65),"")</f>
        <v/>
      </c>
      <c r="S65" s="22" t="str">
        <f t="shared" si="0"/>
        <v/>
      </c>
      <c r="T65" s="223" t="str">
        <f>IFERROR(SUMIFS('capacity data'!$L:$L,'capacity data'!$B:$B,P65,'capacity data'!$E:$E,"PSO")/SUMIFS('capacity data'!$G:$G,'capacity data'!$E:$E,"PSO",'capacity data'!$B:$B,P65),"")</f>
        <v/>
      </c>
      <c r="U65" s="223" t="str">
        <f>IFERROR(SUMIFS('capacity data'!$L:$L,'capacity data'!$B:$B,P65,'capacity data'!$E:$E,"TPO")/SUMIFS('capacity data'!$G:$G,'capacity data'!$E:$E,"TPO",'capacity data'!$B:$B,P65),"")</f>
        <v/>
      </c>
      <c r="V65" s="400" t="str">
        <f>IFERROR(SUMIFS('capacity data'!$L:$L,'capacity data'!$B:$B,P65,'capacity data'!$E:$E,"PO")/SUMIFS('capacity data'!$G:$G,'capacity data'!$E:$E,"PO",'capacity data'!$B:$B,P65),"")</f>
        <v/>
      </c>
      <c r="W65" s="400" t="str">
        <f>IFERROR(SUM((SUMIFS('capacity data'!$G:$G,'capacity data'!$B:$B,P65))-SUMIFS('capacity data'!$H:$H,'capacity data'!$B:$B,P65))/SUMIFS('capacity data'!$G:$G,'capacity data'!$B:$B,P65),"")</f>
        <v/>
      </c>
    </row>
    <row r="66" spans="15:23" ht="16" x14ac:dyDescent="0.2">
      <c r="O66" s="23" t="s">
        <v>22</v>
      </c>
      <c r="P66" t="s">
        <v>98</v>
      </c>
      <c r="Q66" s="222" t="str">
        <f>IFERROR(SUM((SUMIFS('capacity data'!$G:$G,'capacity data'!$E:$E,"PO",'capacity data'!$B:$B,P66))-SUMIFS('capacity data'!$H:$H,'capacity data'!$E:$E,"PO",'capacity data'!$B:$B,P66))/SUMIFS('capacity data'!$G:$G,'capacity data'!$E:$E,"PO",'capacity data'!$B:$B,P66),"")</f>
        <v/>
      </c>
      <c r="R66" s="222" t="str">
        <f>IFERROR(SUM((SUMIFS('capacity data'!$G:$G,'capacity data'!$E:$E,"PSO",'capacity data'!$B:$B,P66))-SUMIFS('capacity data'!$H:$H,'capacity data'!$E:$E,"PSO",'capacity data'!$B:$B,P66))/SUMIFS('capacity data'!$G:$G,'capacity data'!$E:$E,"PSO",'capacity data'!$B:$B,P66),"")</f>
        <v/>
      </c>
      <c r="S66" s="22" t="str">
        <f t="shared" si="0"/>
        <v/>
      </c>
      <c r="T66" s="223" t="str">
        <f>IFERROR(SUMIFS('capacity data'!$L:$L,'capacity data'!$B:$B,P66,'capacity data'!$E:$E,"PSO")/SUMIFS('capacity data'!$G:$G,'capacity data'!$E:$E,"PSO",'capacity data'!$B:$B,P66),"")</f>
        <v/>
      </c>
      <c r="U66" s="223" t="str">
        <f>IFERROR(SUMIFS('capacity data'!$L:$L,'capacity data'!$B:$B,P66,'capacity data'!$E:$E,"TPO")/SUMIFS('capacity data'!$G:$G,'capacity data'!$E:$E,"TPO",'capacity data'!$B:$B,P66),"")</f>
        <v/>
      </c>
      <c r="V66" s="400" t="str">
        <f>IFERROR(SUMIFS('capacity data'!$L:$L,'capacity data'!$B:$B,P66,'capacity data'!$E:$E,"PO")/SUMIFS('capacity data'!$G:$G,'capacity data'!$E:$E,"PO",'capacity data'!$B:$B,P66),"")</f>
        <v/>
      </c>
      <c r="W66" s="400" t="str">
        <f>IFERROR(SUM((SUMIFS('capacity data'!$G:$G,'capacity data'!$B:$B,P66))-SUMIFS('capacity data'!$H:$H,'capacity data'!$B:$B,P66))/SUMIFS('capacity data'!$G:$G,'capacity data'!$B:$B,P66),"")</f>
        <v/>
      </c>
    </row>
    <row r="67" spans="15:23" ht="16" x14ac:dyDescent="0.2">
      <c r="O67" s="23" t="s">
        <v>22</v>
      </c>
      <c r="P67" t="s">
        <v>120</v>
      </c>
      <c r="Q67" s="222" t="str">
        <f>IFERROR(SUM((SUMIFS('capacity data'!$G:$G,'capacity data'!$E:$E,"PO",'capacity data'!$B:$B,P67))-SUMIFS('capacity data'!$H:$H,'capacity data'!$E:$E,"PO",'capacity data'!$B:$B,P67))/SUMIFS('capacity data'!$G:$G,'capacity data'!$E:$E,"PO",'capacity data'!$B:$B,P67),"")</f>
        <v/>
      </c>
      <c r="R67" s="222" t="str">
        <f>IFERROR(SUM((SUMIFS('capacity data'!$G:$G,'capacity data'!$E:$E,"PSO",'capacity data'!$B:$B,P67))-SUMIFS('capacity data'!$H:$H,'capacity data'!$E:$E,"PSO",'capacity data'!$B:$B,P67))/SUMIFS('capacity data'!$G:$G,'capacity data'!$E:$E,"PSO",'capacity data'!$B:$B,P67),"")</f>
        <v/>
      </c>
      <c r="S67" s="22" t="str">
        <f t="shared" ref="S67:S130" si="1">IFERROR((Q67-R67),"")</f>
        <v/>
      </c>
      <c r="T67" s="223" t="str">
        <f>IFERROR(SUMIFS('capacity data'!$L:$L,'capacity data'!$B:$B,P67,'capacity data'!$E:$E,"PSO")/SUMIFS('capacity data'!$G:$G,'capacity data'!$E:$E,"PSO",'capacity data'!$B:$B,P67),"")</f>
        <v/>
      </c>
      <c r="U67" s="223" t="str">
        <f>IFERROR(SUMIFS('capacity data'!$L:$L,'capacity data'!$B:$B,P67,'capacity data'!$E:$E,"TPO")/SUMIFS('capacity data'!$G:$G,'capacity data'!$E:$E,"TPO",'capacity data'!$B:$B,P67),"")</f>
        <v/>
      </c>
      <c r="V67" s="400" t="str">
        <f>IFERROR(SUMIFS('capacity data'!$L:$L,'capacity data'!$B:$B,P67,'capacity data'!$E:$E,"PO")/SUMIFS('capacity data'!$G:$G,'capacity data'!$E:$E,"PO",'capacity data'!$B:$B,P67),"")</f>
        <v/>
      </c>
      <c r="W67" s="400" t="str">
        <f>IFERROR(SUM((SUMIFS('capacity data'!$G:$G,'capacity data'!$B:$B,P67))-SUMIFS('capacity data'!$H:$H,'capacity data'!$B:$B,P67))/SUMIFS('capacity data'!$G:$G,'capacity data'!$B:$B,P67),"")</f>
        <v/>
      </c>
    </row>
    <row r="68" spans="15:23" ht="16" x14ac:dyDescent="0.2">
      <c r="O68" s="23" t="s">
        <v>22</v>
      </c>
      <c r="P68" t="s">
        <v>141</v>
      </c>
      <c r="Q68" s="222" t="str">
        <f>IFERROR(SUM((SUMIFS('capacity data'!$G:$G,'capacity data'!$E:$E,"PO",'capacity data'!$B:$B,P68))-SUMIFS('capacity data'!$H:$H,'capacity data'!$E:$E,"PO",'capacity data'!$B:$B,P68))/SUMIFS('capacity data'!$G:$G,'capacity data'!$E:$E,"PO",'capacity data'!$B:$B,P68),"")</f>
        <v/>
      </c>
      <c r="R68" s="222" t="str">
        <f>IFERROR(SUM((SUMIFS('capacity data'!$G:$G,'capacity data'!$E:$E,"PSO",'capacity data'!$B:$B,P68))-SUMIFS('capacity data'!$H:$H,'capacity data'!$E:$E,"PSO",'capacity data'!$B:$B,P68))/SUMIFS('capacity data'!$G:$G,'capacity data'!$E:$E,"PSO",'capacity data'!$B:$B,P68),"")</f>
        <v/>
      </c>
      <c r="S68" s="22" t="str">
        <f t="shared" si="1"/>
        <v/>
      </c>
      <c r="T68" s="223" t="str">
        <f>IFERROR(SUMIFS('capacity data'!$L:$L,'capacity data'!$B:$B,P68,'capacity data'!$E:$E,"PSO")/SUMIFS('capacity data'!$G:$G,'capacity data'!$E:$E,"PSO",'capacity data'!$B:$B,P68),"")</f>
        <v/>
      </c>
      <c r="U68" s="223" t="str">
        <f>IFERROR(SUMIFS('capacity data'!$L:$L,'capacity data'!$B:$B,P68,'capacity data'!$E:$E,"TPO")/SUMIFS('capacity data'!$G:$G,'capacity data'!$E:$E,"TPO",'capacity data'!$B:$B,P68),"")</f>
        <v/>
      </c>
      <c r="V68" s="400" t="str">
        <f>IFERROR(SUMIFS('capacity data'!$L:$L,'capacity data'!$B:$B,P68,'capacity data'!$E:$E,"PO")/SUMIFS('capacity data'!$G:$G,'capacity data'!$E:$E,"PO",'capacity data'!$B:$B,P68),"")</f>
        <v/>
      </c>
      <c r="W68" s="400" t="str">
        <f>IFERROR(SUM((SUMIFS('capacity data'!$G:$G,'capacity data'!$B:$B,P68))-SUMIFS('capacity data'!$H:$H,'capacity data'!$B:$B,P68))/SUMIFS('capacity data'!$G:$G,'capacity data'!$B:$B,P68),"")</f>
        <v/>
      </c>
    </row>
    <row r="69" spans="15:23" ht="16" x14ac:dyDescent="0.2">
      <c r="O69" s="23" t="s">
        <v>22</v>
      </c>
      <c r="P69" t="s">
        <v>162</v>
      </c>
      <c r="Q69" s="222" t="str">
        <f>IFERROR(SUM((SUMIFS('capacity data'!$G:$G,'capacity data'!$E:$E,"PO",'capacity data'!$B:$B,P69))-SUMIFS('capacity data'!$H:$H,'capacity data'!$E:$E,"PO",'capacity data'!$B:$B,P69))/SUMIFS('capacity data'!$G:$G,'capacity data'!$E:$E,"PO",'capacity data'!$B:$B,P69),"")</f>
        <v/>
      </c>
      <c r="R69" s="222" t="str">
        <f>IFERROR(SUM((SUMIFS('capacity data'!$G:$G,'capacity data'!$E:$E,"PSO",'capacity data'!$B:$B,P69))-SUMIFS('capacity data'!$H:$H,'capacity data'!$E:$E,"PSO",'capacity data'!$B:$B,P69))/SUMIFS('capacity data'!$G:$G,'capacity data'!$E:$E,"PSO",'capacity data'!$B:$B,P69),"")</f>
        <v/>
      </c>
      <c r="S69" s="22" t="str">
        <f t="shared" si="1"/>
        <v/>
      </c>
      <c r="T69" s="223" t="str">
        <f>IFERROR(SUMIFS('capacity data'!$L:$L,'capacity data'!$B:$B,P69,'capacity data'!$E:$E,"PSO")/SUMIFS('capacity data'!$G:$G,'capacity data'!$E:$E,"PSO",'capacity data'!$B:$B,P69),"")</f>
        <v/>
      </c>
      <c r="U69" s="223" t="str">
        <f>IFERROR(SUMIFS('capacity data'!$L:$L,'capacity data'!$B:$B,P69,'capacity data'!$E:$E,"TPO")/SUMIFS('capacity data'!$G:$G,'capacity data'!$E:$E,"TPO",'capacity data'!$B:$B,P69),"")</f>
        <v/>
      </c>
      <c r="V69" s="400" t="str">
        <f>IFERROR(SUMIFS('capacity data'!$L:$L,'capacity data'!$B:$B,P69,'capacity data'!$E:$E,"PO")/SUMIFS('capacity data'!$G:$G,'capacity data'!$E:$E,"PO",'capacity data'!$B:$B,P69),"")</f>
        <v/>
      </c>
      <c r="W69" s="400" t="str">
        <f>IFERROR(SUM((SUMIFS('capacity data'!$G:$G,'capacity data'!$B:$B,P69))-SUMIFS('capacity data'!$H:$H,'capacity data'!$B:$B,P69))/SUMIFS('capacity data'!$G:$G,'capacity data'!$B:$B,P69),"")</f>
        <v/>
      </c>
    </row>
    <row r="70" spans="15:23" ht="16" x14ac:dyDescent="0.2">
      <c r="O70" s="23" t="s">
        <v>22</v>
      </c>
      <c r="P70" t="s">
        <v>181</v>
      </c>
      <c r="Q70" s="222" t="str">
        <f>IFERROR(SUM((SUMIFS('capacity data'!$G:$G,'capacity data'!$E:$E,"PO",'capacity data'!$B:$B,P70))-SUMIFS('capacity data'!$H:$H,'capacity data'!$E:$E,"PO",'capacity data'!$B:$B,P70))/SUMIFS('capacity data'!$G:$G,'capacity data'!$E:$E,"PO",'capacity data'!$B:$B,P70),"")</f>
        <v/>
      </c>
      <c r="R70" s="222" t="str">
        <f>IFERROR(SUM((SUMIFS('capacity data'!$G:$G,'capacity data'!$E:$E,"PSO",'capacity data'!$B:$B,P70))-SUMIFS('capacity data'!$H:$H,'capacity data'!$E:$E,"PSO",'capacity data'!$B:$B,P70))/SUMIFS('capacity data'!$G:$G,'capacity data'!$E:$E,"PSO",'capacity data'!$B:$B,P70),"")</f>
        <v/>
      </c>
      <c r="S70" s="22" t="str">
        <f t="shared" si="1"/>
        <v/>
      </c>
      <c r="T70" s="223" t="str">
        <f>IFERROR(SUMIFS('capacity data'!$L:$L,'capacity data'!$B:$B,P70,'capacity data'!$E:$E,"PSO")/SUMIFS('capacity data'!$G:$G,'capacity data'!$E:$E,"PSO",'capacity data'!$B:$B,P70),"")</f>
        <v/>
      </c>
      <c r="U70" s="223" t="str">
        <f>IFERROR(SUMIFS('capacity data'!$L:$L,'capacity data'!$B:$B,P70,'capacity data'!$E:$E,"TPO")/SUMIFS('capacity data'!$G:$G,'capacity data'!$E:$E,"TPO",'capacity data'!$B:$B,P70),"")</f>
        <v/>
      </c>
      <c r="V70" s="400" t="str">
        <f>IFERROR(SUMIFS('capacity data'!$L:$L,'capacity data'!$B:$B,P70,'capacity data'!$E:$E,"PO")/SUMIFS('capacity data'!$G:$G,'capacity data'!$E:$E,"PO",'capacity data'!$B:$B,P70),"")</f>
        <v/>
      </c>
      <c r="W70" s="400" t="str">
        <f>IFERROR(SUM((SUMIFS('capacity data'!$G:$G,'capacity data'!$B:$B,P70))-SUMIFS('capacity data'!$H:$H,'capacity data'!$B:$B,P70))/SUMIFS('capacity data'!$G:$G,'capacity data'!$B:$B,P70),"")</f>
        <v/>
      </c>
    </row>
    <row r="71" spans="15:23" ht="16" x14ac:dyDescent="0.2">
      <c r="O71" s="23" t="s">
        <v>22</v>
      </c>
      <c r="P71" t="s">
        <v>200</v>
      </c>
      <c r="Q71" s="222" t="str">
        <f>IFERROR(SUM((SUMIFS('capacity data'!$G:$G,'capacity data'!$E:$E,"PO",'capacity data'!$B:$B,P71))-SUMIFS('capacity data'!$H:$H,'capacity data'!$E:$E,"PO",'capacity data'!$B:$B,P71))/SUMIFS('capacity data'!$G:$G,'capacity data'!$E:$E,"PO",'capacity data'!$B:$B,P71),"")</f>
        <v/>
      </c>
      <c r="R71" s="222" t="str">
        <f>IFERROR(SUM((SUMIFS('capacity data'!$G:$G,'capacity data'!$E:$E,"PSO",'capacity data'!$B:$B,P71))-SUMIFS('capacity data'!$H:$H,'capacity data'!$E:$E,"PSO",'capacity data'!$B:$B,P71))/SUMIFS('capacity data'!$G:$G,'capacity data'!$E:$E,"PSO",'capacity data'!$B:$B,P71),"")</f>
        <v/>
      </c>
      <c r="S71" s="22" t="str">
        <f t="shared" si="1"/>
        <v/>
      </c>
      <c r="T71" s="223" t="str">
        <f>IFERROR(SUMIFS('capacity data'!$L:$L,'capacity data'!$B:$B,P71,'capacity data'!$E:$E,"PSO")/SUMIFS('capacity data'!$G:$G,'capacity data'!$E:$E,"PSO",'capacity data'!$B:$B,P71),"")</f>
        <v/>
      </c>
      <c r="U71" s="223" t="str">
        <f>IFERROR(SUMIFS('capacity data'!$L:$L,'capacity data'!$B:$B,P71,'capacity data'!$E:$E,"TPO")/SUMIFS('capacity data'!$G:$G,'capacity data'!$E:$E,"TPO",'capacity data'!$B:$B,P71),"")</f>
        <v/>
      </c>
      <c r="V71" s="400" t="str">
        <f>IFERROR(SUMIFS('capacity data'!$L:$L,'capacity data'!$B:$B,P71,'capacity data'!$E:$E,"PO")/SUMIFS('capacity data'!$G:$G,'capacity data'!$E:$E,"PO",'capacity data'!$B:$B,P71),"")</f>
        <v/>
      </c>
      <c r="W71" s="400" t="str">
        <f>IFERROR(SUM((SUMIFS('capacity data'!$G:$G,'capacity data'!$B:$B,P71))-SUMIFS('capacity data'!$H:$H,'capacity data'!$B:$B,P71))/SUMIFS('capacity data'!$G:$G,'capacity data'!$B:$B,P71),"")</f>
        <v/>
      </c>
    </row>
    <row r="72" spans="15:23" ht="16" x14ac:dyDescent="0.2">
      <c r="O72" s="23" t="s">
        <v>22</v>
      </c>
      <c r="P72" t="s">
        <v>218</v>
      </c>
      <c r="Q72" s="222" t="str">
        <f>IFERROR(SUM((SUMIFS('capacity data'!$G:$G,'capacity data'!$E:$E,"PO",'capacity data'!$B:$B,P72))-SUMIFS('capacity data'!$H:$H,'capacity data'!$E:$E,"PO",'capacity data'!$B:$B,P72))/SUMIFS('capacity data'!$G:$G,'capacity data'!$E:$E,"PO",'capacity data'!$B:$B,P72),"")</f>
        <v/>
      </c>
      <c r="R72" s="222" t="str">
        <f>IFERROR(SUM((SUMIFS('capacity data'!$G:$G,'capacity data'!$E:$E,"PSO",'capacity data'!$B:$B,P72))-SUMIFS('capacity data'!$H:$H,'capacity data'!$E:$E,"PSO",'capacity data'!$B:$B,P72))/SUMIFS('capacity data'!$G:$G,'capacity data'!$E:$E,"PSO",'capacity data'!$B:$B,P72),"")</f>
        <v/>
      </c>
      <c r="S72" s="22" t="str">
        <f t="shared" si="1"/>
        <v/>
      </c>
      <c r="T72" s="223" t="str">
        <f>IFERROR(SUMIFS('capacity data'!$L:$L,'capacity data'!$B:$B,P72,'capacity data'!$E:$E,"PSO")/SUMIFS('capacity data'!$G:$G,'capacity data'!$E:$E,"PSO",'capacity data'!$B:$B,P72),"")</f>
        <v/>
      </c>
      <c r="U72" s="223" t="str">
        <f>IFERROR(SUMIFS('capacity data'!$L:$L,'capacity data'!$B:$B,P72,'capacity data'!$E:$E,"TPO")/SUMIFS('capacity data'!$G:$G,'capacity data'!$E:$E,"TPO",'capacity data'!$B:$B,P72),"")</f>
        <v/>
      </c>
      <c r="V72" s="400" t="str">
        <f>IFERROR(SUMIFS('capacity data'!$L:$L,'capacity data'!$B:$B,P72,'capacity data'!$E:$E,"PO")/SUMIFS('capacity data'!$G:$G,'capacity data'!$E:$E,"PO",'capacity data'!$B:$B,P72),"")</f>
        <v/>
      </c>
      <c r="W72" s="400" t="str">
        <f>IFERROR(SUM((SUMIFS('capacity data'!$G:$G,'capacity data'!$B:$B,P72))-SUMIFS('capacity data'!$H:$H,'capacity data'!$B:$B,P72))/SUMIFS('capacity data'!$G:$G,'capacity data'!$B:$B,P72),"")</f>
        <v/>
      </c>
    </row>
    <row r="73" spans="15:23" ht="16" x14ac:dyDescent="0.2">
      <c r="O73" s="23" t="s">
        <v>22</v>
      </c>
      <c r="P73" t="s">
        <v>235</v>
      </c>
      <c r="Q73" s="222" t="str">
        <f>IFERROR(SUM((SUMIFS('capacity data'!$G:$G,'capacity data'!$E:$E,"PO",'capacity data'!$B:$B,P73))-SUMIFS('capacity data'!$H:$H,'capacity data'!$E:$E,"PO",'capacity data'!$B:$B,P73))/SUMIFS('capacity data'!$G:$G,'capacity data'!$E:$E,"PO",'capacity data'!$B:$B,P73),"")</f>
        <v/>
      </c>
      <c r="R73" s="222" t="str">
        <f>IFERROR(SUM((SUMIFS('capacity data'!$G:$G,'capacity data'!$E:$E,"PSO",'capacity data'!$B:$B,P73))-SUMIFS('capacity data'!$H:$H,'capacity data'!$E:$E,"PSO",'capacity data'!$B:$B,P73))/SUMIFS('capacity data'!$G:$G,'capacity data'!$E:$E,"PSO",'capacity data'!$B:$B,P73),"")</f>
        <v/>
      </c>
      <c r="S73" s="22" t="str">
        <f t="shared" si="1"/>
        <v/>
      </c>
      <c r="T73" s="223" t="str">
        <f>IFERROR(SUMIFS('capacity data'!$L:$L,'capacity data'!$B:$B,P73,'capacity data'!$E:$E,"PSO")/SUMIFS('capacity data'!$G:$G,'capacity data'!$E:$E,"PSO",'capacity data'!$B:$B,P73),"")</f>
        <v/>
      </c>
      <c r="U73" s="223" t="str">
        <f>IFERROR(SUMIFS('capacity data'!$L:$L,'capacity data'!$B:$B,P73,'capacity data'!$E:$E,"TPO")/SUMIFS('capacity data'!$G:$G,'capacity data'!$E:$E,"TPO",'capacity data'!$B:$B,P73),"")</f>
        <v/>
      </c>
      <c r="V73" s="400" t="str">
        <f>IFERROR(SUMIFS('capacity data'!$L:$L,'capacity data'!$B:$B,P73,'capacity data'!$E:$E,"PO")/SUMIFS('capacity data'!$G:$G,'capacity data'!$E:$E,"PO",'capacity data'!$B:$B,P73),"")</f>
        <v/>
      </c>
      <c r="W73" s="400" t="str">
        <f>IFERROR(SUM((SUMIFS('capacity data'!$G:$G,'capacity data'!$B:$B,P73))-SUMIFS('capacity data'!$H:$H,'capacity data'!$B:$B,P73))/SUMIFS('capacity data'!$G:$G,'capacity data'!$B:$B,P73),"")</f>
        <v/>
      </c>
    </row>
    <row r="74" spans="15:23" ht="16" x14ac:dyDescent="0.2">
      <c r="O74" s="23" t="s">
        <v>23</v>
      </c>
      <c r="P74" t="s">
        <v>35</v>
      </c>
      <c r="Q74" s="222" t="str">
        <f>IFERROR(SUM((SUMIFS('capacity data'!$G:$G,'capacity data'!$E:$E,"PO",'capacity data'!$B:$B,P74))-SUMIFS('capacity data'!$H:$H,'capacity data'!$E:$E,"PO",'capacity data'!$B:$B,P74))/SUMIFS('capacity data'!$G:$G,'capacity data'!$E:$E,"PO",'capacity data'!$B:$B,P74),"")</f>
        <v/>
      </c>
      <c r="R74" s="222" t="str">
        <f>IFERROR(SUM((SUMIFS('capacity data'!$G:$G,'capacity data'!$E:$E,"PSO",'capacity data'!$B:$B,P74))-SUMIFS('capacity data'!$H:$H,'capacity data'!$E:$E,"PSO",'capacity data'!$B:$B,P74))/SUMIFS('capacity data'!$G:$G,'capacity data'!$E:$E,"PSO",'capacity data'!$B:$B,P74),"")</f>
        <v/>
      </c>
      <c r="S74" s="22" t="str">
        <f t="shared" si="1"/>
        <v/>
      </c>
      <c r="T74" s="223" t="str">
        <f>IFERROR(SUMIFS('capacity data'!$L:$L,'capacity data'!$B:$B,P74,'capacity data'!$E:$E,"PSO")/SUMIFS('capacity data'!$G:$G,'capacity data'!$E:$E,"PSO",'capacity data'!$B:$B,P74),"")</f>
        <v/>
      </c>
      <c r="U74" s="223" t="str">
        <f>IFERROR(SUMIFS('capacity data'!$L:$L,'capacity data'!$B:$B,P74,'capacity data'!$E:$E,"TPO")/SUMIFS('capacity data'!$G:$G,'capacity data'!$E:$E,"TPO",'capacity data'!$B:$B,P74),"")</f>
        <v/>
      </c>
      <c r="V74" s="400" t="str">
        <f>IFERROR(SUMIFS('capacity data'!$L:$L,'capacity data'!$B:$B,P74,'capacity data'!$E:$E,"PO")/SUMIFS('capacity data'!$G:$G,'capacity data'!$E:$E,"PO",'capacity data'!$B:$B,P74),"")</f>
        <v/>
      </c>
      <c r="W74" s="400" t="str">
        <f>IFERROR(SUM((SUMIFS('capacity data'!$G:$G,'capacity data'!$B:$B,P74))-SUMIFS('capacity data'!$H:$H,'capacity data'!$B:$B,P74))/SUMIFS('capacity data'!$G:$G,'capacity data'!$B:$B,P74),"")</f>
        <v/>
      </c>
    </row>
    <row r="75" spans="15:23" ht="16" x14ac:dyDescent="0.2">
      <c r="O75" s="23" t="s">
        <v>23</v>
      </c>
      <c r="P75" t="s">
        <v>57</v>
      </c>
      <c r="Q75" s="222" t="str">
        <f>IFERROR(SUM((SUMIFS('capacity data'!$G:$G,'capacity data'!$E:$E,"PO",'capacity data'!$B:$B,P75))-SUMIFS('capacity data'!$H:$H,'capacity data'!$E:$E,"PO",'capacity data'!$B:$B,P75))/SUMIFS('capacity data'!$G:$G,'capacity data'!$E:$E,"PO",'capacity data'!$B:$B,P75),"")</f>
        <v/>
      </c>
      <c r="R75" s="222" t="str">
        <f>IFERROR(SUM((SUMIFS('capacity data'!$G:$G,'capacity data'!$E:$E,"PSO",'capacity data'!$B:$B,P75))-SUMIFS('capacity data'!$H:$H,'capacity data'!$E:$E,"PSO",'capacity data'!$B:$B,P75))/SUMIFS('capacity data'!$G:$G,'capacity data'!$E:$E,"PSO",'capacity data'!$B:$B,P75),"")</f>
        <v/>
      </c>
      <c r="S75" s="22" t="str">
        <f t="shared" si="1"/>
        <v/>
      </c>
      <c r="T75" s="223" t="str">
        <f>IFERROR(SUMIFS('capacity data'!$L:$L,'capacity data'!$B:$B,P75,'capacity data'!$E:$E,"PSO")/SUMIFS('capacity data'!$G:$G,'capacity data'!$E:$E,"PSO",'capacity data'!$B:$B,P75),"")</f>
        <v/>
      </c>
      <c r="U75" s="223" t="str">
        <f>IFERROR(SUMIFS('capacity data'!$L:$L,'capacity data'!$B:$B,P75,'capacity data'!$E:$E,"TPO")/SUMIFS('capacity data'!$G:$G,'capacity data'!$E:$E,"TPO",'capacity data'!$B:$B,P75),"")</f>
        <v/>
      </c>
      <c r="V75" s="400" t="str">
        <f>IFERROR(SUMIFS('capacity data'!$L:$L,'capacity data'!$B:$B,P75,'capacity data'!$E:$E,"PO")/SUMIFS('capacity data'!$G:$G,'capacity data'!$E:$E,"PO",'capacity data'!$B:$B,P75),"")</f>
        <v/>
      </c>
      <c r="W75" s="400" t="str">
        <f>IFERROR(SUM((SUMIFS('capacity data'!$G:$G,'capacity data'!$B:$B,P75))-SUMIFS('capacity data'!$H:$H,'capacity data'!$B:$B,P75))/SUMIFS('capacity data'!$G:$G,'capacity data'!$B:$B,P75),"")</f>
        <v/>
      </c>
    </row>
    <row r="76" spans="15:23" ht="16" x14ac:dyDescent="0.2">
      <c r="O76" s="23" t="s">
        <v>23</v>
      </c>
      <c r="P76" t="s">
        <v>78</v>
      </c>
      <c r="Q76" s="222" t="str">
        <f>IFERROR(SUM((SUMIFS('capacity data'!$G:$G,'capacity data'!$E:$E,"PO",'capacity data'!$B:$B,P76))-SUMIFS('capacity data'!$H:$H,'capacity data'!$E:$E,"PO",'capacity data'!$B:$B,P76))/SUMIFS('capacity data'!$G:$G,'capacity data'!$E:$E,"PO",'capacity data'!$B:$B,P76),"")</f>
        <v/>
      </c>
      <c r="R76" s="222" t="str">
        <f>IFERROR(SUM((SUMIFS('capacity data'!$G:$G,'capacity data'!$E:$E,"PSO",'capacity data'!$B:$B,P76))-SUMIFS('capacity data'!$H:$H,'capacity data'!$E:$E,"PSO",'capacity data'!$B:$B,P76))/SUMIFS('capacity data'!$G:$G,'capacity data'!$E:$E,"PSO",'capacity data'!$B:$B,P76),"")</f>
        <v/>
      </c>
      <c r="S76" s="22" t="str">
        <f t="shared" si="1"/>
        <v/>
      </c>
      <c r="T76" s="223" t="str">
        <f>IFERROR(SUMIFS('capacity data'!$L:$L,'capacity data'!$B:$B,P76,'capacity data'!$E:$E,"PSO")/SUMIFS('capacity data'!$G:$G,'capacity data'!$E:$E,"PSO",'capacity data'!$B:$B,P76),"")</f>
        <v/>
      </c>
      <c r="U76" s="223" t="str">
        <f>IFERROR(SUMIFS('capacity data'!$L:$L,'capacity data'!$B:$B,P76,'capacity data'!$E:$E,"TPO")/SUMIFS('capacity data'!$G:$G,'capacity data'!$E:$E,"TPO",'capacity data'!$B:$B,P76),"")</f>
        <v/>
      </c>
      <c r="V76" s="400" t="str">
        <f>IFERROR(SUMIFS('capacity data'!$L:$L,'capacity data'!$B:$B,P76,'capacity data'!$E:$E,"PO")/SUMIFS('capacity data'!$G:$G,'capacity data'!$E:$E,"PO",'capacity data'!$B:$B,P76),"")</f>
        <v/>
      </c>
      <c r="W76" s="400" t="str">
        <f>IFERROR(SUM((SUMIFS('capacity data'!$G:$G,'capacity data'!$B:$B,P76))-SUMIFS('capacity data'!$H:$H,'capacity data'!$B:$B,P76))/SUMIFS('capacity data'!$G:$G,'capacity data'!$B:$B,P76),"")</f>
        <v/>
      </c>
    </row>
    <row r="77" spans="15:23" ht="16" x14ac:dyDescent="0.2">
      <c r="O77" s="23" t="s">
        <v>23</v>
      </c>
      <c r="P77" t="s">
        <v>99</v>
      </c>
      <c r="Q77" s="222" t="str">
        <f>IFERROR(SUM((SUMIFS('capacity data'!$G:$G,'capacity data'!$E:$E,"PO",'capacity data'!$B:$B,P77))-SUMIFS('capacity data'!$H:$H,'capacity data'!$E:$E,"PO",'capacity data'!$B:$B,P77))/SUMIFS('capacity data'!$G:$G,'capacity data'!$E:$E,"PO",'capacity data'!$B:$B,P77),"")</f>
        <v/>
      </c>
      <c r="R77" s="222" t="str">
        <f>IFERROR(SUM((SUMIFS('capacity data'!$G:$G,'capacity data'!$E:$E,"PSO",'capacity data'!$B:$B,P77))-SUMIFS('capacity data'!$H:$H,'capacity data'!$E:$E,"PSO",'capacity data'!$B:$B,P77))/SUMIFS('capacity data'!$G:$G,'capacity data'!$E:$E,"PSO",'capacity data'!$B:$B,P77),"")</f>
        <v/>
      </c>
      <c r="S77" s="22" t="str">
        <f t="shared" si="1"/>
        <v/>
      </c>
      <c r="T77" s="223" t="str">
        <f>IFERROR(SUMIFS('capacity data'!$L:$L,'capacity data'!$B:$B,P77,'capacity data'!$E:$E,"PSO")/SUMIFS('capacity data'!$G:$G,'capacity data'!$E:$E,"PSO",'capacity data'!$B:$B,P77),"")</f>
        <v/>
      </c>
      <c r="U77" s="223" t="str">
        <f>IFERROR(SUMIFS('capacity data'!$L:$L,'capacity data'!$B:$B,P77,'capacity data'!$E:$E,"TPO")/SUMIFS('capacity data'!$G:$G,'capacity data'!$E:$E,"TPO",'capacity data'!$B:$B,P77),"")</f>
        <v/>
      </c>
      <c r="V77" s="400" t="str">
        <f>IFERROR(SUMIFS('capacity data'!$L:$L,'capacity data'!$B:$B,P77,'capacity data'!$E:$E,"PO")/SUMIFS('capacity data'!$G:$G,'capacity data'!$E:$E,"PO",'capacity data'!$B:$B,P77),"")</f>
        <v/>
      </c>
      <c r="W77" s="400" t="str">
        <f>IFERROR(SUM((SUMIFS('capacity data'!$G:$G,'capacity data'!$B:$B,P77))-SUMIFS('capacity data'!$H:$H,'capacity data'!$B:$B,P77))/SUMIFS('capacity data'!$G:$G,'capacity data'!$B:$B,P77),"")</f>
        <v/>
      </c>
    </row>
    <row r="78" spans="15:23" ht="16" x14ac:dyDescent="0.2">
      <c r="O78" s="23" t="s">
        <v>23</v>
      </c>
      <c r="P78" t="s">
        <v>121</v>
      </c>
      <c r="Q78" s="222" t="str">
        <f>IFERROR(SUM((SUMIFS('capacity data'!$G:$G,'capacity data'!$E:$E,"PO",'capacity data'!$B:$B,P78))-SUMIFS('capacity data'!$H:$H,'capacity data'!$E:$E,"PO",'capacity data'!$B:$B,P78))/SUMIFS('capacity data'!$G:$G,'capacity data'!$E:$E,"PO",'capacity data'!$B:$B,P78),"")</f>
        <v/>
      </c>
      <c r="R78" s="222" t="str">
        <f>IFERROR(SUM((SUMIFS('capacity data'!$G:$G,'capacity data'!$E:$E,"PSO",'capacity data'!$B:$B,P78))-SUMIFS('capacity data'!$H:$H,'capacity data'!$E:$E,"PSO",'capacity data'!$B:$B,P78))/SUMIFS('capacity data'!$G:$G,'capacity data'!$E:$E,"PSO",'capacity data'!$B:$B,P78),"")</f>
        <v/>
      </c>
      <c r="S78" s="22" t="str">
        <f t="shared" si="1"/>
        <v/>
      </c>
      <c r="T78" s="223" t="str">
        <f>IFERROR(SUMIFS('capacity data'!$L:$L,'capacity data'!$B:$B,P78,'capacity data'!$E:$E,"PSO")/SUMIFS('capacity data'!$G:$G,'capacity data'!$E:$E,"PSO",'capacity data'!$B:$B,P78),"")</f>
        <v/>
      </c>
      <c r="U78" s="223" t="str">
        <f>IFERROR(SUMIFS('capacity data'!$L:$L,'capacity data'!$B:$B,P78,'capacity data'!$E:$E,"TPO")/SUMIFS('capacity data'!$G:$G,'capacity data'!$E:$E,"TPO",'capacity data'!$B:$B,P78),"")</f>
        <v/>
      </c>
      <c r="V78" s="400" t="str">
        <f>IFERROR(SUMIFS('capacity data'!$L:$L,'capacity data'!$B:$B,P78,'capacity data'!$E:$E,"PO")/SUMIFS('capacity data'!$G:$G,'capacity data'!$E:$E,"PO",'capacity data'!$B:$B,P78),"")</f>
        <v/>
      </c>
      <c r="W78" s="400" t="str">
        <f>IFERROR(SUM((SUMIFS('capacity data'!$G:$G,'capacity data'!$B:$B,P78))-SUMIFS('capacity data'!$H:$H,'capacity data'!$B:$B,P78))/SUMIFS('capacity data'!$G:$G,'capacity data'!$B:$B,P78),"")</f>
        <v/>
      </c>
    </row>
    <row r="79" spans="15:23" ht="16" x14ac:dyDescent="0.2">
      <c r="O79" s="23" t="s">
        <v>23</v>
      </c>
      <c r="P79" t="s">
        <v>142</v>
      </c>
      <c r="Q79" s="222" t="str">
        <f>IFERROR(SUM((SUMIFS('capacity data'!$G:$G,'capacity data'!$E:$E,"PO",'capacity data'!$B:$B,P79))-SUMIFS('capacity data'!$H:$H,'capacity data'!$E:$E,"PO",'capacity data'!$B:$B,P79))/SUMIFS('capacity data'!$G:$G,'capacity data'!$E:$E,"PO",'capacity data'!$B:$B,P79),"")</f>
        <v/>
      </c>
      <c r="R79" s="222" t="str">
        <f>IFERROR(SUM((SUMIFS('capacity data'!$G:$G,'capacity data'!$E:$E,"PSO",'capacity data'!$B:$B,P79))-SUMIFS('capacity data'!$H:$H,'capacity data'!$E:$E,"PSO",'capacity data'!$B:$B,P79))/SUMIFS('capacity data'!$G:$G,'capacity data'!$E:$E,"PSO",'capacity data'!$B:$B,P79),"")</f>
        <v/>
      </c>
      <c r="S79" s="22" t="str">
        <f t="shared" si="1"/>
        <v/>
      </c>
      <c r="T79" s="223" t="str">
        <f>IFERROR(SUMIFS('capacity data'!$L:$L,'capacity data'!$B:$B,P79,'capacity data'!$E:$E,"PSO")/SUMIFS('capacity data'!$G:$G,'capacity data'!$E:$E,"PSO",'capacity data'!$B:$B,P79),"")</f>
        <v/>
      </c>
      <c r="U79" s="223" t="str">
        <f>IFERROR(SUMIFS('capacity data'!$L:$L,'capacity data'!$B:$B,P79,'capacity data'!$E:$E,"TPO")/SUMIFS('capacity data'!$G:$G,'capacity data'!$E:$E,"TPO",'capacity data'!$B:$B,P79),"")</f>
        <v/>
      </c>
      <c r="V79" s="400" t="str">
        <f>IFERROR(SUMIFS('capacity data'!$L:$L,'capacity data'!$B:$B,P79,'capacity data'!$E:$E,"PO")/SUMIFS('capacity data'!$G:$G,'capacity data'!$E:$E,"PO",'capacity data'!$B:$B,P79),"")</f>
        <v/>
      </c>
      <c r="W79" s="400" t="str">
        <f>IFERROR(SUM((SUMIFS('capacity data'!$G:$G,'capacity data'!$B:$B,P79))-SUMIFS('capacity data'!$H:$H,'capacity data'!$B:$B,P79))/SUMIFS('capacity data'!$G:$G,'capacity data'!$B:$B,P79),"")</f>
        <v/>
      </c>
    </row>
    <row r="80" spans="15:23" ht="16" x14ac:dyDescent="0.2">
      <c r="O80" s="23" t="s">
        <v>23</v>
      </c>
      <c r="P80" t="s">
        <v>163</v>
      </c>
      <c r="Q80" s="222" t="str">
        <f>IFERROR(SUM((SUMIFS('capacity data'!$G:$G,'capacity data'!$E:$E,"PO",'capacity data'!$B:$B,P80))-SUMIFS('capacity data'!$H:$H,'capacity data'!$E:$E,"PO",'capacity data'!$B:$B,P80))/SUMIFS('capacity data'!$G:$G,'capacity data'!$E:$E,"PO",'capacity data'!$B:$B,P80),"")</f>
        <v/>
      </c>
      <c r="R80" s="222" t="str">
        <f>IFERROR(SUM((SUMIFS('capacity data'!$G:$G,'capacity data'!$E:$E,"PSO",'capacity data'!$B:$B,P80))-SUMIFS('capacity data'!$H:$H,'capacity data'!$E:$E,"PSO",'capacity data'!$B:$B,P80))/SUMIFS('capacity data'!$G:$G,'capacity data'!$E:$E,"PSO",'capacity data'!$B:$B,P80),"")</f>
        <v/>
      </c>
      <c r="S80" s="22" t="str">
        <f t="shared" si="1"/>
        <v/>
      </c>
      <c r="T80" s="223" t="str">
        <f>IFERROR(SUMIFS('capacity data'!$L:$L,'capacity data'!$B:$B,P80,'capacity data'!$E:$E,"PSO")/SUMIFS('capacity data'!$G:$G,'capacity data'!$E:$E,"PSO",'capacity data'!$B:$B,P80),"")</f>
        <v/>
      </c>
      <c r="U80" s="223" t="str">
        <f>IFERROR(SUMIFS('capacity data'!$L:$L,'capacity data'!$B:$B,P80,'capacity data'!$E:$E,"TPO")/SUMIFS('capacity data'!$G:$G,'capacity data'!$E:$E,"TPO",'capacity data'!$B:$B,P80),"")</f>
        <v/>
      </c>
      <c r="V80" s="400" t="str">
        <f>IFERROR(SUMIFS('capacity data'!$L:$L,'capacity data'!$B:$B,P80,'capacity data'!$E:$E,"PO")/SUMIFS('capacity data'!$G:$G,'capacity data'!$E:$E,"PO",'capacity data'!$B:$B,P80),"")</f>
        <v/>
      </c>
      <c r="W80" s="400" t="str">
        <f>IFERROR(SUM((SUMIFS('capacity data'!$G:$G,'capacity data'!$B:$B,P80))-SUMIFS('capacity data'!$H:$H,'capacity data'!$B:$B,P80))/SUMIFS('capacity data'!$G:$G,'capacity data'!$B:$B,P80),"")</f>
        <v/>
      </c>
    </row>
    <row r="81" spans="15:23" ht="16" x14ac:dyDescent="0.2">
      <c r="O81" s="23" t="s">
        <v>23</v>
      </c>
      <c r="P81" t="s">
        <v>182</v>
      </c>
      <c r="Q81" s="222" t="str">
        <f>IFERROR(SUM((SUMIFS('capacity data'!$G:$G,'capacity data'!$E:$E,"PO",'capacity data'!$B:$B,P81))-SUMIFS('capacity data'!$H:$H,'capacity data'!$E:$E,"PO",'capacity data'!$B:$B,P81))/SUMIFS('capacity data'!$G:$G,'capacity data'!$E:$E,"PO",'capacity data'!$B:$B,P81),"")</f>
        <v/>
      </c>
      <c r="R81" s="222" t="str">
        <f>IFERROR(SUM((SUMIFS('capacity data'!$G:$G,'capacity data'!$E:$E,"PSO",'capacity data'!$B:$B,P81))-SUMIFS('capacity data'!$H:$H,'capacity data'!$E:$E,"PSO",'capacity data'!$B:$B,P81))/SUMIFS('capacity data'!$G:$G,'capacity data'!$E:$E,"PSO",'capacity data'!$B:$B,P81),"")</f>
        <v/>
      </c>
      <c r="S81" s="22" t="str">
        <f t="shared" si="1"/>
        <v/>
      </c>
      <c r="T81" s="223" t="str">
        <f>IFERROR(SUMIFS('capacity data'!$L:$L,'capacity data'!$B:$B,P81,'capacity data'!$E:$E,"PSO")/SUMIFS('capacity data'!$G:$G,'capacity data'!$E:$E,"PSO",'capacity data'!$B:$B,P81),"")</f>
        <v/>
      </c>
      <c r="U81" s="223" t="str">
        <f>IFERROR(SUMIFS('capacity data'!$L:$L,'capacity data'!$B:$B,P81,'capacity data'!$E:$E,"TPO")/SUMIFS('capacity data'!$G:$G,'capacity data'!$E:$E,"TPO",'capacity data'!$B:$B,P81),"")</f>
        <v/>
      </c>
      <c r="V81" s="400" t="str">
        <f>IFERROR(SUMIFS('capacity data'!$L:$L,'capacity data'!$B:$B,P81,'capacity data'!$E:$E,"PO")/SUMIFS('capacity data'!$G:$G,'capacity data'!$E:$E,"PO",'capacity data'!$B:$B,P81),"")</f>
        <v/>
      </c>
      <c r="W81" s="400" t="str">
        <f>IFERROR(SUM((SUMIFS('capacity data'!$G:$G,'capacity data'!$B:$B,P81))-SUMIFS('capacity data'!$H:$H,'capacity data'!$B:$B,P81))/SUMIFS('capacity data'!$G:$G,'capacity data'!$B:$B,P81),"")</f>
        <v/>
      </c>
    </row>
    <row r="82" spans="15:23" ht="16" x14ac:dyDescent="0.2">
      <c r="O82" s="23" t="s">
        <v>23</v>
      </c>
      <c r="P82" t="s">
        <v>201</v>
      </c>
      <c r="Q82" s="222" t="str">
        <f>IFERROR(SUM((SUMIFS('capacity data'!$G:$G,'capacity data'!$E:$E,"PO",'capacity data'!$B:$B,P82))-SUMIFS('capacity data'!$H:$H,'capacity data'!$E:$E,"PO",'capacity data'!$B:$B,P82))/SUMIFS('capacity data'!$G:$G,'capacity data'!$E:$E,"PO",'capacity data'!$B:$B,P82),"")</f>
        <v/>
      </c>
      <c r="R82" s="222" t="str">
        <f>IFERROR(SUM((SUMIFS('capacity data'!$G:$G,'capacity data'!$E:$E,"PSO",'capacity data'!$B:$B,P82))-SUMIFS('capacity data'!$H:$H,'capacity data'!$E:$E,"PSO",'capacity data'!$B:$B,P82))/SUMIFS('capacity data'!$G:$G,'capacity data'!$E:$E,"PSO",'capacity data'!$B:$B,P82),"")</f>
        <v/>
      </c>
      <c r="S82" s="22" t="str">
        <f t="shared" si="1"/>
        <v/>
      </c>
      <c r="T82" s="223" t="str">
        <f>IFERROR(SUMIFS('capacity data'!$L:$L,'capacity data'!$B:$B,P82,'capacity data'!$E:$E,"PSO")/SUMIFS('capacity data'!$G:$G,'capacity data'!$E:$E,"PSO",'capacity data'!$B:$B,P82),"")</f>
        <v/>
      </c>
      <c r="U82" s="223" t="str">
        <f>IFERROR(SUMIFS('capacity data'!$L:$L,'capacity data'!$B:$B,P82,'capacity data'!$E:$E,"TPO")/SUMIFS('capacity data'!$G:$G,'capacity data'!$E:$E,"TPO",'capacity data'!$B:$B,P82),"")</f>
        <v/>
      </c>
      <c r="V82" s="400" t="str">
        <f>IFERROR(SUMIFS('capacity data'!$L:$L,'capacity data'!$B:$B,P82,'capacity data'!$E:$E,"PO")/SUMIFS('capacity data'!$G:$G,'capacity data'!$E:$E,"PO",'capacity data'!$B:$B,P82),"")</f>
        <v/>
      </c>
      <c r="W82" s="400" t="str">
        <f>IFERROR(SUM((SUMIFS('capacity data'!$G:$G,'capacity data'!$B:$B,P82))-SUMIFS('capacity data'!$H:$H,'capacity data'!$B:$B,P82))/SUMIFS('capacity data'!$G:$G,'capacity data'!$B:$B,P82),"")</f>
        <v/>
      </c>
    </row>
    <row r="83" spans="15:23" ht="16" x14ac:dyDescent="0.2">
      <c r="O83" s="23" t="s">
        <v>23</v>
      </c>
      <c r="P83" t="s">
        <v>219</v>
      </c>
      <c r="Q83" s="222" t="str">
        <f>IFERROR(SUM((SUMIFS('capacity data'!$G:$G,'capacity data'!$E:$E,"PO",'capacity data'!$B:$B,P83))-SUMIFS('capacity data'!$H:$H,'capacity data'!$E:$E,"PO",'capacity data'!$B:$B,P83))/SUMIFS('capacity data'!$G:$G,'capacity data'!$E:$E,"PO",'capacity data'!$B:$B,P83),"")</f>
        <v/>
      </c>
      <c r="R83" s="222" t="str">
        <f>IFERROR(SUM((SUMIFS('capacity data'!$G:$G,'capacity data'!$E:$E,"PSO",'capacity data'!$B:$B,P83))-SUMIFS('capacity data'!$H:$H,'capacity data'!$E:$E,"PSO",'capacity data'!$B:$B,P83))/SUMIFS('capacity data'!$G:$G,'capacity data'!$E:$E,"PSO",'capacity data'!$B:$B,P83),"")</f>
        <v/>
      </c>
      <c r="S83" s="22" t="str">
        <f t="shared" si="1"/>
        <v/>
      </c>
      <c r="T83" s="223" t="str">
        <f>IFERROR(SUMIFS('capacity data'!$L:$L,'capacity data'!$B:$B,P83,'capacity data'!$E:$E,"PSO")/SUMIFS('capacity data'!$G:$G,'capacity data'!$E:$E,"PSO",'capacity data'!$B:$B,P83),"")</f>
        <v/>
      </c>
      <c r="U83" s="223" t="str">
        <f>IFERROR(SUMIFS('capacity data'!$L:$L,'capacity data'!$B:$B,P83,'capacity data'!$E:$E,"TPO")/SUMIFS('capacity data'!$G:$G,'capacity data'!$E:$E,"TPO",'capacity data'!$B:$B,P83),"")</f>
        <v/>
      </c>
      <c r="V83" s="400" t="str">
        <f>IFERROR(SUMIFS('capacity data'!$L:$L,'capacity data'!$B:$B,P83,'capacity data'!$E:$E,"PO")/SUMIFS('capacity data'!$G:$G,'capacity data'!$E:$E,"PO",'capacity data'!$B:$B,P83),"")</f>
        <v/>
      </c>
      <c r="W83" s="400" t="str">
        <f>IFERROR(SUM((SUMIFS('capacity data'!$G:$G,'capacity data'!$B:$B,P83))-SUMIFS('capacity data'!$H:$H,'capacity data'!$B:$B,P83))/SUMIFS('capacity data'!$G:$G,'capacity data'!$B:$B,P83),"")</f>
        <v/>
      </c>
    </row>
    <row r="84" spans="15:23" ht="16" x14ac:dyDescent="0.2">
      <c r="O84" s="23" t="s">
        <v>23</v>
      </c>
      <c r="P84" t="s">
        <v>236</v>
      </c>
      <c r="Q84" s="222" t="str">
        <f>IFERROR(SUM((SUMIFS('capacity data'!$G:$G,'capacity data'!$E:$E,"PO",'capacity data'!$B:$B,P84))-SUMIFS('capacity data'!$H:$H,'capacity data'!$E:$E,"PO",'capacity data'!$B:$B,P84))/SUMIFS('capacity data'!$G:$G,'capacity data'!$E:$E,"PO",'capacity data'!$B:$B,P84),"")</f>
        <v/>
      </c>
      <c r="R84" s="222" t="str">
        <f>IFERROR(SUM((SUMIFS('capacity data'!$G:$G,'capacity data'!$E:$E,"PSO",'capacity data'!$B:$B,P84))-SUMIFS('capacity data'!$H:$H,'capacity data'!$E:$E,"PSO",'capacity data'!$B:$B,P84))/SUMIFS('capacity data'!$G:$G,'capacity data'!$E:$E,"PSO",'capacity data'!$B:$B,P84),"")</f>
        <v/>
      </c>
      <c r="S84" s="22" t="str">
        <f t="shared" si="1"/>
        <v/>
      </c>
      <c r="T84" s="223" t="str">
        <f>IFERROR(SUMIFS('capacity data'!$L:$L,'capacity data'!$B:$B,P84,'capacity data'!$E:$E,"PSO")/SUMIFS('capacity data'!$G:$G,'capacity data'!$E:$E,"PSO",'capacity data'!$B:$B,P84),"")</f>
        <v/>
      </c>
      <c r="U84" s="223" t="str">
        <f>IFERROR(SUMIFS('capacity data'!$L:$L,'capacity data'!$B:$B,P84,'capacity data'!$E:$E,"TPO")/SUMIFS('capacity data'!$G:$G,'capacity data'!$E:$E,"TPO",'capacity data'!$B:$B,P84),"")</f>
        <v/>
      </c>
      <c r="V84" s="400" t="str">
        <f>IFERROR(SUMIFS('capacity data'!$L:$L,'capacity data'!$B:$B,P84,'capacity data'!$E:$E,"PO")/SUMIFS('capacity data'!$G:$G,'capacity data'!$E:$E,"PO",'capacity data'!$B:$B,P84),"")</f>
        <v/>
      </c>
      <c r="W84" s="400" t="str">
        <f>IFERROR(SUM((SUMIFS('capacity data'!$G:$G,'capacity data'!$B:$B,P84))-SUMIFS('capacity data'!$H:$H,'capacity data'!$B:$B,P84))/SUMIFS('capacity data'!$G:$G,'capacity data'!$B:$B,P84),"")</f>
        <v/>
      </c>
    </row>
    <row r="85" spans="15:23" ht="16" x14ac:dyDescent="0.2">
      <c r="O85" s="23" t="s">
        <v>23</v>
      </c>
      <c r="P85" t="s">
        <v>250</v>
      </c>
      <c r="Q85" s="222" t="str">
        <f>IFERROR(SUM((SUMIFS('capacity data'!$G:$G,'capacity data'!$E:$E,"PO",'capacity data'!$B:$B,P85))-SUMIFS('capacity data'!$H:$H,'capacity data'!$E:$E,"PO",'capacity data'!$B:$B,P85))/SUMIFS('capacity data'!$G:$G,'capacity data'!$E:$E,"PO",'capacity data'!$B:$B,P85),"")</f>
        <v/>
      </c>
      <c r="R85" s="222" t="str">
        <f>IFERROR(SUM((SUMIFS('capacity data'!$G:$G,'capacity data'!$E:$E,"PSO",'capacity data'!$B:$B,P85))-SUMIFS('capacity data'!$H:$H,'capacity data'!$E:$E,"PSO",'capacity data'!$B:$B,P85))/SUMIFS('capacity data'!$G:$G,'capacity data'!$E:$E,"PSO",'capacity data'!$B:$B,P85),"")</f>
        <v/>
      </c>
      <c r="S85" s="22" t="str">
        <f t="shared" si="1"/>
        <v/>
      </c>
      <c r="T85" s="223" t="str">
        <f>IFERROR(SUMIFS('capacity data'!$L:$L,'capacity data'!$B:$B,P85,'capacity data'!$E:$E,"PSO")/SUMIFS('capacity data'!$G:$G,'capacity data'!$E:$E,"PSO",'capacity data'!$B:$B,P85),"")</f>
        <v/>
      </c>
      <c r="U85" s="223" t="str">
        <f>IFERROR(SUMIFS('capacity data'!$L:$L,'capacity data'!$B:$B,P85,'capacity data'!$E:$E,"TPO")/SUMIFS('capacity data'!$G:$G,'capacity data'!$E:$E,"TPO",'capacity data'!$B:$B,P85),"")</f>
        <v/>
      </c>
      <c r="V85" s="400" t="str">
        <f>IFERROR(SUMIFS('capacity data'!$L:$L,'capacity data'!$B:$B,P85,'capacity data'!$E:$E,"PO")/SUMIFS('capacity data'!$G:$G,'capacity data'!$E:$E,"PO",'capacity data'!$B:$B,P85),"")</f>
        <v/>
      </c>
      <c r="W85" s="400" t="str">
        <f>IFERROR(SUM((SUMIFS('capacity data'!$G:$G,'capacity data'!$B:$B,P85))-SUMIFS('capacity data'!$H:$H,'capacity data'!$B:$B,P85))/SUMIFS('capacity data'!$G:$G,'capacity data'!$B:$B,P85),"")</f>
        <v/>
      </c>
    </row>
    <row r="86" spans="15:23" ht="16" x14ac:dyDescent="0.2">
      <c r="O86" s="23" t="s">
        <v>23</v>
      </c>
      <c r="P86" t="s">
        <v>263</v>
      </c>
      <c r="Q86" s="222" t="str">
        <f>IFERROR(SUM((SUMIFS('capacity data'!$G:$G,'capacity data'!$E:$E,"PO",'capacity data'!$B:$B,P86))-SUMIFS('capacity data'!$H:$H,'capacity data'!$E:$E,"PO",'capacity data'!$B:$B,P86))/SUMIFS('capacity data'!$G:$G,'capacity data'!$E:$E,"PO",'capacity data'!$B:$B,P86),"")</f>
        <v/>
      </c>
      <c r="R86" s="222" t="str">
        <f>IFERROR(SUM((SUMIFS('capacity data'!$G:$G,'capacity data'!$E:$E,"PSO",'capacity data'!$B:$B,P86))-SUMIFS('capacity data'!$H:$H,'capacity data'!$E:$E,"PSO",'capacity data'!$B:$B,P86))/SUMIFS('capacity data'!$G:$G,'capacity data'!$E:$E,"PSO",'capacity data'!$B:$B,P86),"")</f>
        <v/>
      </c>
      <c r="S86" s="22" t="str">
        <f t="shared" si="1"/>
        <v/>
      </c>
      <c r="T86" s="223" t="str">
        <f>IFERROR(SUMIFS('capacity data'!$L:$L,'capacity data'!$B:$B,P86,'capacity data'!$E:$E,"PSO")/SUMIFS('capacity data'!$G:$G,'capacity data'!$E:$E,"PSO",'capacity data'!$B:$B,P86),"")</f>
        <v/>
      </c>
      <c r="U86" s="223" t="str">
        <f>IFERROR(SUMIFS('capacity data'!$L:$L,'capacity data'!$B:$B,P86,'capacity data'!$E:$E,"TPO")/SUMIFS('capacity data'!$G:$G,'capacity data'!$E:$E,"TPO",'capacity data'!$B:$B,P86),"")</f>
        <v/>
      </c>
      <c r="V86" s="400" t="str">
        <f>IFERROR(SUMIFS('capacity data'!$L:$L,'capacity data'!$B:$B,P86,'capacity data'!$E:$E,"PO")/SUMIFS('capacity data'!$G:$G,'capacity data'!$E:$E,"PO",'capacity data'!$B:$B,P86),"")</f>
        <v/>
      </c>
      <c r="W86" s="400" t="str">
        <f>IFERROR(SUM((SUMIFS('capacity data'!$G:$G,'capacity data'!$B:$B,P86))-SUMIFS('capacity data'!$H:$H,'capacity data'!$B:$B,P86))/SUMIFS('capacity data'!$G:$G,'capacity data'!$B:$B,P86),"")</f>
        <v/>
      </c>
    </row>
    <row r="87" spans="15:23" ht="16" x14ac:dyDescent="0.2">
      <c r="O87" s="23" t="s">
        <v>23</v>
      </c>
      <c r="P87" t="s">
        <v>276</v>
      </c>
      <c r="Q87" s="222" t="str">
        <f>IFERROR(SUM((SUMIFS('capacity data'!$G:$G,'capacity data'!$E:$E,"PO",'capacity data'!$B:$B,P87))-SUMIFS('capacity data'!$H:$H,'capacity data'!$E:$E,"PO",'capacity data'!$B:$B,P87))/SUMIFS('capacity data'!$G:$G,'capacity data'!$E:$E,"PO",'capacity data'!$B:$B,P87),"")</f>
        <v/>
      </c>
      <c r="R87" s="222" t="str">
        <f>IFERROR(SUM((SUMIFS('capacity data'!$G:$G,'capacity data'!$E:$E,"PSO",'capacity data'!$B:$B,P87))-SUMIFS('capacity data'!$H:$H,'capacity data'!$E:$E,"PSO",'capacity data'!$B:$B,P87))/SUMIFS('capacity data'!$G:$G,'capacity data'!$E:$E,"PSO",'capacity data'!$B:$B,P87),"")</f>
        <v/>
      </c>
      <c r="S87" s="22" t="str">
        <f t="shared" si="1"/>
        <v/>
      </c>
      <c r="T87" s="223" t="str">
        <f>IFERROR(SUMIFS('capacity data'!$L:$L,'capacity data'!$B:$B,P87,'capacity data'!$E:$E,"PSO")/SUMIFS('capacity data'!$G:$G,'capacity data'!$E:$E,"PSO",'capacity data'!$B:$B,P87),"")</f>
        <v/>
      </c>
      <c r="U87" s="223" t="str">
        <f>IFERROR(SUMIFS('capacity data'!$L:$L,'capacity data'!$B:$B,P87,'capacity data'!$E:$E,"TPO")/SUMIFS('capacity data'!$G:$G,'capacity data'!$E:$E,"TPO",'capacity data'!$B:$B,P87),"")</f>
        <v/>
      </c>
      <c r="V87" s="400" t="str">
        <f>IFERROR(SUMIFS('capacity data'!$L:$L,'capacity data'!$B:$B,P87,'capacity data'!$E:$E,"PO")/SUMIFS('capacity data'!$G:$G,'capacity data'!$E:$E,"PO",'capacity data'!$B:$B,P87),"")</f>
        <v/>
      </c>
      <c r="W87" s="400" t="str">
        <f>IFERROR(SUM((SUMIFS('capacity data'!$G:$G,'capacity data'!$B:$B,P87))-SUMIFS('capacity data'!$H:$H,'capacity data'!$B:$B,P87))/SUMIFS('capacity data'!$G:$G,'capacity data'!$B:$B,P87),"")</f>
        <v/>
      </c>
    </row>
    <row r="88" spans="15:23" ht="16" x14ac:dyDescent="0.2">
      <c r="O88" s="23" t="s">
        <v>23</v>
      </c>
      <c r="P88" t="s">
        <v>291</v>
      </c>
      <c r="Q88" s="222" t="str">
        <f>IFERROR(SUM((SUMIFS('capacity data'!$G:$G,'capacity data'!$E:$E,"PO",'capacity data'!$B:$B,P88))-SUMIFS('capacity data'!$H:$H,'capacity data'!$E:$E,"PO",'capacity data'!$B:$B,P88))/SUMIFS('capacity data'!$G:$G,'capacity data'!$E:$E,"PO",'capacity data'!$B:$B,P88),"")</f>
        <v/>
      </c>
      <c r="R88" s="222" t="str">
        <f>IFERROR(SUM((SUMIFS('capacity data'!$G:$G,'capacity data'!$E:$E,"PSO",'capacity data'!$B:$B,P88))-SUMIFS('capacity data'!$H:$H,'capacity data'!$E:$E,"PSO",'capacity data'!$B:$B,P88))/SUMIFS('capacity data'!$G:$G,'capacity data'!$E:$E,"PSO",'capacity data'!$B:$B,P88),"")</f>
        <v/>
      </c>
      <c r="S88" s="22" t="str">
        <f t="shared" si="1"/>
        <v/>
      </c>
      <c r="T88" s="223" t="str">
        <f>IFERROR(SUMIFS('capacity data'!$L:$L,'capacity data'!$B:$B,P88,'capacity data'!$E:$E,"PSO")/SUMIFS('capacity data'!$G:$G,'capacity data'!$E:$E,"PSO",'capacity data'!$B:$B,P88),"")</f>
        <v/>
      </c>
      <c r="U88" s="223" t="str">
        <f>IFERROR(SUMIFS('capacity data'!$L:$L,'capacity data'!$B:$B,P88,'capacity data'!$E:$E,"TPO")/SUMIFS('capacity data'!$G:$G,'capacity data'!$E:$E,"TPO",'capacity data'!$B:$B,P88),"")</f>
        <v/>
      </c>
      <c r="V88" s="400" t="str">
        <f>IFERROR(SUMIFS('capacity data'!$L:$L,'capacity data'!$B:$B,P88,'capacity data'!$E:$E,"PO")/SUMIFS('capacity data'!$G:$G,'capacity data'!$E:$E,"PO",'capacity data'!$B:$B,P88),"")</f>
        <v/>
      </c>
      <c r="W88" s="400" t="str">
        <f>IFERROR(SUM((SUMIFS('capacity data'!$G:$G,'capacity data'!$B:$B,P88))-SUMIFS('capacity data'!$H:$H,'capacity data'!$B:$B,P88))/SUMIFS('capacity data'!$G:$G,'capacity data'!$B:$B,P88),"")</f>
        <v/>
      </c>
    </row>
    <row r="89" spans="15:23" ht="16" x14ac:dyDescent="0.2">
      <c r="O89" s="23" t="s">
        <v>23</v>
      </c>
      <c r="P89" t="s">
        <v>302</v>
      </c>
      <c r="Q89" s="222" t="str">
        <f>IFERROR(SUM((SUMIFS('capacity data'!$G:$G,'capacity data'!$E:$E,"PO",'capacity data'!$B:$B,P89))-SUMIFS('capacity data'!$H:$H,'capacity data'!$E:$E,"PO",'capacity data'!$B:$B,P89))/SUMIFS('capacity data'!$G:$G,'capacity data'!$E:$E,"PO",'capacity data'!$B:$B,P89),"")</f>
        <v/>
      </c>
      <c r="R89" s="222" t="str">
        <f>IFERROR(SUM((SUMIFS('capacity data'!$G:$G,'capacity data'!$E:$E,"PSO",'capacity data'!$B:$B,P89))-SUMIFS('capacity data'!$H:$H,'capacity data'!$E:$E,"PSO",'capacity data'!$B:$B,P89))/SUMIFS('capacity data'!$G:$G,'capacity data'!$E:$E,"PSO",'capacity data'!$B:$B,P89),"")</f>
        <v/>
      </c>
      <c r="S89" s="22" t="str">
        <f t="shared" si="1"/>
        <v/>
      </c>
      <c r="T89" s="223" t="str">
        <f>IFERROR(SUMIFS('capacity data'!$L:$L,'capacity data'!$B:$B,P89,'capacity data'!$E:$E,"PSO")/SUMIFS('capacity data'!$G:$G,'capacity data'!$E:$E,"PSO",'capacity data'!$B:$B,P89),"")</f>
        <v/>
      </c>
      <c r="U89" s="223" t="str">
        <f>IFERROR(SUMIFS('capacity data'!$L:$L,'capacity data'!$B:$B,P89,'capacity data'!$E:$E,"TPO")/SUMIFS('capacity data'!$G:$G,'capacity data'!$E:$E,"TPO",'capacity data'!$B:$B,P89),"")</f>
        <v/>
      </c>
      <c r="V89" s="400" t="str">
        <f>IFERROR(SUMIFS('capacity data'!$L:$L,'capacity data'!$B:$B,P89,'capacity data'!$E:$E,"PO")/SUMIFS('capacity data'!$G:$G,'capacity data'!$E:$E,"PO",'capacity data'!$B:$B,P89),"")</f>
        <v/>
      </c>
      <c r="W89" s="400" t="str">
        <f>IFERROR(SUM((SUMIFS('capacity data'!$G:$G,'capacity data'!$B:$B,P89))-SUMIFS('capacity data'!$H:$H,'capacity data'!$B:$B,P89))/SUMIFS('capacity data'!$G:$G,'capacity data'!$B:$B,P89),"")</f>
        <v/>
      </c>
    </row>
    <row r="90" spans="15:23" ht="16" x14ac:dyDescent="0.2">
      <c r="O90" s="23" t="s">
        <v>23</v>
      </c>
      <c r="P90" t="s">
        <v>315</v>
      </c>
      <c r="Q90" s="222" t="str">
        <f>IFERROR(SUM((SUMIFS('capacity data'!$G:$G,'capacity data'!$E:$E,"PO",'capacity data'!$B:$B,P90))-SUMIFS('capacity data'!$H:$H,'capacity data'!$E:$E,"PO",'capacity data'!$B:$B,P90))/SUMIFS('capacity data'!$G:$G,'capacity data'!$E:$E,"PO",'capacity data'!$B:$B,P90),"")</f>
        <v/>
      </c>
      <c r="R90" s="222" t="str">
        <f>IFERROR(SUM((SUMIFS('capacity data'!$G:$G,'capacity data'!$E:$E,"PSO",'capacity data'!$B:$B,P90))-SUMIFS('capacity data'!$H:$H,'capacity data'!$E:$E,"PSO",'capacity data'!$B:$B,P90))/SUMIFS('capacity data'!$G:$G,'capacity data'!$E:$E,"PSO",'capacity data'!$B:$B,P90),"")</f>
        <v/>
      </c>
      <c r="S90" s="22" t="str">
        <f t="shared" si="1"/>
        <v/>
      </c>
      <c r="T90" s="223" t="str">
        <f>IFERROR(SUMIFS('capacity data'!$L:$L,'capacity data'!$B:$B,P90,'capacity data'!$E:$E,"PSO")/SUMIFS('capacity data'!$G:$G,'capacity data'!$E:$E,"PSO",'capacity data'!$B:$B,P90),"")</f>
        <v/>
      </c>
      <c r="U90" s="223" t="str">
        <f>IFERROR(SUMIFS('capacity data'!$L:$L,'capacity data'!$B:$B,P90,'capacity data'!$E:$E,"TPO")/SUMIFS('capacity data'!$G:$G,'capacity data'!$E:$E,"TPO",'capacity data'!$B:$B,P90),"")</f>
        <v/>
      </c>
      <c r="V90" s="400" t="str">
        <f>IFERROR(SUMIFS('capacity data'!$L:$L,'capacity data'!$B:$B,P90,'capacity data'!$E:$E,"PO")/SUMIFS('capacity data'!$G:$G,'capacity data'!$E:$E,"PO",'capacity data'!$B:$B,P90),"")</f>
        <v/>
      </c>
      <c r="W90" s="400" t="str">
        <f>IFERROR(SUM((SUMIFS('capacity data'!$G:$G,'capacity data'!$B:$B,P90))-SUMIFS('capacity data'!$H:$H,'capacity data'!$B:$B,P90))/SUMIFS('capacity data'!$G:$G,'capacity data'!$B:$B,P90),"")</f>
        <v/>
      </c>
    </row>
    <row r="91" spans="15:23" ht="16" x14ac:dyDescent="0.2">
      <c r="O91" s="23" t="s">
        <v>23</v>
      </c>
      <c r="P91" t="s">
        <v>328</v>
      </c>
      <c r="Q91" s="222" t="str">
        <f>IFERROR(SUM((SUMIFS('capacity data'!$G:$G,'capacity data'!$E:$E,"PO",'capacity data'!$B:$B,P91))-SUMIFS('capacity data'!$H:$H,'capacity data'!$E:$E,"PO",'capacity data'!$B:$B,P91))/SUMIFS('capacity data'!$G:$G,'capacity data'!$E:$E,"PO",'capacity data'!$B:$B,P91),"")</f>
        <v/>
      </c>
      <c r="R91" s="222" t="str">
        <f>IFERROR(SUM((SUMIFS('capacity data'!$G:$G,'capacity data'!$E:$E,"PSO",'capacity data'!$B:$B,P91))-SUMIFS('capacity data'!$H:$H,'capacity data'!$E:$E,"PSO",'capacity data'!$B:$B,P91))/SUMIFS('capacity data'!$G:$G,'capacity data'!$E:$E,"PSO",'capacity data'!$B:$B,P91),"")</f>
        <v/>
      </c>
      <c r="S91" s="22" t="str">
        <f t="shared" si="1"/>
        <v/>
      </c>
      <c r="T91" s="223" t="str">
        <f>IFERROR(SUMIFS('capacity data'!$L:$L,'capacity data'!$B:$B,P91,'capacity data'!$E:$E,"PSO")/SUMIFS('capacity data'!$G:$G,'capacity data'!$E:$E,"PSO",'capacity data'!$B:$B,P91),"")</f>
        <v/>
      </c>
      <c r="U91" s="223" t="str">
        <f>IFERROR(SUMIFS('capacity data'!$L:$L,'capacity data'!$B:$B,P91,'capacity data'!$E:$E,"TPO")/SUMIFS('capacity data'!$G:$G,'capacity data'!$E:$E,"TPO",'capacity data'!$B:$B,P91),"")</f>
        <v/>
      </c>
      <c r="V91" s="400" t="str">
        <f>IFERROR(SUMIFS('capacity data'!$L:$L,'capacity data'!$B:$B,P91,'capacity data'!$E:$E,"PO")/SUMIFS('capacity data'!$G:$G,'capacity data'!$E:$E,"PO",'capacity data'!$B:$B,P91),"")</f>
        <v/>
      </c>
      <c r="W91" s="400" t="str">
        <f>IFERROR(SUM((SUMIFS('capacity data'!$G:$G,'capacity data'!$B:$B,P91))-SUMIFS('capacity data'!$H:$H,'capacity data'!$B:$B,P91))/SUMIFS('capacity data'!$G:$G,'capacity data'!$B:$B,P91),"")</f>
        <v/>
      </c>
    </row>
    <row r="92" spans="15:23" ht="16" x14ac:dyDescent="0.2">
      <c r="O92" s="23" t="s">
        <v>23</v>
      </c>
      <c r="P92" t="s">
        <v>340</v>
      </c>
      <c r="Q92" s="222" t="str">
        <f>IFERROR(SUM((SUMIFS('capacity data'!$G:$G,'capacity data'!$E:$E,"PO",'capacity data'!$B:$B,P92))-SUMIFS('capacity data'!$H:$H,'capacity data'!$E:$E,"PO",'capacity data'!$B:$B,P92))/SUMIFS('capacity data'!$G:$G,'capacity data'!$E:$E,"PO",'capacity data'!$B:$B,P92),"")</f>
        <v/>
      </c>
      <c r="R92" s="222" t="str">
        <f>IFERROR(SUM((SUMIFS('capacity data'!$G:$G,'capacity data'!$E:$E,"PSO",'capacity data'!$B:$B,P92))-SUMIFS('capacity data'!$H:$H,'capacity data'!$E:$E,"PSO",'capacity data'!$B:$B,P92))/SUMIFS('capacity data'!$G:$G,'capacity data'!$E:$E,"PSO",'capacity data'!$B:$B,P92),"")</f>
        <v/>
      </c>
      <c r="S92" s="22" t="str">
        <f t="shared" si="1"/>
        <v/>
      </c>
      <c r="T92" s="223" t="str">
        <f>IFERROR(SUMIFS('capacity data'!$L:$L,'capacity data'!$B:$B,P92,'capacity data'!$E:$E,"PSO")/SUMIFS('capacity data'!$G:$G,'capacity data'!$E:$E,"PSO",'capacity data'!$B:$B,P92),"")</f>
        <v/>
      </c>
      <c r="U92" s="223" t="str">
        <f>IFERROR(SUMIFS('capacity data'!$L:$L,'capacity data'!$B:$B,P92,'capacity data'!$E:$E,"TPO")/SUMIFS('capacity data'!$G:$G,'capacity data'!$E:$E,"TPO",'capacity data'!$B:$B,P92),"")</f>
        <v/>
      </c>
      <c r="V92" s="400" t="str">
        <f>IFERROR(SUMIFS('capacity data'!$L:$L,'capacity data'!$B:$B,P92,'capacity data'!$E:$E,"PO")/SUMIFS('capacity data'!$G:$G,'capacity data'!$E:$E,"PO",'capacity data'!$B:$B,P92),"")</f>
        <v/>
      </c>
      <c r="W92" s="400" t="str">
        <f>IFERROR(SUM((SUMIFS('capacity data'!$G:$G,'capacity data'!$B:$B,P92))-SUMIFS('capacity data'!$H:$H,'capacity data'!$B:$B,P92))/SUMIFS('capacity data'!$G:$G,'capacity data'!$B:$B,P92),"")</f>
        <v/>
      </c>
    </row>
    <row r="93" spans="15:23" ht="16" x14ac:dyDescent="0.2">
      <c r="O93" s="23" t="s">
        <v>24</v>
      </c>
      <c r="P93" t="s">
        <v>36</v>
      </c>
      <c r="Q93" s="222" t="str">
        <f>IFERROR(SUM((SUMIFS('capacity data'!$G:$G,'capacity data'!$E:$E,"PO",'capacity data'!$B:$B,P93))-SUMIFS('capacity data'!$H:$H,'capacity data'!$E:$E,"PO",'capacity data'!$B:$B,P93))/SUMIFS('capacity data'!$G:$G,'capacity data'!$E:$E,"PO",'capacity data'!$B:$B,P93),"")</f>
        <v/>
      </c>
      <c r="R93" s="222" t="str">
        <f>IFERROR(SUM((SUMIFS('capacity data'!$G:$G,'capacity data'!$E:$E,"PSO",'capacity data'!$B:$B,P93))-SUMIFS('capacity data'!$H:$H,'capacity data'!$E:$E,"PSO",'capacity data'!$B:$B,P93))/SUMIFS('capacity data'!$G:$G,'capacity data'!$E:$E,"PSO",'capacity data'!$B:$B,P93),"")</f>
        <v/>
      </c>
      <c r="S93" s="22" t="str">
        <f t="shared" si="1"/>
        <v/>
      </c>
      <c r="T93" s="223" t="str">
        <f>IFERROR(SUMIFS('capacity data'!$L:$L,'capacity data'!$B:$B,P93,'capacity data'!$E:$E,"PSO")/SUMIFS('capacity data'!$G:$G,'capacity data'!$E:$E,"PSO",'capacity data'!$B:$B,P93),"")</f>
        <v/>
      </c>
      <c r="U93" s="223" t="str">
        <f>IFERROR(SUMIFS('capacity data'!$L:$L,'capacity data'!$B:$B,P93,'capacity data'!$E:$E,"TPO")/SUMIFS('capacity data'!$G:$G,'capacity data'!$E:$E,"TPO",'capacity data'!$B:$B,P93),"")</f>
        <v/>
      </c>
      <c r="V93" s="400" t="str">
        <f>IFERROR(SUMIFS('capacity data'!$L:$L,'capacity data'!$B:$B,P93,'capacity data'!$E:$E,"PO")/SUMIFS('capacity data'!$G:$G,'capacity data'!$E:$E,"PO",'capacity data'!$B:$B,P93),"")</f>
        <v/>
      </c>
      <c r="W93" s="400" t="str">
        <f>IFERROR(SUM((SUMIFS('capacity data'!$G:$G,'capacity data'!$B:$B,P93))-SUMIFS('capacity data'!$H:$H,'capacity data'!$B:$B,P93))/SUMIFS('capacity data'!$G:$G,'capacity data'!$B:$B,P93),"")</f>
        <v/>
      </c>
    </row>
    <row r="94" spans="15:23" ht="16" x14ac:dyDescent="0.2">
      <c r="O94" s="23" t="s">
        <v>24</v>
      </c>
      <c r="P94" t="s">
        <v>58</v>
      </c>
      <c r="Q94" s="222" t="str">
        <f>IFERROR(SUM((SUMIFS('capacity data'!$G:$G,'capacity data'!$E:$E,"PO",'capacity data'!$B:$B,P94))-SUMIFS('capacity data'!$H:$H,'capacity data'!$E:$E,"PO",'capacity data'!$B:$B,P94))/SUMIFS('capacity data'!$G:$G,'capacity data'!$E:$E,"PO",'capacity data'!$B:$B,P94),"")</f>
        <v/>
      </c>
      <c r="R94" s="222" t="str">
        <f>IFERROR(SUM((SUMIFS('capacity data'!$G:$G,'capacity data'!$E:$E,"PSO",'capacity data'!$B:$B,P94))-SUMIFS('capacity data'!$H:$H,'capacity data'!$E:$E,"PSO",'capacity data'!$B:$B,P94))/SUMIFS('capacity data'!$G:$G,'capacity data'!$E:$E,"PSO",'capacity data'!$B:$B,P94),"")</f>
        <v/>
      </c>
      <c r="S94" s="22" t="str">
        <f t="shared" si="1"/>
        <v/>
      </c>
      <c r="T94" s="223" t="str">
        <f>IFERROR(SUMIFS('capacity data'!$L:$L,'capacity data'!$B:$B,P94,'capacity data'!$E:$E,"PSO")/SUMIFS('capacity data'!$G:$G,'capacity data'!$E:$E,"PSO",'capacity data'!$B:$B,P94),"")</f>
        <v/>
      </c>
      <c r="U94" s="223" t="str">
        <f>IFERROR(SUMIFS('capacity data'!$L:$L,'capacity data'!$B:$B,P94,'capacity data'!$E:$E,"TPO")/SUMIFS('capacity data'!$G:$G,'capacity data'!$E:$E,"TPO",'capacity data'!$B:$B,P94),"")</f>
        <v/>
      </c>
      <c r="V94" s="400" t="str">
        <f>IFERROR(SUMIFS('capacity data'!$L:$L,'capacity data'!$B:$B,P94,'capacity data'!$E:$E,"PO")/SUMIFS('capacity data'!$G:$G,'capacity data'!$E:$E,"PO",'capacity data'!$B:$B,P94),"")</f>
        <v/>
      </c>
      <c r="W94" s="400" t="str">
        <f>IFERROR(SUM((SUMIFS('capacity data'!$G:$G,'capacity data'!$B:$B,P94))-SUMIFS('capacity data'!$H:$H,'capacity data'!$B:$B,P94))/SUMIFS('capacity data'!$G:$G,'capacity data'!$B:$B,P94),"")</f>
        <v/>
      </c>
    </row>
    <row r="95" spans="15:23" ht="16" x14ac:dyDescent="0.2">
      <c r="O95" s="23" t="s">
        <v>24</v>
      </c>
      <c r="P95" t="s">
        <v>79</v>
      </c>
      <c r="Q95" s="222" t="str">
        <f>IFERROR(SUM((SUMIFS('capacity data'!$G:$G,'capacity data'!$E:$E,"PO",'capacity data'!$B:$B,P95))-SUMIFS('capacity data'!$H:$H,'capacity data'!$E:$E,"PO",'capacity data'!$B:$B,P95))/SUMIFS('capacity data'!$G:$G,'capacity data'!$E:$E,"PO",'capacity data'!$B:$B,P95),"")</f>
        <v/>
      </c>
      <c r="R95" s="222" t="str">
        <f>IFERROR(SUM((SUMIFS('capacity data'!$G:$G,'capacity data'!$E:$E,"PSO",'capacity data'!$B:$B,P95))-SUMIFS('capacity data'!$H:$H,'capacity data'!$E:$E,"PSO",'capacity data'!$B:$B,P95))/SUMIFS('capacity data'!$G:$G,'capacity data'!$E:$E,"PSO",'capacity data'!$B:$B,P95),"")</f>
        <v/>
      </c>
      <c r="S95" s="22" t="str">
        <f t="shared" si="1"/>
        <v/>
      </c>
      <c r="T95" s="223" t="str">
        <f>IFERROR(SUMIFS('capacity data'!$L:$L,'capacity data'!$B:$B,P95,'capacity data'!$E:$E,"PSO")/SUMIFS('capacity data'!$G:$G,'capacity data'!$E:$E,"PSO",'capacity data'!$B:$B,P95),"")</f>
        <v/>
      </c>
      <c r="U95" s="223" t="str">
        <f>IFERROR(SUMIFS('capacity data'!$L:$L,'capacity data'!$B:$B,P95,'capacity data'!$E:$E,"TPO")/SUMIFS('capacity data'!$G:$G,'capacity data'!$E:$E,"TPO",'capacity data'!$B:$B,P95),"")</f>
        <v/>
      </c>
      <c r="V95" s="400" t="str">
        <f>IFERROR(SUMIFS('capacity data'!$L:$L,'capacity data'!$B:$B,P95,'capacity data'!$E:$E,"PO")/SUMIFS('capacity data'!$G:$G,'capacity data'!$E:$E,"PO",'capacity data'!$B:$B,P95),"")</f>
        <v/>
      </c>
      <c r="W95" s="400" t="str">
        <f>IFERROR(SUM((SUMIFS('capacity data'!$G:$G,'capacity data'!$B:$B,P95))-SUMIFS('capacity data'!$H:$H,'capacity data'!$B:$B,P95))/SUMIFS('capacity data'!$G:$G,'capacity data'!$B:$B,P95),"")</f>
        <v/>
      </c>
    </row>
    <row r="96" spans="15:23" ht="16" x14ac:dyDescent="0.2">
      <c r="O96" s="23" t="s">
        <v>24</v>
      </c>
      <c r="P96" t="s">
        <v>100</v>
      </c>
      <c r="Q96" s="222" t="str">
        <f>IFERROR(SUM((SUMIFS('capacity data'!$G:$G,'capacity data'!$E:$E,"PO",'capacity data'!$B:$B,P96))-SUMIFS('capacity data'!$H:$H,'capacity data'!$E:$E,"PO",'capacity data'!$B:$B,P96))/SUMIFS('capacity data'!$G:$G,'capacity data'!$E:$E,"PO",'capacity data'!$B:$B,P96),"")</f>
        <v/>
      </c>
      <c r="R96" s="222" t="str">
        <f>IFERROR(SUM((SUMIFS('capacity data'!$G:$G,'capacity data'!$E:$E,"PSO",'capacity data'!$B:$B,P96))-SUMIFS('capacity data'!$H:$H,'capacity data'!$E:$E,"PSO",'capacity data'!$B:$B,P96))/SUMIFS('capacity data'!$G:$G,'capacity data'!$E:$E,"PSO",'capacity data'!$B:$B,P96),"")</f>
        <v/>
      </c>
      <c r="S96" s="22" t="str">
        <f t="shared" si="1"/>
        <v/>
      </c>
      <c r="T96" s="223" t="str">
        <f>IFERROR(SUMIFS('capacity data'!$L:$L,'capacity data'!$B:$B,P96,'capacity data'!$E:$E,"PSO")/SUMIFS('capacity data'!$G:$G,'capacity data'!$E:$E,"PSO",'capacity data'!$B:$B,P96),"")</f>
        <v/>
      </c>
      <c r="U96" s="223" t="str">
        <f>IFERROR(SUMIFS('capacity data'!$L:$L,'capacity data'!$B:$B,P96,'capacity data'!$E:$E,"TPO")/SUMIFS('capacity data'!$G:$G,'capacity data'!$E:$E,"TPO",'capacity data'!$B:$B,P96),"")</f>
        <v/>
      </c>
      <c r="V96" s="400" t="str">
        <f>IFERROR(SUMIFS('capacity data'!$L:$L,'capacity data'!$B:$B,P96,'capacity data'!$E:$E,"PO")/SUMIFS('capacity data'!$G:$G,'capacity data'!$E:$E,"PO",'capacity data'!$B:$B,P96),"")</f>
        <v/>
      </c>
      <c r="W96" s="400" t="str">
        <f>IFERROR(SUM((SUMIFS('capacity data'!$G:$G,'capacity data'!$B:$B,P96))-SUMIFS('capacity data'!$H:$H,'capacity data'!$B:$B,P96))/SUMIFS('capacity data'!$G:$G,'capacity data'!$B:$B,P96),"")</f>
        <v/>
      </c>
    </row>
    <row r="97" spans="15:23" ht="16" x14ac:dyDescent="0.2">
      <c r="O97" s="23" t="s">
        <v>24</v>
      </c>
      <c r="P97" t="s">
        <v>122</v>
      </c>
      <c r="Q97" s="222" t="str">
        <f>IFERROR(SUM((SUMIFS('capacity data'!$G:$G,'capacity data'!$E:$E,"PO",'capacity data'!$B:$B,P97))-SUMIFS('capacity data'!$H:$H,'capacity data'!$E:$E,"PO",'capacity data'!$B:$B,P97))/SUMIFS('capacity data'!$G:$G,'capacity data'!$E:$E,"PO",'capacity data'!$B:$B,P97),"")</f>
        <v/>
      </c>
      <c r="R97" s="222" t="str">
        <f>IFERROR(SUM((SUMIFS('capacity data'!$G:$G,'capacity data'!$E:$E,"PSO",'capacity data'!$B:$B,P97))-SUMIFS('capacity data'!$H:$H,'capacity data'!$E:$E,"PSO",'capacity data'!$B:$B,P97))/SUMIFS('capacity data'!$G:$G,'capacity data'!$E:$E,"PSO",'capacity data'!$B:$B,P97),"")</f>
        <v/>
      </c>
      <c r="S97" s="22" t="str">
        <f t="shared" si="1"/>
        <v/>
      </c>
      <c r="T97" s="223" t="str">
        <f>IFERROR(SUMIFS('capacity data'!$L:$L,'capacity data'!$B:$B,P97,'capacity data'!$E:$E,"PSO")/SUMIFS('capacity data'!$G:$G,'capacity data'!$E:$E,"PSO",'capacity data'!$B:$B,P97),"")</f>
        <v/>
      </c>
      <c r="U97" s="223" t="str">
        <f>IFERROR(SUMIFS('capacity data'!$L:$L,'capacity data'!$B:$B,P97,'capacity data'!$E:$E,"TPO")/SUMIFS('capacity data'!$G:$G,'capacity data'!$E:$E,"TPO",'capacity data'!$B:$B,P97),"")</f>
        <v/>
      </c>
      <c r="V97" s="400" t="str">
        <f>IFERROR(SUMIFS('capacity data'!$L:$L,'capacity data'!$B:$B,P97,'capacity data'!$E:$E,"PO")/SUMIFS('capacity data'!$G:$G,'capacity data'!$E:$E,"PO",'capacity data'!$B:$B,P97),"")</f>
        <v/>
      </c>
      <c r="W97" s="400" t="str">
        <f>IFERROR(SUM((SUMIFS('capacity data'!$G:$G,'capacity data'!$B:$B,P97))-SUMIFS('capacity data'!$H:$H,'capacity data'!$B:$B,P97))/SUMIFS('capacity data'!$G:$G,'capacity data'!$B:$B,P97),"")</f>
        <v/>
      </c>
    </row>
    <row r="98" spans="15:23" ht="16" x14ac:dyDescent="0.2">
      <c r="O98" s="23" t="s">
        <v>24</v>
      </c>
      <c r="P98" t="s">
        <v>143</v>
      </c>
      <c r="Q98" s="222" t="str">
        <f>IFERROR(SUM((SUMIFS('capacity data'!$G:$G,'capacity data'!$E:$E,"PO",'capacity data'!$B:$B,P98))-SUMIFS('capacity data'!$H:$H,'capacity data'!$E:$E,"PO",'capacity data'!$B:$B,P98))/SUMIFS('capacity data'!$G:$G,'capacity data'!$E:$E,"PO",'capacity data'!$B:$B,P98),"")</f>
        <v/>
      </c>
      <c r="R98" s="222" t="str">
        <f>IFERROR(SUM((SUMIFS('capacity data'!$G:$G,'capacity data'!$E:$E,"PSO",'capacity data'!$B:$B,P98))-SUMIFS('capacity data'!$H:$H,'capacity data'!$E:$E,"PSO",'capacity data'!$B:$B,P98))/SUMIFS('capacity data'!$G:$G,'capacity data'!$E:$E,"PSO",'capacity data'!$B:$B,P98),"")</f>
        <v/>
      </c>
      <c r="S98" s="22" t="str">
        <f t="shared" si="1"/>
        <v/>
      </c>
      <c r="T98" s="223" t="str">
        <f>IFERROR(SUMIFS('capacity data'!$L:$L,'capacity data'!$B:$B,P98,'capacity data'!$E:$E,"PSO")/SUMIFS('capacity data'!$G:$G,'capacity data'!$E:$E,"PSO",'capacity data'!$B:$B,P98),"")</f>
        <v/>
      </c>
      <c r="U98" s="223" t="str">
        <f>IFERROR(SUMIFS('capacity data'!$L:$L,'capacity data'!$B:$B,P98,'capacity data'!$E:$E,"TPO")/SUMIFS('capacity data'!$G:$G,'capacity data'!$E:$E,"TPO",'capacity data'!$B:$B,P98),"")</f>
        <v/>
      </c>
      <c r="V98" s="400" t="str">
        <f>IFERROR(SUMIFS('capacity data'!$L:$L,'capacity data'!$B:$B,P98,'capacity data'!$E:$E,"PO")/SUMIFS('capacity data'!$G:$G,'capacity data'!$E:$E,"PO",'capacity data'!$B:$B,P98),"")</f>
        <v/>
      </c>
      <c r="W98" s="400" t="str">
        <f>IFERROR(SUM((SUMIFS('capacity data'!$G:$G,'capacity data'!$B:$B,P98))-SUMIFS('capacity data'!$H:$H,'capacity data'!$B:$B,P98))/SUMIFS('capacity data'!$G:$G,'capacity data'!$B:$B,P98),"")</f>
        <v/>
      </c>
    </row>
    <row r="99" spans="15:23" ht="16" x14ac:dyDescent="0.2">
      <c r="O99" s="23" t="s">
        <v>24</v>
      </c>
      <c r="P99" t="s">
        <v>164</v>
      </c>
      <c r="Q99" s="222" t="str">
        <f>IFERROR(SUM((SUMIFS('capacity data'!$G:$G,'capacity data'!$E:$E,"PO",'capacity data'!$B:$B,P99))-SUMIFS('capacity data'!$H:$H,'capacity data'!$E:$E,"PO",'capacity data'!$B:$B,P99))/SUMIFS('capacity data'!$G:$G,'capacity data'!$E:$E,"PO",'capacity data'!$B:$B,P99),"")</f>
        <v/>
      </c>
      <c r="R99" s="222" t="str">
        <f>IFERROR(SUM((SUMIFS('capacity data'!$G:$G,'capacity data'!$E:$E,"PSO",'capacity data'!$B:$B,P99))-SUMIFS('capacity data'!$H:$H,'capacity data'!$E:$E,"PSO",'capacity data'!$B:$B,P99))/SUMIFS('capacity data'!$G:$G,'capacity data'!$E:$E,"PSO",'capacity data'!$B:$B,P99),"")</f>
        <v/>
      </c>
      <c r="S99" s="22" t="str">
        <f t="shared" si="1"/>
        <v/>
      </c>
      <c r="T99" s="223" t="str">
        <f>IFERROR(SUMIFS('capacity data'!$L:$L,'capacity data'!$B:$B,P99,'capacity data'!$E:$E,"PSO")/SUMIFS('capacity data'!$G:$G,'capacity data'!$E:$E,"PSO",'capacity data'!$B:$B,P99),"")</f>
        <v/>
      </c>
      <c r="U99" s="223" t="str">
        <f>IFERROR(SUMIFS('capacity data'!$L:$L,'capacity data'!$B:$B,P99,'capacity data'!$E:$E,"TPO")/SUMIFS('capacity data'!$G:$G,'capacity data'!$E:$E,"TPO",'capacity data'!$B:$B,P99),"")</f>
        <v/>
      </c>
      <c r="V99" s="400" t="str">
        <f>IFERROR(SUMIFS('capacity data'!$L:$L,'capacity data'!$B:$B,P99,'capacity data'!$E:$E,"PO")/SUMIFS('capacity data'!$G:$G,'capacity data'!$E:$E,"PO",'capacity data'!$B:$B,P99),"")</f>
        <v/>
      </c>
      <c r="W99" s="400" t="str">
        <f>IFERROR(SUM((SUMIFS('capacity data'!$G:$G,'capacity data'!$B:$B,P99))-SUMIFS('capacity data'!$H:$H,'capacity data'!$B:$B,P99))/SUMIFS('capacity data'!$G:$G,'capacity data'!$B:$B,P99),"")</f>
        <v/>
      </c>
    </row>
    <row r="100" spans="15:23" ht="16" x14ac:dyDescent="0.2">
      <c r="O100" s="23" t="s">
        <v>24</v>
      </c>
      <c r="P100" t="s">
        <v>183</v>
      </c>
      <c r="Q100" s="222" t="str">
        <f>IFERROR(SUM((SUMIFS('capacity data'!$G:$G,'capacity data'!$E:$E,"PO",'capacity data'!$B:$B,P100))-SUMIFS('capacity data'!$H:$H,'capacity data'!$E:$E,"PO",'capacity data'!$B:$B,P100))/SUMIFS('capacity data'!$G:$G,'capacity data'!$E:$E,"PO",'capacity data'!$B:$B,P100),"")</f>
        <v/>
      </c>
      <c r="R100" s="222" t="str">
        <f>IFERROR(SUM((SUMIFS('capacity data'!$G:$G,'capacity data'!$E:$E,"PSO",'capacity data'!$B:$B,P100))-SUMIFS('capacity data'!$H:$H,'capacity data'!$E:$E,"PSO",'capacity data'!$B:$B,P100))/SUMIFS('capacity data'!$G:$G,'capacity data'!$E:$E,"PSO",'capacity data'!$B:$B,P100),"")</f>
        <v/>
      </c>
      <c r="S100" s="22" t="str">
        <f t="shared" si="1"/>
        <v/>
      </c>
      <c r="T100" s="223" t="str">
        <f>IFERROR(SUMIFS('capacity data'!$L:$L,'capacity data'!$B:$B,P100,'capacity data'!$E:$E,"PSO")/SUMIFS('capacity data'!$G:$G,'capacity data'!$E:$E,"PSO",'capacity data'!$B:$B,P100),"")</f>
        <v/>
      </c>
      <c r="U100" s="223" t="str">
        <f>IFERROR(SUMIFS('capacity data'!$L:$L,'capacity data'!$B:$B,P100,'capacity data'!$E:$E,"TPO")/SUMIFS('capacity data'!$G:$G,'capacity data'!$E:$E,"TPO",'capacity data'!$B:$B,P100),"")</f>
        <v/>
      </c>
      <c r="V100" s="400" t="str">
        <f>IFERROR(SUMIFS('capacity data'!$L:$L,'capacity data'!$B:$B,P100,'capacity data'!$E:$E,"PO")/SUMIFS('capacity data'!$G:$G,'capacity data'!$E:$E,"PO",'capacity data'!$B:$B,P100),"")</f>
        <v/>
      </c>
      <c r="W100" s="400" t="str">
        <f>IFERROR(SUM((SUMIFS('capacity data'!$G:$G,'capacity data'!$B:$B,P100))-SUMIFS('capacity data'!$H:$H,'capacity data'!$B:$B,P100))/SUMIFS('capacity data'!$G:$G,'capacity data'!$B:$B,P100),"")</f>
        <v/>
      </c>
    </row>
    <row r="101" spans="15:23" ht="16" x14ac:dyDescent="0.2">
      <c r="O101" s="23" t="s">
        <v>24</v>
      </c>
      <c r="P101" t="s">
        <v>202</v>
      </c>
      <c r="Q101" s="222" t="str">
        <f>IFERROR(SUM((SUMIFS('capacity data'!$G:$G,'capacity data'!$E:$E,"PO",'capacity data'!$B:$B,P101))-SUMIFS('capacity data'!$H:$H,'capacity data'!$E:$E,"PO",'capacity data'!$B:$B,P101))/SUMIFS('capacity data'!$G:$G,'capacity data'!$E:$E,"PO",'capacity data'!$B:$B,P101),"")</f>
        <v/>
      </c>
      <c r="R101" s="222" t="str">
        <f>IFERROR(SUM((SUMIFS('capacity data'!$G:$G,'capacity data'!$E:$E,"PSO",'capacity data'!$B:$B,P101))-SUMIFS('capacity data'!$H:$H,'capacity data'!$E:$E,"PSO",'capacity data'!$B:$B,P101))/SUMIFS('capacity data'!$G:$G,'capacity data'!$E:$E,"PSO",'capacity data'!$B:$B,P101),"")</f>
        <v/>
      </c>
      <c r="S101" s="22" t="str">
        <f t="shared" si="1"/>
        <v/>
      </c>
      <c r="T101" s="223" t="str">
        <f>IFERROR(SUMIFS('capacity data'!$L:$L,'capacity data'!$B:$B,P101,'capacity data'!$E:$E,"PSO")/SUMIFS('capacity data'!$G:$G,'capacity data'!$E:$E,"PSO",'capacity data'!$B:$B,P101),"")</f>
        <v/>
      </c>
      <c r="U101" s="223" t="str">
        <f>IFERROR(SUMIFS('capacity data'!$L:$L,'capacity data'!$B:$B,P101,'capacity data'!$E:$E,"TPO")/SUMIFS('capacity data'!$G:$G,'capacity data'!$E:$E,"TPO",'capacity data'!$B:$B,P101),"")</f>
        <v/>
      </c>
      <c r="V101" s="400" t="str">
        <f>IFERROR(SUMIFS('capacity data'!$L:$L,'capacity data'!$B:$B,P101,'capacity data'!$E:$E,"PO")/SUMIFS('capacity data'!$G:$G,'capacity data'!$E:$E,"PO",'capacity data'!$B:$B,P101),"")</f>
        <v/>
      </c>
      <c r="W101" s="400" t="str">
        <f>IFERROR(SUM((SUMIFS('capacity data'!$G:$G,'capacity data'!$B:$B,P101))-SUMIFS('capacity data'!$H:$H,'capacity data'!$B:$B,P101))/SUMIFS('capacity data'!$G:$G,'capacity data'!$B:$B,P101),"")</f>
        <v/>
      </c>
    </row>
    <row r="102" spans="15:23" ht="16" x14ac:dyDescent="0.2">
      <c r="O102" s="23" t="s">
        <v>25</v>
      </c>
      <c r="P102" t="s">
        <v>37</v>
      </c>
      <c r="Q102" s="222" t="str">
        <f>IFERROR(SUM((SUMIFS('capacity data'!$G:$G,'capacity data'!$E:$E,"PO",'capacity data'!$B:$B,P102))-SUMIFS('capacity data'!$H:$H,'capacity data'!$E:$E,"PO",'capacity data'!$B:$B,P102))/SUMIFS('capacity data'!$G:$G,'capacity data'!$E:$E,"PO",'capacity data'!$B:$B,P102),"")</f>
        <v/>
      </c>
      <c r="R102" s="222" t="str">
        <f>IFERROR(SUM((SUMIFS('capacity data'!$G:$G,'capacity data'!$E:$E,"PSO",'capacity data'!$B:$B,P102))-SUMIFS('capacity data'!$H:$H,'capacity data'!$E:$E,"PSO",'capacity data'!$B:$B,P102))/SUMIFS('capacity data'!$G:$G,'capacity data'!$E:$E,"PSO",'capacity data'!$B:$B,P102),"")</f>
        <v/>
      </c>
      <c r="S102" s="22" t="str">
        <f t="shared" si="1"/>
        <v/>
      </c>
      <c r="T102" s="223" t="str">
        <f>IFERROR(SUMIFS('capacity data'!$L:$L,'capacity data'!$B:$B,P102,'capacity data'!$E:$E,"PSO")/SUMIFS('capacity data'!$G:$G,'capacity data'!$E:$E,"PSO",'capacity data'!$B:$B,P102),"")</f>
        <v/>
      </c>
      <c r="U102" s="223" t="str">
        <f>IFERROR(SUMIFS('capacity data'!$L:$L,'capacity data'!$B:$B,P102,'capacity data'!$E:$E,"TPO")/SUMIFS('capacity data'!$G:$G,'capacity data'!$E:$E,"TPO",'capacity data'!$B:$B,P102),"")</f>
        <v/>
      </c>
      <c r="V102" s="400" t="str">
        <f>IFERROR(SUMIFS('capacity data'!$L:$L,'capacity data'!$B:$B,P102,'capacity data'!$E:$E,"PO")/SUMIFS('capacity data'!$G:$G,'capacity data'!$E:$E,"PO",'capacity data'!$B:$B,P102),"")</f>
        <v/>
      </c>
      <c r="W102" s="400" t="str">
        <f>IFERROR(SUM((SUMIFS('capacity data'!$G:$G,'capacity data'!$B:$B,P102))-SUMIFS('capacity data'!$H:$H,'capacity data'!$B:$B,P102))/SUMIFS('capacity data'!$G:$G,'capacity data'!$B:$B,P102),"")</f>
        <v/>
      </c>
    </row>
    <row r="103" spans="15:23" ht="16" x14ac:dyDescent="0.2">
      <c r="O103" s="23" t="s">
        <v>25</v>
      </c>
      <c r="P103" t="s">
        <v>59</v>
      </c>
      <c r="Q103" s="222" t="str">
        <f>IFERROR(SUM((SUMIFS('capacity data'!$G:$G,'capacity data'!$E:$E,"PO",'capacity data'!$B:$B,P103))-SUMIFS('capacity data'!$H:$H,'capacity data'!$E:$E,"PO",'capacity data'!$B:$B,P103))/SUMIFS('capacity data'!$G:$G,'capacity data'!$E:$E,"PO",'capacity data'!$B:$B,P103),"")</f>
        <v/>
      </c>
      <c r="R103" s="222" t="str">
        <f>IFERROR(SUM((SUMIFS('capacity data'!$G:$G,'capacity data'!$E:$E,"PSO",'capacity data'!$B:$B,P103))-SUMIFS('capacity data'!$H:$H,'capacity data'!$E:$E,"PSO",'capacity data'!$B:$B,P103))/SUMIFS('capacity data'!$G:$G,'capacity data'!$E:$E,"PSO",'capacity data'!$B:$B,P103),"")</f>
        <v/>
      </c>
      <c r="S103" s="22" t="str">
        <f t="shared" si="1"/>
        <v/>
      </c>
      <c r="T103" s="223" t="str">
        <f>IFERROR(SUMIFS('capacity data'!$L:$L,'capacity data'!$B:$B,P103,'capacity data'!$E:$E,"PSO")/SUMIFS('capacity data'!$G:$G,'capacity data'!$E:$E,"PSO",'capacity data'!$B:$B,P103),"")</f>
        <v/>
      </c>
      <c r="U103" s="223" t="str">
        <f>IFERROR(SUMIFS('capacity data'!$L:$L,'capacity data'!$B:$B,P103,'capacity data'!$E:$E,"TPO")/SUMIFS('capacity data'!$G:$G,'capacity data'!$E:$E,"TPO",'capacity data'!$B:$B,P103),"")</f>
        <v/>
      </c>
      <c r="V103" s="400" t="str">
        <f>IFERROR(SUMIFS('capacity data'!$L:$L,'capacity data'!$B:$B,P103,'capacity data'!$E:$E,"PO")/SUMIFS('capacity data'!$G:$G,'capacity data'!$E:$E,"PO",'capacity data'!$B:$B,P103),"")</f>
        <v/>
      </c>
      <c r="W103" s="400" t="str">
        <f>IFERROR(SUM((SUMIFS('capacity data'!$G:$G,'capacity data'!$B:$B,P103))-SUMIFS('capacity data'!$H:$H,'capacity data'!$B:$B,P103))/SUMIFS('capacity data'!$G:$G,'capacity data'!$B:$B,P103),"")</f>
        <v/>
      </c>
    </row>
    <row r="104" spans="15:23" ht="16" x14ac:dyDescent="0.2">
      <c r="O104" s="23" t="s">
        <v>25</v>
      </c>
      <c r="P104" t="s">
        <v>80</v>
      </c>
      <c r="Q104" s="222" t="str">
        <f>IFERROR(SUM((SUMIFS('capacity data'!$G:$G,'capacity data'!$E:$E,"PO",'capacity data'!$B:$B,P104))-SUMIFS('capacity data'!$H:$H,'capacity data'!$E:$E,"PO",'capacity data'!$B:$B,P104))/SUMIFS('capacity data'!$G:$G,'capacity data'!$E:$E,"PO",'capacity data'!$B:$B,P104),"")</f>
        <v/>
      </c>
      <c r="R104" s="222" t="str">
        <f>IFERROR(SUM((SUMIFS('capacity data'!$G:$G,'capacity data'!$E:$E,"PSO",'capacity data'!$B:$B,P104))-SUMIFS('capacity data'!$H:$H,'capacity data'!$E:$E,"PSO",'capacity data'!$B:$B,P104))/SUMIFS('capacity data'!$G:$G,'capacity data'!$E:$E,"PSO",'capacity data'!$B:$B,P104),"")</f>
        <v/>
      </c>
      <c r="S104" s="22" t="str">
        <f t="shared" si="1"/>
        <v/>
      </c>
      <c r="T104" s="223" t="str">
        <f>IFERROR(SUMIFS('capacity data'!$L:$L,'capacity data'!$B:$B,P104,'capacity data'!$E:$E,"PSO")/SUMIFS('capacity data'!$G:$G,'capacity data'!$E:$E,"PSO",'capacity data'!$B:$B,P104),"")</f>
        <v/>
      </c>
      <c r="U104" s="223" t="str">
        <f>IFERROR(SUMIFS('capacity data'!$L:$L,'capacity data'!$B:$B,P104,'capacity data'!$E:$E,"TPO")/SUMIFS('capacity data'!$G:$G,'capacity data'!$E:$E,"TPO",'capacity data'!$B:$B,P104),"")</f>
        <v/>
      </c>
      <c r="V104" s="400" t="str">
        <f>IFERROR(SUMIFS('capacity data'!$L:$L,'capacity data'!$B:$B,P104,'capacity data'!$E:$E,"PO")/SUMIFS('capacity data'!$G:$G,'capacity data'!$E:$E,"PO",'capacity data'!$B:$B,P104),"")</f>
        <v/>
      </c>
      <c r="W104" s="400" t="str">
        <f>IFERROR(SUM((SUMIFS('capacity data'!$G:$G,'capacity data'!$B:$B,P104))-SUMIFS('capacity data'!$H:$H,'capacity data'!$B:$B,P104))/SUMIFS('capacity data'!$G:$G,'capacity data'!$B:$B,P104),"")</f>
        <v/>
      </c>
    </row>
    <row r="105" spans="15:23" ht="16" x14ac:dyDescent="0.2">
      <c r="O105" s="23" t="s">
        <v>25</v>
      </c>
      <c r="P105" t="s">
        <v>101</v>
      </c>
      <c r="Q105" s="222" t="str">
        <f>IFERROR(SUM((SUMIFS('capacity data'!$G:$G,'capacity data'!$E:$E,"PO",'capacity data'!$B:$B,P105))-SUMIFS('capacity data'!$H:$H,'capacity data'!$E:$E,"PO",'capacity data'!$B:$B,P105))/SUMIFS('capacity data'!$G:$G,'capacity data'!$E:$E,"PO",'capacity data'!$B:$B,P105),"")</f>
        <v/>
      </c>
      <c r="R105" s="222" t="str">
        <f>IFERROR(SUM((SUMIFS('capacity data'!$G:$G,'capacity data'!$E:$E,"PSO",'capacity data'!$B:$B,P105))-SUMIFS('capacity data'!$H:$H,'capacity data'!$E:$E,"PSO",'capacity data'!$B:$B,P105))/SUMIFS('capacity data'!$G:$G,'capacity data'!$E:$E,"PSO",'capacity data'!$B:$B,P105),"")</f>
        <v/>
      </c>
      <c r="S105" s="22" t="str">
        <f t="shared" si="1"/>
        <v/>
      </c>
      <c r="T105" s="223" t="str">
        <f>IFERROR(SUMIFS('capacity data'!$L:$L,'capacity data'!$B:$B,P105,'capacity data'!$E:$E,"PSO")/SUMIFS('capacity data'!$G:$G,'capacity data'!$E:$E,"PSO",'capacity data'!$B:$B,P105),"")</f>
        <v/>
      </c>
      <c r="U105" s="223" t="str">
        <f>IFERROR(SUMIFS('capacity data'!$L:$L,'capacity data'!$B:$B,P105,'capacity data'!$E:$E,"TPO")/SUMIFS('capacity data'!$G:$G,'capacity data'!$E:$E,"TPO",'capacity data'!$B:$B,P105),"")</f>
        <v/>
      </c>
      <c r="V105" s="400" t="str">
        <f>IFERROR(SUMIFS('capacity data'!$L:$L,'capacity data'!$B:$B,P105,'capacity data'!$E:$E,"PO")/SUMIFS('capacity data'!$G:$G,'capacity data'!$E:$E,"PO",'capacity data'!$B:$B,P105),"")</f>
        <v/>
      </c>
      <c r="W105" s="400" t="str">
        <f>IFERROR(SUM((SUMIFS('capacity data'!$G:$G,'capacity data'!$B:$B,P105))-SUMIFS('capacity data'!$H:$H,'capacity data'!$B:$B,P105))/SUMIFS('capacity data'!$G:$G,'capacity data'!$B:$B,P105),"")</f>
        <v/>
      </c>
    </row>
    <row r="106" spans="15:23" ht="16" x14ac:dyDescent="0.2">
      <c r="O106" s="23" t="s">
        <v>25</v>
      </c>
      <c r="P106" t="s">
        <v>123</v>
      </c>
      <c r="Q106" s="222" t="str">
        <f>IFERROR(SUM((SUMIFS('capacity data'!$G:$G,'capacity data'!$E:$E,"PO",'capacity data'!$B:$B,P106))-SUMIFS('capacity data'!$H:$H,'capacity data'!$E:$E,"PO",'capacity data'!$B:$B,P106))/SUMIFS('capacity data'!$G:$G,'capacity data'!$E:$E,"PO",'capacity data'!$B:$B,P106),"")</f>
        <v/>
      </c>
      <c r="R106" s="222" t="str">
        <f>IFERROR(SUM((SUMIFS('capacity data'!$G:$G,'capacity data'!$E:$E,"PSO",'capacity data'!$B:$B,P106))-SUMIFS('capacity data'!$H:$H,'capacity data'!$E:$E,"PSO",'capacity data'!$B:$B,P106))/SUMIFS('capacity data'!$G:$G,'capacity data'!$E:$E,"PSO",'capacity data'!$B:$B,P106),"")</f>
        <v/>
      </c>
      <c r="S106" s="22" t="str">
        <f t="shared" si="1"/>
        <v/>
      </c>
      <c r="T106" s="223" t="str">
        <f>IFERROR(SUMIFS('capacity data'!$L:$L,'capacity data'!$B:$B,P106,'capacity data'!$E:$E,"PSO")/SUMIFS('capacity data'!$G:$G,'capacity data'!$E:$E,"PSO",'capacity data'!$B:$B,P106),"")</f>
        <v/>
      </c>
      <c r="U106" s="223" t="str">
        <f>IFERROR(SUMIFS('capacity data'!$L:$L,'capacity data'!$B:$B,P106,'capacity data'!$E:$E,"TPO")/SUMIFS('capacity data'!$G:$G,'capacity data'!$E:$E,"TPO",'capacity data'!$B:$B,P106),"")</f>
        <v/>
      </c>
      <c r="V106" s="400" t="str">
        <f>IFERROR(SUMIFS('capacity data'!$L:$L,'capacity data'!$B:$B,P106,'capacity data'!$E:$E,"PO")/SUMIFS('capacity data'!$G:$G,'capacity data'!$E:$E,"PO",'capacity data'!$B:$B,P106),"")</f>
        <v/>
      </c>
      <c r="W106" s="400" t="str">
        <f>IFERROR(SUM((SUMIFS('capacity data'!$G:$G,'capacity data'!$B:$B,P106))-SUMIFS('capacity data'!$H:$H,'capacity data'!$B:$B,P106))/SUMIFS('capacity data'!$G:$G,'capacity data'!$B:$B,P106),"")</f>
        <v/>
      </c>
    </row>
    <row r="107" spans="15:23" ht="16" x14ac:dyDescent="0.2">
      <c r="O107" s="23" t="s">
        <v>25</v>
      </c>
      <c r="P107" t="s">
        <v>144</v>
      </c>
      <c r="Q107" s="222" t="str">
        <f>IFERROR(SUM((SUMIFS('capacity data'!$G:$G,'capacity data'!$E:$E,"PO",'capacity data'!$B:$B,P107))-SUMIFS('capacity data'!$H:$H,'capacity data'!$E:$E,"PO",'capacity data'!$B:$B,P107))/SUMIFS('capacity data'!$G:$G,'capacity data'!$E:$E,"PO",'capacity data'!$B:$B,P107),"")</f>
        <v/>
      </c>
      <c r="R107" s="222" t="str">
        <f>IFERROR(SUM((SUMIFS('capacity data'!$G:$G,'capacity data'!$E:$E,"PSO",'capacity data'!$B:$B,P107))-SUMIFS('capacity data'!$H:$H,'capacity data'!$E:$E,"PSO",'capacity data'!$B:$B,P107))/SUMIFS('capacity data'!$G:$G,'capacity data'!$E:$E,"PSO",'capacity data'!$B:$B,P107),"")</f>
        <v/>
      </c>
      <c r="S107" s="22" t="str">
        <f t="shared" si="1"/>
        <v/>
      </c>
      <c r="T107" s="223" t="str">
        <f>IFERROR(SUMIFS('capacity data'!$L:$L,'capacity data'!$B:$B,P107,'capacity data'!$E:$E,"PSO")/SUMIFS('capacity data'!$G:$G,'capacity data'!$E:$E,"PSO",'capacity data'!$B:$B,P107),"")</f>
        <v/>
      </c>
      <c r="U107" s="223" t="str">
        <f>IFERROR(SUMIFS('capacity data'!$L:$L,'capacity data'!$B:$B,P107,'capacity data'!$E:$E,"TPO")/SUMIFS('capacity data'!$G:$G,'capacity data'!$E:$E,"TPO",'capacity data'!$B:$B,P107),"")</f>
        <v/>
      </c>
      <c r="V107" s="400" t="str">
        <f>IFERROR(SUMIFS('capacity data'!$L:$L,'capacity data'!$B:$B,P107,'capacity data'!$E:$E,"PO")/SUMIFS('capacity data'!$G:$G,'capacity data'!$E:$E,"PO",'capacity data'!$B:$B,P107),"")</f>
        <v/>
      </c>
      <c r="W107" s="400" t="str">
        <f>IFERROR(SUM((SUMIFS('capacity data'!$G:$G,'capacity data'!$B:$B,P107))-SUMIFS('capacity data'!$H:$H,'capacity data'!$B:$B,P107))/SUMIFS('capacity data'!$G:$G,'capacity data'!$B:$B,P107),"")</f>
        <v/>
      </c>
    </row>
    <row r="108" spans="15:23" ht="16" x14ac:dyDescent="0.2">
      <c r="O108" s="23" t="s">
        <v>25</v>
      </c>
      <c r="P108" t="s">
        <v>165</v>
      </c>
      <c r="Q108" s="222" t="str">
        <f>IFERROR(SUM((SUMIFS('capacity data'!$G:$G,'capacity data'!$E:$E,"PO",'capacity data'!$B:$B,P108))-SUMIFS('capacity data'!$H:$H,'capacity data'!$E:$E,"PO",'capacity data'!$B:$B,P108))/SUMIFS('capacity data'!$G:$G,'capacity data'!$E:$E,"PO",'capacity data'!$B:$B,P108),"")</f>
        <v/>
      </c>
      <c r="R108" s="222" t="str">
        <f>IFERROR(SUM((SUMIFS('capacity data'!$G:$G,'capacity data'!$E:$E,"PSO",'capacity data'!$B:$B,P108))-SUMIFS('capacity data'!$H:$H,'capacity data'!$E:$E,"PSO",'capacity data'!$B:$B,P108))/SUMIFS('capacity data'!$G:$G,'capacity data'!$E:$E,"PSO",'capacity data'!$B:$B,P108),"")</f>
        <v/>
      </c>
      <c r="S108" s="22" t="str">
        <f t="shared" si="1"/>
        <v/>
      </c>
      <c r="T108" s="223" t="str">
        <f>IFERROR(SUMIFS('capacity data'!$L:$L,'capacity data'!$B:$B,P108,'capacity data'!$E:$E,"PSO")/SUMIFS('capacity data'!$G:$G,'capacity data'!$E:$E,"PSO",'capacity data'!$B:$B,P108),"")</f>
        <v/>
      </c>
      <c r="U108" s="223" t="str">
        <f>IFERROR(SUMIFS('capacity data'!$L:$L,'capacity data'!$B:$B,P108,'capacity data'!$E:$E,"TPO")/SUMIFS('capacity data'!$G:$G,'capacity data'!$E:$E,"TPO",'capacity data'!$B:$B,P108),"")</f>
        <v/>
      </c>
      <c r="V108" s="400" t="str">
        <f>IFERROR(SUMIFS('capacity data'!$L:$L,'capacity data'!$B:$B,P108,'capacity data'!$E:$E,"PO")/SUMIFS('capacity data'!$G:$G,'capacity data'!$E:$E,"PO",'capacity data'!$B:$B,P108),"")</f>
        <v/>
      </c>
      <c r="W108" s="400" t="str">
        <f>IFERROR(SUM((SUMIFS('capacity data'!$G:$G,'capacity data'!$B:$B,P108))-SUMIFS('capacity data'!$H:$H,'capacity data'!$B:$B,P108))/SUMIFS('capacity data'!$G:$G,'capacity data'!$B:$B,P108),"")</f>
        <v/>
      </c>
    </row>
    <row r="109" spans="15:23" ht="16" x14ac:dyDescent="0.2">
      <c r="O109" s="23" t="s">
        <v>25</v>
      </c>
      <c r="P109" t="s">
        <v>184</v>
      </c>
      <c r="Q109" s="222" t="str">
        <f>IFERROR(SUM((SUMIFS('capacity data'!$G:$G,'capacity data'!$E:$E,"PO",'capacity data'!$B:$B,P109))-SUMIFS('capacity data'!$H:$H,'capacity data'!$E:$E,"PO",'capacity data'!$B:$B,P109))/SUMIFS('capacity data'!$G:$G,'capacity data'!$E:$E,"PO",'capacity data'!$B:$B,P109),"")</f>
        <v/>
      </c>
      <c r="R109" s="222" t="str">
        <f>IFERROR(SUM((SUMIFS('capacity data'!$G:$G,'capacity data'!$E:$E,"PSO",'capacity data'!$B:$B,P109))-SUMIFS('capacity data'!$H:$H,'capacity data'!$E:$E,"PSO",'capacity data'!$B:$B,P109))/SUMIFS('capacity data'!$G:$G,'capacity data'!$E:$E,"PSO",'capacity data'!$B:$B,P109),"")</f>
        <v/>
      </c>
      <c r="S109" s="22" t="str">
        <f t="shared" si="1"/>
        <v/>
      </c>
      <c r="T109" s="223" t="str">
        <f>IFERROR(SUMIFS('capacity data'!$L:$L,'capacity data'!$B:$B,P109,'capacity data'!$E:$E,"PSO")/SUMIFS('capacity data'!$G:$G,'capacity data'!$E:$E,"PSO",'capacity data'!$B:$B,P109),"")</f>
        <v/>
      </c>
      <c r="U109" s="223" t="str">
        <f>IFERROR(SUMIFS('capacity data'!$L:$L,'capacity data'!$B:$B,P109,'capacity data'!$E:$E,"TPO")/SUMIFS('capacity data'!$G:$G,'capacity data'!$E:$E,"TPO",'capacity data'!$B:$B,P109),"")</f>
        <v/>
      </c>
      <c r="V109" s="400" t="str">
        <f>IFERROR(SUMIFS('capacity data'!$L:$L,'capacity data'!$B:$B,P109,'capacity data'!$E:$E,"PO")/SUMIFS('capacity data'!$G:$G,'capacity data'!$E:$E,"PO",'capacity data'!$B:$B,P109),"")</f>
        <v/>
      </c>
      <c r="W109" s="400" t="str">
        <f>IFERROR(SUM((SUMIFS('capacity data'!$G:$G,'capacity data'!$B:$B,P109))-SUMIFS('capacity data'!$H:$H,'capacity data'!$B:$B,P109))/SUMIFS('capacity data'!$G:$G,'capacity data'!$B:$B,P109),"")</f>
        <v/>
      </c>
    </row>
    <row r="110" spans="15:23" ht="16" x14ac:dyDescent="0.2">
      <c r="O110" s="23" t="s">
        <v>25</v>
      </c>
      <c r="P110" t="s">
        <v>203</v>
      </c>
      <c r="Q110" s="222" t="str">
        <f>IFERROR(SUM((SUMIFS('capacity data'!$G:$G,'capacity data'!$E:$E,"PO",'capacity data'!$B:$B,P110))-SUMIFS('capacity data'!$H:$H,'capacity data'!$E:$E,"PO",'capacity data'!$B:$B,P110))/SUMIFS('capacity data'!$G:$G,'capacity data'!$E:$E,"PO",'capacity data'!$B:$B,P110),"")</f>
        <v/>
      </c>
      <c r="R110" s="222" t="str">
        <f>IFERROR(SUM((SUMIFS('capacity data'!$G:$G,'capacity data'!$E:$E,"PSO",'capacity data'!$B:$B,P110))-SUMIFS('capacity data'!$H:$H,'capacity data'!$E:$E,"PSO",'capacity data'!$B:$B,P110))/SUMIFS('capacity data'!$G:$G,'capacity data'!$E:$E,"PSO",'capacity data'!$B:$B,P110),"")</f>
        <v/>
      </c>
      <c r="S110" s="22" t="str">
        <f t="shared" si="1"/>
        <v/>
      </c>
      <c r="T110" s="223" t="str">
        <f>IFERROR(SUMIFS('capacity data'!$L:$L,'capacity data'!$B:$B,P110,'capacity data'!$E:$E,"PSO")/SUMIFS('capacity data'!$G:$G,'capacity data'!$E:$E,"PSO",'capacity data'!$B:$B,P110),"")</f>
        <v/>
      </c>
      <c r="U110" s="223" t="str">
        <f>IFERROR(SUMIFS('capacity data'!$L:$L,'capacity data'!$B:$B,P110,'capacity data'!$E:$E,"TPO")/SUMIFS('capacity data'!$G:$G,'capacity data'!$E:$E,"TPO",'capacity data'!$B:$B,P110),"")</f>
        <v/>
      </c>
      <c r="V110" s="400" t="str">
        <f>IFERROR(SUMIFS('capacity data'!$L:$L,'capacity data'!$B:$B,P110,'capacity data'!$E:$E,"PO")/SUMIFS('capacity data'!$G:$G,'capacity data'!$E:$E,"PO",'capacity data'!$B:$B,P110),"")</f>
        <v/>
      </c>
      <c r="W110" s="400" t="str">
        <f>IFERROR(SUM((SUMIFS('capacity data'!$G:$G,'capacity data'!$B:$B,P110))-SUMIFS('capacity data'!$H:$H,'capacity data'!$B:$B,P110))/SUMIFS('capacity data'!$G:$G,'capacity data'!$B:$B,P110),"")</f>
        <v/>
      </c>
    </row>
    <row r="111" spans="15:23" ht="16" x14ac:dyDescent="0.2">
      <c r="O111" s="23" t="s">
        <v>25</v>
      </c>
      <c r="P111" t="s">
        <v>220</v>
      </c>
      <c r="Q111" s="222" t="str">
        <f>IFERROR(SUM((SUMIFS('capacity data'!$G:$G,'capacity data'!$E:$E,"PO",'capacity data'!$B:$B,P111))-SUMIFS('capacity data'!$H:$H,'capacity data'!$E:$E,"PO",'capacity data'!$B:$B,P111))/SUMIFS('capacity data'!$G:$G,'capacity data'!$E:$E,"PO",'capacity data'!$B:$B,P111),"")</f>
        <v/>
      </c>
      <c r="R111" s="222" t="str">
        <f>IFERROR(SUM((SUMIFS('capacity data'!$G:$G,'capacity data'!$E:$E,"PSO",'capacity data'!$B:$B,P111))-SUMIFS('capacity data'!$H:$H,'capacity data'!$E:$E,"PSO",'capacity data'!$B:$B,P111))/SUMIFS('capacity data'!$G:$G,'capacity data'!$E:$E,"PSO",'capacity data'!$B:$B,P111),"")</f>
        <v/>
      </c>
      <c r="S111" s="22" t="str">
        <f t="shared" si="1"/>
        <v/>
      </c>
      <c r="T111" s="223" t="str">
        <f>IFERROR(SUMIFS('capacity data'!$L:$L,'capacity data'!$B:$B,P111,'capacity data'!$E:$E,"PSO")/SUMIFS('capacity data'!$G:$G,'capacity data'!$E:$E,"PSO",'capacity data'!$B:$B,P111),"")</f>
        <v/>
      </c>
      <c r="U111" s="223" t="str">
        <f>IFERROR(SUMIFS('capacity data'!$L:$L,'capacity data'!$B:$B,P111,'capacity data'!$E:$E,"TPO")/SUMIFS('capacity data'!$G:$G,'capacity data'!$E:$E,"TPO",'capacity data'!$B:$B,P111),"")</f>
        <v/>
      </c>
      <c r="V111" s="400" t="str">
        <f>IFERROR(SUMIFS('capacity data'!$L:$L,'capacity data'!$B:$B,P111,'capacity data'!$E:$E,"PO")/SUMIFS('capacity data'!$G:$G,'capacity data'!$E:$E,"PO",'capacity data'!$B:$B,P111),"")</f>
        <v/>
      </c>
      <c r="W111" s="400" t="str">
        <f>IFERROR(SUM((SUMIFS('capacity data'!$G:$G,'capacity data'!$B:$B,P111))-SUMIFS('capacity data'!$H:$H,'capacity data'!$B:$B,P111))/SUMIFS('capacity data'!$G:$G,'capacity data'!$B:$B,P111),"")</f>
        <v/>
      </c>
    </row>
    <row r="112" spans="15:23" ht="16" x14ac:dyDescent="0.2">
      <c r="O112" s="23" t="s">
        <v>25</v>
      </c>
      <c r="P112" t="s">
        <v>237</v>
      </c>
      <c r="Q112" s="222" t="str">
        <f>IFERROR(SUM((SUMIFS('capacity data'!$G:$G,'capacity data'!$E:$E,"PO",'capacity data'!$B:$B,P112))-SUMIFS('capacity data'!$H:$H,'capacity data'!$E:$E,"PO",'capacity data'!$B:$B,P112))/SUMIFS('capacity data'!$G:$G,'capacity data'!$E:$E,"PO",'capacity data'!$B:$B,P112),"")</f>
        <v/>
      </c>
      <c r="R112" s="222" t="str">
        <f>IFERROR(SUM((SUMIFS('capacity data'!$G:$G,'capacity data'!$E:$E,"PSO",'capacity data'!$B:$B,P112))-SUMIFS('capacity data'!$H:$H,'capacity data'!$E:$E,"PSO",'capacity data'!$B:$B,P112))/SUMIFS('capacity data'!$G:$G,'capacity data'!$E:$E,"PSO",'capacity data'!$B:$B,P112),"")</f>
        <v/>
      </c>
      <c r="S112" s="22" t="str">
        <f t="shared" si="1"/>
        <v/>
      </c>
      <c r="T112" s="223" t="str">
        <f>IFERROR(SUMIFS('capacity data'!$L:$L,'capacity data'!$B:$B,P112,'capacity data'!$E:$E,"PSO")/SUMIFS('capacity data'!$G:$G,'capacity data'!$E:$E,"PSO",'capacity data'!$B:$B,P112),"")</f>
        <v/>
      </c>
      <c r="U112" s="223" t="str">
        <f>IFERROR(SUMIFS('capacity data'!$L:$L,'capacity data'!$B:$B,P112,'capacity data'!$E:$E,"TPO")/SUMIFS('capacity data'!$G:$G,'capacity data'!$E:$E,"TPO",'capacity data'!$B:$B,P112),"")</f>
        <v/>
      </c>
      <c r="V112" s="400" t="str">
        <f>IFERROR(SUMIFS('capacity data'!$L:$L,'capacity data'!$B:$B,P112,'capacity data'!$E:$E,"PO")/SUMIFS('capacity data'!$G:$G,'capacity data'!$E:$E,"PO",'capacity data'!$B:$B,P112),"")</f>
        <v/>
      </c>
      <c r="W112" s="400" t="str">
        <f>IFERROR(SUM((SUMIFS('capacity data'!$G:$G,'capacity data'!$B:$B,P112))-SUMIFS('capacity data'!$H:$H,'capacity data'!$B:$B,P112))/SUMIFS('capacity data'!$G:$G,'capacity data'!$B:$B,P112),"")</f>
        <v/>
      </c>
    </row>
    <row r="113" spans="15:23" ht="16" x14ac:dyDescent="0.2">
      <c r="O113" s="23" t="s">
        <v>25</v>
      </c>
      <c r="P113" t="s">
        <v>251</v>
      </c>
      <c r="Q113" s="222" t="str">
        <f>IFERROR(SUM((SUMIFS('capacity data'!$G:$G,'capacity data'!$E:$E,"PO",'capacity data'!$B:$B,P113))-SUMIFS('capacity data'!$H:$H,'capacity data'!$E:$E,"PO",'capacity data'!$B:$B,P113))/SUMIFS('capacity data'!$G:$G,'capacity data'!$E:$E,"PO",'capacity data'!$B:$B,P113),"")</f>
        <v/>
      </c>
      <c r="R113" s="222" t="str">
        <f>IFERROR(SUM((SUMIFS('capacity data'!$G:$G,'capacity data'!$E:$E,"PSO",'capacity data'!$B:$B,P113))-SUMIFS('capacity data'!$H:$H,'capacity data'!$E:$E,"PSO",'capacity data'!$B:$B,P113))/SUMIFS('capacity data'!$G:$G,'capacity data'!$E:$E,"PSO",'capacity data'!$B:$B,P113),"")</f>
        <v/>
      </c>
      <c r="S113" s="22" t="str">
        <f t="shared" si="1"/>
        <v/>
      </c>
      <c r="T113" s="223" t="str">
        <f>IFERROR(SUMIFS('capacity data'!$L:$L,'capacity data'!$B:$B,P113,'capacity data'!$E:$E,"PSO")/SUMIFS('capacity data'!$G:$G,'capacity data'!$E:$E,"PSO",'capacity data'!$B:$B,P113),"")</f>
        <v/>
      </c>
      <c r="U113" s="223" t="str">
        <f>IFERROR(SUMIFS('capacity data'!$L:$L,'capacity data'!$B:$B,P113,'capacity data'!$E:$E,"TPO")/SUMIFS('capacity data'!$G:$G,'capacity data'!$E:$E,"TPO",'capacity data'!$B:$B,P113),"")</f>
        <v/>
      </c>
      <c r="V113" s="400" t="str">
        <f>IFERROR(SUMIFS('capacity data'!$L:$L,'capacity data'!$B:$B,P113,'capacity data'!$E:$E,"PO")/SUMIFS('capacity data'!$G:$G,'capacity data'!$E:$E,"PO",'capacity data'!$B:$B,P113),"")</f>
        <v/>
      </c>
      <c r="W113" s="400" t="str">
        <f>IFERROR(SUM((SUMIFS('capacity data'!$G:$G,'capacity data'!$B:$B,P113))-SUMIFS('capacity data'!$H:$H,'capacity data'!$B:$B,P113))/SUMIFS('capacity data'!$G:$G,'capacity data'!$B:$B,P113),"")</f>
        <v/>
      </c>
    </row>
    <row r="114" spans="15:23" ht="16" x14ac:dyDescent="0.2">
      <c r="O114" s="23" t="s">
        <v>26</v>
      </c>
      <c r="P114" t="s">
        <v>38</v>
      </c>
      <c r="Q114" s="222" t="str">
        <f>IFERROR(SUM((SUMIFS('capacity data'!$G:$G,'capacity data'!$E:$E,"PO",'capacity data'!$B:$B,P114))-SUMIFS('capacity data'!$H:$H,'capacity data'!$E:$E,"PO",'capacity data'!$B:$B,P114))/SUMIFS('capacity data'!$G:$G,'capacity data'!$E:$E,"PO",'capacity data'!$B:$B,P114),"")</f>
        <v/>
      </c>
      <c r="R114" s="222" t="str">
        <f>IFERROR(SUM((SUMIFS('capacity data'!$G:$G,'capacity data'!$E:$E,"PSO",'capacity data'!$B:$B,P114))-SUMIFS('capacity data'!$H:$H,'capacity data'!$E:$E,"PSO",'capacity data'!$B:$B,P114))/SUMIFS('capacity data'!$G:$G,'capacity data'!$E:$E,"PSO",'capacity data'!$B:$B,P114),"")</f>
        <v/>
      </c>
      <c r="S114" s="22" t="str">
        <f t="shared" si="1"/>
        <v/>
      </c>
      <c r="T114" s="223" t="str">
        <f>IFERROR(SUMIFS('capacity data'!$L:$L,'capacity data'!$B:$B,P114,'capacity data'!$E:$E,"PSO")/SUMIFS('capacity data'!$G:$G,'capacity data'!$E:$E,"PSO",'capacity data'!$B:$B,P114),"")</f>
        <v/>
      </c>
      <c r="U114" s="223" t="str">
        <f>IFERROR(SUMIFS('capacity data'!$L:$L,'capacity data'!$B:$B,P114,'capacity data'!$E:$E,"TPO")/SUMIFS('capacity data'!$G:$G,'capacity data'!$E:$E,"TPO",'capacity data'!$B:$B,P114),"")</f>
        <v/>
      </c>
      <c r="V114" s="400" t="str">
        <f>IFERROR(SUMIFS('capacity data'!$L:$L,'capacity data'!$B:$B,P114,'capacity data'!$E:$E,"PO")/SUMIFS('capacity data'!$G:$G,'capacity data'!$E:$E,"PO",'capacity data'!$B:$B,P114),"")</f>
        <v/>
      </c>
      <c r="W114" s="400" t="str">
        <f>IFERROR(SUM((SUMIFS('capacity data'!$G:$G,'capacity data'!$B:$B,P114))-SUMIFS('capacity data'!$H:$H,'capacity data'!$B:$B,P114))/SUMIFS('capacity data'!$G:$G,'capacity data'!$B:$B,P114),"")</f>
        <v/>
      </c>
    </row>
    <row r="115" spans="15:23" ht="16" x14ac:dyDescent="0.2">
      <c r="O115" s="23" t="s">
        <v>26</v>
      </c>
      <c r="P115" t="s">
        <v>60</v>
      </c>
      <c r="Q115" s="222" t="str">
        <f>IFERROR(SUM((SUMIFS('capacity data'!$G:$G,'capacity data'!$E:$E,"PO",'capacity data'!$B:$B,P115))-SUMIFS('capacity data'!$H:$H,'capacity data'!$E:$E,"PO",'capacity data'!$B:$B,P115))/SUMIFS('capacity data'!$G:$G,'capacity data'!$E:$E,"PO",'capacity data'!$B:$B,P115),"")</f>
        <v/>
      </c>
      <c r="R115" s="222" t="str">
        <f>IFERROR(SUM((SUMIFS('capacity data'!$G:$G,'capacity data'!$E:$E,"PSO",'capacity data'!$B:$B,P115))-SUMIFS('capacity data'!$H:$H,'capacity data'!$E:$E,"PSO",'capacity data'!$B:$B,P115))/SUMIFS('capacity data'!$G:$G,'capacity data'!$E:$E,"PSO",'capacity data'!$B:$B,P115),"")</f>
        <v/>
      </c>
      <c r="S115" s="22" t="str">
        <f t="shared" si="1"/>
        <v/>
      </c>
      <c r="T115" s="223" t="str">
        <f>IFERROR(SUMIFS('capacity data'!$L:$L,'capacity data'!$B:$B,P115,'capacity data'!$E:$E,"PSO")/SUMIFS('capacity data'!$G:$G,'capacity data'!$E:$E,"PSO",'capacity data'!$B:$B,P115),"")</f>
        <v/>
      </c>
      <c r="U115" s="223" t="str">
        <f>IFERROR(SUMIFS('capacity data'!$L:$L,'capacity data'!$B:$B,P115,'capacity data'!$E:$E,"TPO")/SUMIFS('capacity data'!$G:$G,'capacity data'!$E:$E,"TPO",'capacity data'!$B:$B,P115),"")</f>
        <v/>
      </c>
      <c r="V115" s="400" t="str">
        <f>IFERROR(SUMIFS('capacity data'!$L:$L,'capacity data'!$B:$B,P115,'capacity data'!$E:$E,"PO")/SUMIFS('capacity data'!$G:$G,'capacity data'!$E:$E,"PO",'capacity data'!$B:$B,P115),"")</f>
        <v/>
      </c>
      <c r="W115" s="400" t="str">
        <f>IFERROR(SUM((SUMIFS('capacity data'!$G:$G,'capacity data'!$B:$B,P115))-SUMIFS('capacity data'!$H:$H,'capacity data'!$B:$B,P115))/SUMIFS('capacity data'!$G:$G,'capacity data'!$B:$B,P115),"")</f>
        <v/>
      </c>
    </row>
    <row r="116" spans="15:23" ht="16" x14ac:dyDescent="0.2">
      <c r="O116" s="23" t="s">
        <v>26</v>
      </c>
      <c r="P116" t="s">
        <v>81</v>
      </c>
      <c r="Q116" s="222" t="str">
        <f>IFERROR(SUM((SUMIFS('capacity data'!$G:$G,'capacity data'!$E:$E,"PO",'capacity data'!$B:$B,P116))-SUMIFS('capacity data'!$H:$H,'capacity data'!$E:$E,"PO",'capacity data'!$B:$B,P116))/SUMIFS('capacity data'!$G:$G,'capacity data'!$E:$E,"PO",'capacity data'!$B:$B,P116),"")</f>
        <v/>
      </c>
      <c r="R116" s="222" t="str">
        <f>IFERROR(SUM((SUMIFS('capacity data'!$G:$G,'capacity data'!$E:$E,"PSO",'capacity data'!$B:$B,P116))-SUMIFS('capacity data'!$H:$H,'capacity data'!$E:$E,"PSO",'capacity data'!$B:$B,P116))/SUMIFS('capacity data'!$G:$G,'capacity data'!$E:$E,"PSO",'capacity data'!$B:$B,P116),"")</f>
        <v/>
      </c>
      <c r="S116" s="22" t="str">
        <f t="shared" si="1"/>
        <v/>
      </c>
      <c r="T116" s="223" t="str">
        <f>IFERROR(SUMIFS('capacity data'!$L:$L,'capacity data'!$B:$B,P116,'capacity data'!$E:$E,"PSO")/SUMIFS('capacity data'!$G:$G,'capacity data'!$E:$E,"PSO",'capacity data'!$B:$B,P116),"")</f>
        <v/>
      </c>
      <c r="U116" s="223" t="str">
        <f>IFERROR(SUMIFS('capacity data'!$L:$L,'capacity data'!$B:$B,P116,'capacity data'!$E:$E,"TPO")/SUMIFS('capacity data'!$G:$G,'capacity data'!$E:$E,"TPO",'capacity data'!$B:$B,P116),"")</f>
        <v/>
      </c>
      <c r="V116" s="400" t="str">
        <f>IFERROR(SUMIFS('capacity data'!$L:$L,'capacity data'!$B:$B,P116,'capacity data'!$E:$E,"PO")/SUMIFS('capacity data'!$G:$G,'capacity data'!$E:$E,"PO",'capacity data'!$B:$B,P116),"")</f>
        <v/>
      </c>
      <c r="W116" s="400" t="str">
        <f>IFERROR(SUM((SUMIFS('capacity data'!$G:$G,'capacity data'!$B:$B,P116))-SUMIFS('capacity data'!$H:$H,'capacity data'!$B:$B,P116))/SUMIFS('capacity data'!$G:$G,'capacity data'!$B:$B,P116),"")</f>
        <v/>
      </c>
    </row>
    <row r="117" spans="15:23" ht="16" x14ac:dyDescent="0.2">
      <c r="O117" s="23" t="s">
        <v>26</v>
      </c>
      <c r="P117" t="s">
        <v>102</v>
      </c>
      <c r="Q117" s="222" t="str">
        <f>IFERROR(SUM((SUMIFS('capacity data'!$G:$G,'capacity data'!$E:$E,"PO",'capacity data'!$B:$B,P117))-SUMIFS('capacity data'!$H:$H,'capacity data'!$E:$E,"PO",'capacity data'!$B:$B,P117))/SUMIFS('capacity data'!$G:$G,'capacity data'!$E:$E,"PO",'capacity data'!$B:$B,P117),"")</f>
        <v/>
      </c>
      <c r="R117" s="222" t="str">
        <f>IFERROR(SUM((SUMIFS('capacity data'!$G:$G,'capacity data'!$E:$E,"PSO",'capacity data'!$B:$B,P117))-SUMIFS('capacity data'!$H:$H,'capacity data'!$E:$E,"PSO",'capacity data'!$B:$B,P117))/SUMIFS('capacity data'!$G:$G,'capacity data'!$E:$E,"PSO",'capacity data'!$B:$B,P117),"")</f>
        <v/>
      </c>
      <c r="S117" s="22" t="str">
        <f t="shared" si="1"/>
        <v/>
      </c>
      <c r="T117" s="223" t="str">
        <f>IFERROR(SUMIFS('capacity data'!$L:$L,'capacity data'!$B:$B,P117,'capacity data'!$E:$E,"PSO")/SUMIFS('capacity data'!$G:$G,'capacity data'!$E:$E,"PSO",'capacity data'!$B:$B,P117),"")</f>
        <v/>
      </c>
      <c r="U117" s="223" t="str">
        <f>IFERROR(SUMIFS('capacity data'!$L:$L,'capacity data'!$B:$B,P117,'capacity data'!$E:$E,"TPO")/SUMIFS('capacity data'!$G:$G,'capacity data'!$E:$E,"TPO",'capacity data'!$B:$B,P117),"")</f>
        <v/>
      </c>
      <c r="V117" s="400" t="str">
        <f>IFERROR(SUMIFS('capacity data'!$L:$L,'capacity data'!$B:$B,P117,'capacity data'!$E:$E,"PO")/SUMIFS('capacity data'!$G:$G,'capacity data'!$E:$E,"PO",'capacity data'!$B:$B,P117),"")</f>
        <v/>
      </c>
      <c r="W117" s="400" t="str">
        <f>IFERROR(SUM((SUMIFS('capacity data'!$G:$G,'capacity data'!$B:$B,P117))-SUMIFS('capacity data'!$H:$H,'capacity data'!$B:$B,P117))/SUMIFS('capacity data'!$G:$G,'capacity data'!$B:$B,P117),"")</f>
        <v/>
      </c>
    </row>
    <row r="118" spans="15:23" ht="16" x14ac:dyDescent="0.2">
      <c r="O118" s="23" t="s">
        <v>26</v>
      </c>
      <c r="P118" t="s">
        <v>124</v>
      </c>
      <c r="Q118" s="222" t="str">
        <f>IFERROR(SUM((SUMIFS('capacity data'!$G:$G,'capacity data'!$E:$E,"PO",'capacity data'!$B:$B,P118))-SUMIFS('capacity data'!$H:$H,'capacity data'!$E:$E,"PO",'capacity data'!$B:$B,P118))/SUMIFS('capacity data'!$G:$G,'capacity data'!$E:$E,"PO",'capacity data'!$B:$B,P118),"")</f>
        <v/>
      </c>
      <c r="R118" s="222" t="str">
        <f>IFERROR(SUM((SUMIFS('capacity data'!$G:$G,'capacity data'!$E:$E,"PSO",'capacity data'!$B:$B,P118))-SUMIFS('capacity data'!$H:$H,'capacity data'!$E:$E,"PSO",'capacity data'!$B:$B,P118))/SUMIFS('capacity data'!$G:$G,'capacity data'!$E:$E,"PSO",'capacity data'!$B:$B,P118),"")</f>
        <v/>
      </c>
      <c r="S118" s="22" t="str">
        <f t="shared" si="1"/>
        <v/>
      </c>
      <c r="T118" s="223" t="str">
        <f>IFERROR(SUMIFS('capacity data'!$L:$L,'capacity data'!$B:$B,P118,'capacity data'!$E:$E,"PSO")/SUMIFS('capacity data'!$G:$G,'capacity data'!$E:$E,"PSO",'capacity data'!$B:$B,P118),"")</f>
        <v/>
      </c>
      <c r="U118" s="223" t="str">
        <f>IFERROR(SUMIFS('capacity data'!$L:$L,'capacity data'!$B:$B,P118,'capacity data'!$E:$E,"TPO")/SUMIFS('capacity data'!$G:$G,'capacity data'!$E:$E,"TPO",'capacity data'!$B:$B,P118),"")</f>
        <v/>
      </c>
      <c r="V118" s="400" t="str">
        <f>IFERROR(SUMIFS('capacity data'!$L:$L,'capacity data'!$B:$B,P118,'capacity data'!$E:$E,"PO")/SUMIFS('capacity data'!$G:$G,'capacity data'!$E:$E,"PO",'capacity data'!$B:$B,P118),"")</f>
        <v/>
      </c>
      <c r="W118" s="400" t="str">
        <f>IFERROR(SUM((SUMIFS('capacity data'!$G:$G,'capacity data'!$B:$B,P118))-SUMIFS('capacity data'!$H:$H,'capacity data'!$B:$B,P118))/SUMIFS('capacity data'!$G:$G,'capacity data'!$B:$B,P118),"")</f>
        <v/>
      </c>
    </row>
    <row r="119" spans="15:23" ht="16" x14ac:dyDescent="0.2">
      <c r="O119" s="23" t="s">
        <v>26</v>
      </c>
      <c r="P119" t="s">
        <v>145</v>
      </c>
      <c r="Q119" s="222" t="str">
        <f>IFERROR(SUM((SUMIFS('capacity data'!$G:$G,'capacity data'!$E:$E,"PO",'capacity data'!$B:$B,P119))-SUMIFS('capacity data'!$H:$H,'capacity data'!$E:$E,"PO",'capacity data'!$B:$B,P119))/SUMIFS('capacity data'!$G:$G,'capacity data'!$E:$E,"PO",'capacity data'!$B:$B,P119),"")</f>
        <v/>
      </c>
      <c r="R119" s="222" t="str">
        <f>IFERROR(SUM((SUMIFS('capacity data'!$G:$G,'capacity data'!$E:$E,"PSO",'capacity data'!$B:$B,P119))-SUMIFS('capacity data'!$H:$H,'capacity data'!$E:$E,"PSO",'capacity data'!$B:$B,P119))/SUMIFS('capacity data'!$G:$G,'capacity data'!$E:$E,"PSO",'capacity data'!$B:$B,P119),"")</f>
        <v/>
      </c>
      <c r="S119" s="22" t="str">
        <f t="shared" si="1"/>
        <v/>
      </c>
      <c r="T119" s="223" t="str">
        <f>IFERROR(SUMIFS('capacity data'!$L:$L,'capacity data'!$B:$B,P119,'capacity data'!$E:$E,"PSO")/SUMIFS('capacity data'!$G:$G,'capacity data'!$E:$E,"PSO",'capacity data'!$B:$B,P119),"")</f>
        <v/>
      </c>
      <c r="U119" s="223" t="str">
        <f>IFERROR(SUMIFS('capacity data'!$L:$L,'capacity data'!$B:$B,P119,'capacity data'!$E:$E,"TPO")/SUMIFS('capacity data'!$G:$G,'capacity data'!$E:$E,"TPO",'capacity data'!$B:$B,P119),"")</f>
        <v/>
      </c>
      <c r="V119" s="400" t="str">
        <f>IFERROR(SUMIFS('capacity data'!$L:$L,'capacity data'!$B:$B,P119,'capacity data'!$E:$E,"PO")/SUMIFS('capacity data'!$G:$G,'capacity data'!$E:$E,"PO",'capacity data'!$B:$B,P119),"")</f>
        <v/>
      </c>
      <c r="W119" s="400" t="str">
        <f>IFERROR(SUM((SUMIFS('capacity data'!$G:$G,'capacity data'!$B:$B,P119))-SUMIFS('capacity data'!$H:$H,'capacity data'!$B:$B,P119))/SUMIFS('capacity data'!$G:$G,'capacity data'!$B:$B,P119),"")</f>
        <v/>
      </c>
    </row>
    <row r="120" spans="15:23" ht="16" x14ac:dyDescent="0.2">
      <c r="O120" s="23" t="s">
        <v>26</v>
      </c>
      <c r="P120" t="s">
        <v>166</v>
      </c>
      <c r="Q120" s="222" t="str">
        <f>IFERROR(SUM((SUMIFS('capacity data'!$G:$G,'capacity data'!$E:$E,"PO",'capacity data'!$B:$B,P120))-SUMIFS('capacity data'!$H:$H,'capacity data'!$E:$E,"PO",'capacity data'!$B:$B,P120))/SUMIFS('capacity data'!$G:$G,'capacity data'!$E:$E,"PO",'capacity data'!$B:$B,P120),"")</f>
        <v/>
      </c>
      <c r="R120" s="222" t="str">
        <f>IFERROR(SUM((SUMIFS('capacity data'!$G:$G,'capacity data'!$E:$E,"PSO",'capacity data'!$B:$B,P120))-SUMIFS('capacity data'!$H:$H,'capacity data'!$E:$E,"PSO",'capacity data'!$B:$B,P120))/SUMIFS('capacity data'!$G:$G,'capacity data'!$E:$E,"PSO",'capacity data'!$B:$B,P120),"")</f>
        <v/>
      </c>
      <c r="S120" s="22" t="str">
        <f t="shared" si="1"/>
        <v/>
      </c>
      <c r="T120" s="223" t="str">
        <f>IFERROR(SUMIFS('capacity data'!$L:$L,'capacity data'!$B:$B,P120,'capacity data'!$E:$E,"PSO")/SUMIFS('capacity data'!$G:$G,'capacity data'!$E:$E,"PSO",'capacity data'!$B:$B,P120),"")</f>
        <v/>
      </c>
      <c r="U120" s="223" t="str">
        <f>IFERROR(SUMIFS('capacity data'!$L:$L,'capacity data'!$B:$B,P120,'capacity data'!$E:$E,"TPO")/SUMIFS('capacity data'!$G:$G,'capacity data'!$E:$E,"TPO",'capacity data'!$B:$B,P120),"")</f>
        <v/>
      </c>
      <c r="V120" s="400" t="str">
        <f>IFERROR(SUMIFS('capacity data'!$L:$L,'capacity data'!$B:$B,P120,'capacity data'!$E:$E,"PO")/SUMIFS('capacity data'!$G:$G,'capacity data'!$E:$E,"PO",'capacity data'!$B:$B,P120),"")</f>
        <v/>
      </c>
      <c r="W120" s="400" t="str">
        <f>IFERROR(SUM((SUMIFS('capacity data'!$G:$G,'capacity data'!$B:$B,P120))-SUMIFS('capacity data'!$H:$H,'capacity data'!$B:$B,P120))/SUMIFS('capacity data'!$G:$G,'capacity data'!$B:$B,P120),"")</f>
        <v/>
      </c>
    </row>
    <row r="121" spans="15:23" ht="16" x14ac:dyDescent="0.2">
      <c r="O121" s="23" t="s">
        <v>26</v>
      </c>
      <c r="P121" t="s">
        <v>185</v>
      </c>
      <c r="Q121" s="222" t="str">
        <f>IFERROR(SUM((SUMIFS('capacity data'!$G:$G,'capacity data'!$E:$E,"PO",'capacity data'!$B:$B,P121))-SUMIFS('capacity data'!$H:$H,'capacity data'!$E:$E,"PO",'capacity data'!$B:$B,P121))/SUMIFS('capacity data'!$G:$G,'capacity data'!$E:$E,"PO",'capacity data'!$B:$B,P121),"")</f>
        <v/>
      </c>
      <c r="R121" s="222" t="str">
        <f>IFERROR(SUM((SUMIFS('capacity data'!$G:$G,'capacity data'!$E:$E,"PSO",'capacity data'!$B:$B,P121))-SUMIFS('capacity data'!$H:$H,'capacity data'!$E:$E,"PSO",'capacity data'!$B:$B,P121))/SUMIFS('capacity data'!$G:$G,'capacity data'!$E:$E,"PSO",'capacity data'!$B:$B,P121),"")</f>
        <v/>
      </c>
      <c r="S121" s="22" t="str">
        <f t="shared" si="1"/>
        <v/>
      </c>
      <c r="T121" s="223" t="str">
        <f>IFERROR(SUMIFS('capacity data'!$L:$L,'capacity data'!$B:$B,P121,'capacity data'!$E:$E,"PSO")/SUMIFS('capacity data'!$G:$G,'capacity data'!$E:$E,"PSO",'capacity data'!$B:$B,P121),"")</f>
        <v/>
      </c>
      <c r="U121" s="223" t="str">
        <f>IFERROR(SUMIFS('capacity data'!$L:$L,'capacity data'!$B:$B,P121,'capacity data'!$E:$E,"TPO")/SUMIFS('capacity data'!$G:$G,'capacity data'!$E:$E,"TPO",'capacity data'!$B:$B,P121),"")</f>
        <v/>
      </c>
      <c r="V121" s="400" t="str">
        <f>IFERROR(SUMIFS('capacity data'!$L:$L,'capacity data'!$B:$B,P121,'capacity data'!$E:$E,"PO")/SUMIFS('capacity data'!$G:$G,'capacity data'!$E:$E,"PO",'capacity data'!$B:$B,P121),"")</f>
        <v/>
      </c>
      <c r="W121" s="400" t="str">
        <f>IFERROR(SUM((SUMIFS('capacity data'!$G:$G,'capacity data'!$B:$B,P121))-SUMIFS('capacity data'!$H:$H,'capacity data'!$B:$B,P121))/SUMIFS('capacity data'!$G:$G,'capacity data'!$B:$B,P121),"")</f>
        <v/>
      </c>
    </row>
    <row r="122" spans="15:23" ht="16" x14ac:dyDescent="0.2">
      <c r="O122" s="23" t="s">
        <v>27</v>
      </c>
      <c r="P122" t="s">
        <v>39</v>
      </c>
      <c r="Q122" s="222" t="str">
        <f>IFERROR(SUM((SUMIFS('capacity data'!$G:$G,'capacity data'!$E:$E,"PO",'capacity data'!$B:$B,P122))-SUMIFS('capacity data'!$H:$H,'capacity data'!$E:$E,"PO",'capacity data'!$B:$B,P122))/SUMIFS('capacity data'!$G:$G,'capacity data'!$E:$E,"PO",'capacity data'!$B:$B,P122),"")</f>
        <v/>
      </c>
      <c r="R122" s="222" t="str">
        <f>IFERROR(SUM((SUMIFS('capacity data'!$G:$G,'capacity data'!$E:$E,"PSO",'capacity data'!$B:$B,P122))-SUMIFS('capacity data'!$H:$H,'capacity data'!$E:$E,"PSO",'capacity data'!$B:$B,P122))/SUMIFS('capacity data'!$G:$G,'capacity data'!$E:$E,"PSO",'capacity data'!$B:$B,P122),"")</f>
        <v/>
      </c>
      <c r="S122" s="22" t="str">
        <f t="shared" si="1"/>
        <v/>
      </c>
      <c r="T122" s="223" t="str">
        <f>IFERROR(SUMIFS('capacity data'!$L:$L,'capacity data'!$B:$B,P122,'capacity data'!$E:$E,"PSO")/SUMIFS('capacity data'!$G:$G,'capacity data'!$E:$E,"PSO",'capacity data'!$B:$B,P122),"")</f>
        <v/>
      </c>
      <c r="U122" s="223" t="str">
        <f>IFERROR(SUMIFS('capacity data'!$L:$L,'capacity data'!$B:$B,P122,'capacity data'!$E:$E,"TPO")/SUMIFS('capacity data'!$G:$G,'capacity data'!$E:$E,"TPO",'capacity data'!$B:$B,P122),"")</f>
        <v/>
      </c>
      <c r="V122" s="400" t="str">
        <f>IFERROR(SUMIFS('capacity data'!$L:$L,'capacity data'!$B:$B,P122,'capacity data'!$E:$E,"PO")/SUMIFS('capacity data'!$G:$G,'capacity data'!$E:$E,"PO",'capacity data'!$B:$B,P122),"")</f>
        <v/>
      </c>
      <c r="W122" s="400" t="str">
        <f>IFERROR(SUM((SUMIFS('capacity data'!$G:$G,'capacity data'!$B:$B,P122))-SUMIFS('capacity data'!$H:$H,'capacity data'!$B:$B,P122))/SUMIFS('capacity data'!$G:$G,'capacity data'!$B:$B,P122),"")</f>
        <v/>
      </c>
    </row>
    <row r="123" spans="15:23" ht="16" x14ac:dyDescent="0.2">
      <c r="O123" s="23" t="s">
        <v>27</v>
      </c>
      <c r="P123" t="s">
        <v>61</v>
      </c>
      <c r="Q123" s="222" t="str">
        <f>IFERROR(SUM((SUMIFS('capacity data'!$G:$G,'capacity data'!$E:$E,"PO",'capacity data'!$B:$B,P123))-SUMIFS('capacity data'!$H:$H,'capacity data'!$E:$E,"PO",'capacity data'!$B:$B,P123))/SUMIFS('capacity data'!$G:$G,'capacity data'!$E:$E,"PO",'capacity data'!$B:$B,P123),"")</f>
        <v/>
      </c>
      <c r="R123" s="222" t="str">
        <f>IFERROR(SUM((SUMIFS('capacity data'!$G:$G,'capacity data'!$E:$E,"PSO",'capacity data'!$B:$B,P123))-SUMIFS('capacity data'!$H:$H,'capacity data'!$E:$E,"PSO",'capacity data'!$B:$B,P123))/SUMIFS('capacity data'!$G:$G,'capacity data'!$E:$E,"PSO",'capacity data'!$B:$B,P123),"")</f>
        <v/>
      </c>
      <c r="S123" s="22" t="str">
        <f t="shared" si="1"/>
        <v/>
      </c>
      <c r="T123" s="223" t="str">
        <f>IFERROR(SUMIFS('capacity data'!$L:$L,'capacity data'!$B:$B,P123,'capacity data'!$E:$E,"PSO")/SUMIFS('capacity data'!$G:$G,'capacity data'!$E:$E,"PSO",'capacity data'!$B:$B,P123),"")</f>
        <v/>
      </c>
      <c r="U123" s="223" t="str">
        <f>IFERROR(SUMIFS('capacity data'!$L:$L,'capacity data'!$B:$B,P123,'capacity data'!$E:$E,"TPO")/SUMIFS('capacity data'!$G:$G,'capacity data'!$E:$E,"TPO",'capacity data'!$B:$B,P123),"")</f>
        <v/>
      </c>
      <c r="V123" s="400" t="str">
        <f>IFERROR(SUMIFS('capacity data'!$L:$L,'capacity data'!$B:$B,P123,'capacity data'!$E:$E,"PO")/SUMIFS('capacity data'!$G:$G,'capacity data'!$E:$E,"PO",'capacity data'!$B:$B,P123),"")</f>
        <v/>
      </c>
      <c r="W123" s="400" t="str">
        <f>IFERROR(SUM((SUMIFS('capacity data'!$G:$G,'capacity data'!$B:$B,P123))-SUMIFS('capacity data'!$H:$H,'capacity data'!$B:$B,P123))/SUMIFS('capacity data'!$G:$G,'capacity data'!$B:$B,P123),"")</f>
        <v/>
      </c>
    </row>
    <row r="124" spans="15:23" ht="16" x14ac:dyDescent="0.2">
      <c r="O124" s="23" t="s">
        <v>27</v>
      </c>
      <c r="P124" t="s">
        <v>82</v>
      </c>
      <c r="Q124" s="222" t="str">
        <f>IFERROR(SUM((SUMIFS('capacity data'!$G:$G,'capacity data'!$E:$E,"PO",'capacity data'!$B:$B,P124))-SUMIFS('capacity data'!$H:$H,'capacity data'!$E:$E,"PO",'capacity data'!$B:$B,P124))/SUMIFS('capacity data'!$G:$G,'capacity data'!$E:$E,"PO",'capacity data'!$B:$B,P124),"")</f>
        <v/>
      </c>
      <c r="R124" s="222" t="str">
        <f>IFERROR(SUM((SUMIFS('capacity data'!$G:$G,'capacity data'!$E:$E,"PSO",'capacity data'!$B:$B,P124))-SUMIFS('capacity data'!$H:$H,'capacity data'!$E:$E,"PSO",'capacity data'!$B:$B,P124))/SUMIFS('capacity data'!$G:$G,'capacity data'!$E:$E,"PSO",'capacity data'!$B:$B,P124),"")</f>
        <v/>
      </c>
      <c r="S124" s="22" t="str">
        <f t="shared" si="1"/>
        <v/>
      </c>
      <c r="T124" s="223" t="str">
        <f>IFERROR(SUMIFS('capacity data'!$L:$L,'capacity data'!$B:$B,P124,'capacity data'!$E:$E,"PSO")/SUMIFS('capacity data'!$G:$G,'capacity data'!$E:$E,"PSO",'capacity data'!$B:$B,P124),"")</f>
        <v/>
      </c>
      <c r="U124" s="223" t="str">
        <f>IFERROR(SUMIFS('capacity data'!$L:$L,'capacity data'!$B:$B,P124,'capacity data'!$E:$E,"TPO")/SUMIFS('capacity data'!$G:$G,'capacity data'!$E:$E,"TPO",'capacity data'!$B:$B,P124),"")</f>
        <v/>
      </c>
      <c r="V124" s="400" t="str">
        <f>IFERROR(SUMIFS('capacity data'!$L:$L,'capacity data'!$B:$B,P124,'capacity data'!$E:$E,"PO")/SUMIFS('capacity data'!$G:$G,'capacity data'!$E:$E,"PO",'capacity data'!$B:$B,P124),"")</f>
        <v/>
      </c>
      <c r="W124" s="400" t="str">
        <f>IFERROR(SUM((SUMIFS('capacity data'!$G:$G,'capacity data'!$B:$B,P124))-SUMIFS('capacity data'!$H:$H,'capacity data'!$B:$B,P124))/SUMIFS('capacity data'!$G:$G,'capacity data'!$B:$B,P124),"")</f>
        <v/>
      </c>
    </row>
    <row r="125" spans="15:23" ht="16" x14ac:dyDescent="0.2">
      <c r="O125" s="23" t="s">
        <v>27</v>
      </c>
      <c r="P125" t="s">
        <v>103</v>
      </c>
      <c r="Q125" s="222" t="str">
        <f>IFERROR(SUM((SUMIFS('capacity data'!$G:$G,'capacity data'!$E:$E,"PO",'capacity data'!$B:$B,P125))-SUMIFS('capacity data'!$H:$H,'capacity data'!$E:$E,"PO",'capacity data'!$B:$B,P125))/SUMIFS('capacity data'!$G:$G,'capacity data'!$E:$E,"PO",'capacity data'!$B:$B,P125),"")</f>
        <v/>
      </c>
      <c r="R125" s="222" t="str">
        <f>IFERROR(SUM((SUMIFS('capacity data'!$G:$G,'capacity data'!$E:$E,"PSO",'capacity data'!$B:$B,P125))-SUMIFS('capacity data'!$H:$H,'capacity data'!$E:$E,"PSO",'capacity data'!$B:$B,P125))/SUMIFS('capacity data'!$G:$G,'capacity data'!$E:$E,"PSO",'capacity data'!$B:$B,P125),"")</f>
        <v/>
      </c>
      <c r="S125" s="22" t="str">
        <f t="shared" si="1"/>
        <v/>
      </c>
      <c r="T125" s="223" t="str">
        <f>IFERROR(SUMIFS('capacity data'!$L:$L,'capacity data'!$B:$B,P125,'capacity data'!$E:$E,"PSO")/SUMIFS('capacity data'!$G:$G,'capacity data'!$E:$E,"PSO",'capacity data'!$B:$B,P125),"")</f>
        <v/>
      </c>
      <c r="U125" s="223" t="str">
        <f>IFERROR(SUMIFS('capacity data'!$L:$L,'capacity data'!$B:$B,P125,'capacity data'!$E:$E,"TPO")/SUMIFS('capacity data'!$G:$G,'capacity data'!$E:$E,"TPO",'capacity data'!$B:$B,P125),"")</f>
        <v/>
      </c>
      <c r="V125" s="400" t="str">
        <f>IFERROR(SUMIFS('capacity data'!$L:$L,'capacity data'!$B:$B,P125,'capacity data'!$E:$E,"PO")/SUMIFS('capacity data'!$G:$G,'capacity data'!$E:$E,"PO",'capacity data'!$B:$B,P125),"")</f>
        <v/>
      </c>
      <c r="W125" s="400" t="str">
        <f>IFERROR(SUM((SUMIFS('capacity data'!$G:$G,'capacity data'!$B:$B,P125))-SUMIFS('capacity data'!$H:$H,'capacity data'!$B:$B,P125))/SUMIFS('capacity data'!$G:$G,'capacity data'!$B:$B,P125),"")</f>
        <v/>
      </c>
    </row>
    <row r="126" spans="15:23" ht="16" x14ac:dyDescent="0.2">
      <c r="O126" s="23" t="s">
        <v>27</v>
      </c>
      <c r="P126" t="s">
        <v>125</v>
      </c>
      <c r="Q126" s="222" t="str">
        <f>IFERROR(SUM((SUMIFS('capacity data'!$G:$G,'capacity data'!$E:$E,"PO",'capacity data'!$B:$B,P126))-SUMIFS('capacity data'!$H:$H,'capacity data'!$E:$E,"PO",'capacity data'!$B:$B,P126))/SUMIFS('capacity data'!$G:$G,'capacity data'!$E:$E,"PO",'capacity data'!$B:$B,P126),"")</f>
        <v/>
      </c>
      <c r="R126" s="222" t="str">
        <f>IFERROR(SUM((SUMIFS('capacity data'!$G:$G,'capacity data'!$E:$E,"PSO",'capacity data'!$B:$B,P126))-SUMIFS('capacity data'!$H:$H,'capacity data'!$E:$E,"PSO",'capacity data'!$B:$B,P126))/SUMIFS('capacity data'!$G:$G,'capacity data'!$E:$E,"PSO",'capacity data'!$B:$B,P126),"")</f>
        <v/>
      </c>
      <c r="S126" s="22" t="str">
        <f t="shared" si="1"/>
        <v/>
      </c>
      <c r="T126" s="223" t="str">
        <f>IFERROR(SUMIFS('capacity data'!$L:$L,'capacity data'!$B:$B,P126,'capacity data'!$E:$E,"PSO")/SUMIFS('capacity data'!$G:$G,'capacity data'!$E:$E,"PSO",'capacity data'!$B:$B,P126),"")</f>
        <v/>
      </c>
      <c r="U126" s="223" t="str">
        <f>IFERROR(SUMIFS('capacity data'!$L:$L,'capacity data'!$B:$B,P126,'capacity data'!$E:$E,"TPO")/SUMIFS('capacity data'!$G:$G,'capacity data'!$E:$E,"TPO",'capacity data'!$B:$B,P126),"")</f>
        <v/>
      </c>
      <c r="V126" s="400" t="str">
        <f>IFERROR(SUMIFS('capacity data'!$L:$L,'capacity data'!$B:$B,P126,'capacity data'!$E:$E,"PO")/SUMIFS('capacity data'!$G:$G,'capacity data'!$E:$E,"PO",'capacity data'!$B:$B,P126),"")</f>
        <v/>
      </c>
      <c r="W126" s="400" t="str">
        <f>IFERROR(SUM((SUMIFS('capacity data'!$G:$G,'capacity data'!$B:$B,P126))-SUMIFS('capacity data'!$H:$H,'capacity data'!$B:$B,P126))/SUMIFS('capacity data'!$G:$G,'capacity data'!$B:$B,P126),"")</f>
        <v/>
      </c>
    </row>
    <row r="127" spans="15:23" ht="16" x14ac:dyDescent="0.2">
      <c r="O127" s="23" t="s">
        <v>27</v>
      </c>
      <c r="P127" t="s">
        <v>146</v>
      </c>
      <c r="Q127" s="222" t="str">
        <f>IFERROR(SUM((SUMIFS('capacity data'!$G:$G,'capacity data'!$E:$E,"PO",'capacity data'!$B:$B,P127))-SUMIFS('capacity data'!$H:$H,'capacity data'!$E:$E,"PO",'capacity data'!$B:$B,P127))/SUMIFS('capacity data'!$G:$G,'capacity data'!$E:$E,"PO",'capacity data'!$B:$B,P127),"")</f>
        <v/>
      </c>
      <c r="R127" s="222" t="str">
        <f>IFERROR(SUM((SUMIFS('capacity data'!$G:$G,'capacity data'!$E:$E,"PSO",'capacity data'!$B:$B,P127))-SUMIFS('capacity data'!$H:$H,'capacity data'!$E:$E,"PSO",'capacity data'!$B:$B,P127))/SUMIFS('capacity data'!$G:$G,'capacity data'!$E:$E,"PSO",'capacity data'!$B:$B,P127),"")</f>
        <v/>
      </c>
      <c r="S127" s="22" t="str">
        <f t="shared" si="1"/>
        <v/>
      </c>
      <c r="T127" s="223" t="str">
        <f>IFERROR(SUMIFS('capacity data'!$L:$L,'capacity data'!$B:$B,P127,'capacity data'!$E:$E,"PSO")/SUMIFS('capacity data'!$G:$G,'capacity data'!$E:$E,"PSO",'capacity data'!$B:$B,P127),"")</f>
        <v/>
      </c>
      <c r="U127" s="223" t="str">
        <f>IFERROR(SUMIFS('capacity data'!$L:$L,'capacity data'!$B:$B,P127,'capacity data'!$E:$E,"TPO")/SUMIFS('capacity data'!$G:$G,'capacity data'!$E:$E,"TPO",'capacity data'!$B:$B,P127),"")</f>
        <v/>
      </c>
      <c r="V127" s="400" t="str">
        <f>IFERROR(SUMIFS('capacity data'!$L:$L,'capacity data'!$B:$B,P127,'capacity data'!$E:$E,"PO")/SUMIFS('capacity data'!$G:$G,'capacity data'!$E:$E,"PO",'capacity data'!$B:$B,P127),"")</f>
        <v/>
      </c>
      <c r="W127" s="400" t="str">
        <f>IFERROR(SUM((SUMIFS('capacity data'!$G:$G,'capacity data'!$B:$B,P127))-SUMIFS('capacity data'!$H:$H,'capacity data'!$B:$B,P127))/SUMIFS('capacity data'!$G:$G,'capacity data'!$B:$B,P127),"")</f>
        <v/>
      </c>
    </row>
    <row r="128" spans="15:23" ht="16" x14ac:dyDescent="0.2">
      <c r="O128" s="23" t="s">
        <v>27</v>
      </c>
      <c r="P128" t="s">
        <v>167</v>
      </c>
      <c r="Q128" s="222" t="str">
        <f>IFERROR(SUM((SUMIFS('capacity data'!$G:$G,'capacity data'!$E:$E,"PO",'capacity data'!$B:$B,P128))-SUMIFS('capacity data'!$H:$H,'capacity data'!$E:$E,"PO",'capacity data'!$B:$B,P128))/SUMIFS('capacity data'!$G:$G,'capacity data'!$E:$E,"PO",'capacity data'!$B:$B,P128),"")</f>
        <v/>
      </c>
      <c r="R128" s="222" t="str">
        <f>IFERROR(SUM((SUMIFS('capacity data'!$G:$G,'capacity data'!$E:$E,"PSO",'capacity data'!$B:$B,P128))-SUMIFS('capacity data'!$H:$H,'capacity data'!$E:$E,"PSO",'capacity data'!$B:$B,P128))/SUMIFS('capacity data'!$G:$G,'capacity data'!$E:$E,"PSO",'capacity data'!$B:$B,P128),"")</f>
        <v/>
      </c>
      <c r="S128" s="22" t="str">
        <f t="shared" si="1"/>
        <v/>
      </c>
      <c r="T128" s="223" t="str">
        <f>IFERROR(SUMIFS('capacity data'!$L:$L,'capacity data'!$B:$B,P128,'capacity data'!$E:$E,"PSO")/SUMIFS('capacity data'!$G:$G,'capacity data'!$E:$E,"PSO",'capacity data'!$B:$B,P128),"")</f>
        <v/>
      </c>
      <c r="U128" s="223" t="str">
        <f>IFERROR(SUMIFS('capacity data'!$L:$L,'capacity data'!$B:$B,P128,'capacity data'!$E:$E,"TPO")/SUMIFS('capacity data'!$G:$G,'capacity data'!$E:$E,"TPO",'capacity data'!$B:$B,P128),"")</f>
        <v/>
      </c>
      <c r="V128" s="400" t="str">
        <f>IFERROR(SUMIFS('capacity data'!$L:$L,'capacity data'!$B:$B,P128,'capacity data'!$E:$E,"PO")/SUMIFS('capacity data'!$G:$G,'capacity data'!$E:$E,"PO",'capacity data'!$B:$B,P128),"")</f>
        <v/>
      </c>
      <c r="W128" s="400" t="str">
        <f>IFERROR(SUM((SUMIFS('capacity data'!$G:$G,'capacity data'!$B:$B,P128))-SUMIFS('capacity data'!$H:$H,'capacity data'!$B:$B,P128))/SUMIFS('capacity data'!$G:$G,'capacity data'!$B:$B,P128),"")</f>
        <v/>
      </c>
    </row>
    <row r="129" spans="15:23" ht="16" x14ac:dyDescent="0.2">
      <c r="O129" s="23" t="s">
        <v>27</v>
      </c>
      <c r="P129" t="s">
        <v>186</v>
      </c>
      <c r="Q129" s="222" t="str">
        <f>IFERROR(SUM((SUMIFS('capacity data'!$G:$G,'capacity data'!$E:$E,"PO",'capacity data'!$B:$B,P129))-SUMIFS('capacity data'!$H:$H,'capacity data'!$E:$E,"PO",'capacity data'!$B:$B,P129))/SUMIFS('capacity data'!$G:$G,'capacity data'!$E:$E,"PO",'capacity data'!$B:$B,P129),"")</f>
        <v/>
      </c>
      <c r="R129" s="222" t="str">
        <f>IFERROR(SUM((SUMIFS('capacity data'!$G:$G,'capacity data'!$E:$E,"PSO",'capacity data'!$B:$B,P129))-SUMIFS('capacity data'!$H:$H,'capacity data'!$E:$E,"PSO",'capacity data'!$B:$B,P129))/SUMIFS('capacity data'!$G:$G,'capacity data'!$E:$E,"PSO",'capacity data'!$B:$B,P129),"")</f>
        <v/>
      </c>
      <c r="S129" s="22" t="str">
        <f t="shared" si="1"/>
        <v/>
      </c>
      <c r="T129" s="223" t="str">
        <f>IFERROR(SUMIFS('capacity data'!$L:$L,'capacity data'!$B:$B,P129,'capacity data'!$E:$E,"PSO")/SUMIFS('capacity data'!$G:$G,'capacity data'!$E:$E,"PSO",'capacity data'!$B:$B,P129),"")</f>
        <v/>
      </c>
      <c r="U129" s="223" t="str">
        <f>IFERROR(SUMIFS('capacity data'!$L:$L,'capacity data'!$B:$B,P129,'capacity data'!$E:$E,"TPO")/SUMIFS('capacity data'!$G:$G,'capacity data'!$E:$E,"TPO",'capacity data'!$B:$B,P129),"")</f>
        <v/>
      </c>
      <c r="V129" s="400" t="str">
        <f>IFERROR(SUMIFS('capacity data'!$L:$L,'capacity data'!$B:$B,P129,'capacity data'!$E:$E,"PO")/SUMIFS('capacity data'!$G:$G,'capacity data'!$E:$E,"PO",'capacity data'!$B:$B,P129),"")</f>
        <v/>
      </c>
      <c r="W129" s="400" t="str">
        <f>IFERROR(SUM((SUMIFS('capacity data'!$G:$G,'capacity data'!$B:$B,P129))-SUMIFS('capacity data'!$H:$H,'capacity data'!$B:$B,P129))/SUMIFS('capacity data'!$G:$G,'capacity data'!$B:$B,P129),"")</f>
        <v/>
      </c>
    </row>
    <row r="130" spans="15:23" ht="16" x14ac:dyDescent="0.2">
      <c r="O130" s="23" t="s">
        <v>27</v>
      </c>
      <c r="P130" t="s">
        <v>204</v>
      </c>
      <c r="Q130" s="222" t="str">
        <f>IFERROR(SUM((SUMIFS('capacity data'!$G:$G,'capacity data'!$E:$E,"PO",'capacity data'!$B:$B,P130))-SUMIFS('capacity data'!$H:$H,'capacity data'!$E:$E,"PO",'capacity data'!$B:$B,P130))/SUMIFS('capacity data'!$G:$G,'capacity data'!$E:$E,"PO",'capacity data'!$B:$B,P130),"")</f>
        <v/>
      </c>
      <c r="R130" s="222" t="str">
        <f>IFERROR(SUM((SUMIFS('capacity data'!$G:$G,'capacity data'!$E:$E,"PSO",'capacity data'!$B:$B,P130))-SUMIFS('capacity data'!$H:$H,'capacity data'!$E:$E,"PSO",'capacity data'!$B:$B,P130))/SUMIFS('capacity data'!$G:$G,'capacity data'!$E:$E,"PSO",'capacity data'!$B:$B,P130),"")</f>
        <v/>
      </c>
      <c r="S130" s="22" t="str">
        <f t="shared" si="1"/>
        <v/>
      </c>
      <c r="T130" s="223" t="str">
        <f>IFERROR(SUMIFS('capacity data'!$L:$L,'capacity data'!$B:$B,P130,'capacity data'!$E:$E,"PSO")/SUMIFS('capacity data'!$G:$G,'capacity data'!$E:$E,"PSO",'capacity data'!$B:$B,P130),"")</f>
        <v/>
      </c>
      <c r="U130" s="223" t="str">
        <f>IFERROR(SUMIFS('capacity data'!$L:$L,'capacity data'!$B:$B,P130,'capacity data'!$E:$E,"TPO")/SUMIFS('capacity data'!$G:$G,'capacity data'!$E:$E,"TPO",'capacity data'!$B:$B,P130),"")</f>
        <v/>
      </c>
      <c r="V130" s="400" t="str">
        <f>IFERROR(SUMIFS('capacity data'!$L:$L,'capacity data'!$B:$B,P130,'capacity data'!$E:$E,"PO")/SUMIFS('capacity data'!$G:$G,'capacity data'!$E:$E,"PO",'capacity data'!$B:$B,P130),"")</f>
        <v/>
      </c>
      <c r="W130" s="400" t="str">
        <f>IFERROR(SUM((SUMIFS('capacity data'!$G:$G,'capacity data'!$B:$B,P130))-SUMIFS('capacity data'!$H:$H,'capacity data'!$B:$B,P130))/SUMIFS('capacity data'!$G:$G,'capacity data'!$B:$B,P130),"")</f>
        <v/>
      </c>
    </row>
    <row r="131" spans="15:23" ht="16" x14ac:dyDescent="0.2">
      <c r="O131" s="23" t="s">
        <v>27</v>
      </c>
      <c r="P131" t="s">
        <v>221</v>
      </c>
      <c r="Q131" s="222" t="str">
        <f>IFERROR(SUM((SUMIFS('capacity data'!$G:$G,'capacity data'!$E:$E,"PO",'capacity data'!$B:$B,P131))-SUMIFS('capacity data'!$H:$H,'capacity data'!$E:$E,"PO",'capacity data'!$B:$B,P131))/SUMIFS('capacity data'!$G:$G,'capacity data'!$E:$E,"PO",'capacity data'!$B:$B,P131),"")</f>
        <v/>
      </c>
      <c r="R131" s="222" t="str">
        <f>IFERROR(SUM((SUMIFS('capacity data'!$G:$G,'capacity data'!$E:$E,"PSO",'capacity data'!$B:$B,P131))-SUMIFS('capacity data'!$H:$H,'capacity data'!$E:$E,"PSO",'capacity data'!$B:$B,P131))/SUMIFS('capacity data'!$G:$G,'capacity data'!$E:$E,"PSO",'capacity data'!$B:$B,P131),"")</f>
        <v/>
      </c>
      <c r="S131" s="22" t="str">
        <f t="shared" ref="S131:S153" si="2">IFERROR((Q131-R131),"")</f>
        <v/>
      </c>
      <c r="T131" s="223" t="str">
        <f>IFERROR(SUMIFS('capacity data'!$L:$L,'capacity data'!$B:$B,P131,'capacity data'!$E:$E,"PSO")/SUMIFS('capacity data'!$G:$G,'capacity data'!$E:$E,"PSO",'capacity data'!$B:$B,P131),"")</f>
        <v/>
      </c>
      <c r="U131" s="223" t="str">
        <f>IFERROR(SUMIFS('capacity data'!$L:$L,'capacity data'!$B:$B,P131,'capacity data'!$E:$E,"TPO")/SUMIFS('capacity data'!$G:$G,'capacity data'!$E:$E,"TPO",'capacity data'!$B:$B,P131),"")</f>
        <v/>
      </c>
      <c r="V131" s="400" t="str">
        <f>IFERROR(SUMIFS('capacity data'!$L:$L,'capacity data'!$B:$B,P131,'capacity data'!$E:$E,"PO")/SUMIFS('capacity data'!$G:$G,'capacity data'!$E:$E,"PO",'capacity data'!$B:$B,P131),"")</f>
        <v/>
      </c>
      <c r="W131" s="400" t="str">
        <f>IFERROR(SUM((SUMIFS('capacity data'!$G:$G,'capacity data'!$B:$B,P131))-SUMIFS('capacity data'!$H:$H,'capacity data'!$B:$B,P131))/SUMIFS('capacity data'!$G:$G,'capacity data'!$B:$B,P131),"")</f>
        <v/>
      </c>
    </row>
    <row r="132" spans="15:23" ht="16" x14ac:dyDescent="0.2">
      <c r="O132" s="23" t="s">
        <v>27</v>
      </c>
      <c r="P132" t="s">
        <v>238</v>
      </c>
      <c r="Q132" s="222" t="str">
        <f>IFERROR(SUM((SUMIFS('capacity data'!$G:$G,'capacity data'!$E:$E,"PO",'capacity data'!$B:$B,P132))-SUMIFS('capacity data'!$H:$H,'capacity data'!$E:$E,"PO",'capacity data'!$B:$B,P132))/SUMIFS('capacity data'!$G:$G,'capacity data'!$E:$E,"PO",'capacity data'!$B:$B,P132),"")</f>
        <v/>
      </c>
      <c r="R132" s="222" t="str">
        <f>IFERROR(SUM((SUMIFS('capacity data'!$G:$G,'capacity data'!$E:$E,"PSO",'capacity data'!$B:$B,P132))-SUMIFS('capacity data'!$H:$H,'capacity data'!$E:$E,"PSO",'capacity data'!$B:$B,P132))/SUMIFS('capacity data'!$G:$G,'capacity data'!$E:$E,"PSO",'capacity data'!$B:$B,P132),"")</f>
        <v/>
      </c>
      <c r="S132" s="22" t="str">
        <f t="shared" si="2"/>
        <v/>
      </c>
      <c r="T132" s="223" t="str">
        <f>IFERROR(SUMIFS('capacity data'!$L:$L,'capacity data'!$B:$B,P132,'capacity data'!$E:$E,"PSO")/SUMIFS('capacity data'!$G:$G,'capacity data'!$E:$E,"PSO",'capacity data'!$B:$B,P132),"")</f>
        <v/>
      </c>
      <c r="U132" s="223" t="str">
        <f>IFERROR(SUMIFS('capacity data'!$L:$L,'capacity data'!$B:$B,P132,'capacity data'!$E:$E,"TPO")/SUMIFS('capacity data'!$G:$G,'capacity data'!$E:$E,"TPO",'capacity data'!$B:$B,P132),"")</f>
        <v/>
      </c>
      <c r="V132" s="400" t="str">
        <f>IFERROR(SUMIFS('capacity data'!$L:$L,'capacity data'!$B:$B,P132,'capacity data'!$E:$E,"PO")/SUMIFS('capacity data'!$G:$G,'capacity data'!$E:$E,"PO",'capacity data'!$B:$B,P132),"")</f>
        <v/>
      </c>
      <c r="W132" s="400" t="str">
        <f>IFERROR(SUM((SUMIFS('capacity data'!$G:$G,'capacity data'!$B:$B,P132))-SUMIFS('capacity data'!$H:$H,'capacity data'!$B:$B,P132))/SUMIFS('capacity data'!$G:$G,'capacity data'!$B:$B,P132),"")</f>
        <v/>
      </c>
    </row>
    <row r="133" spans="15:23" ht="16" x14ac:dyDescent="0.2">
      <c r="O133" s="23" t="s">
        <v>27</v>
      </c>
      <c r="P133" t="s">
        <v>252</v>
      </c>
      <c r="Q133" s="222" t="str">
        <f>IFERROR(SUM((SUMIFS('capacity data'!$G:$G,'capacity data'!$E:$E,"PO",'capacity data'!$B:$B,P133))-SUMIFS('capacity data'!$H:$H,'capacity data'!$E:$E,"PO",'capacity data'!$B:$B,P133))/SUMIFS('capacity data'!$G:$G,'capacity data'!$E:$E,"PO",'capacity data'!$B:$B,P133),"")</f>
        <v/>
      </c>
      <c r="R133" s="222" t="str">
        <f>IFERROR(SUM((SUMIFS('capacity data'!$G:$G,'capacity data'!$E:$E,"PSO",'capacity data'!$B:$B,P133))-SUMIFS('capacity data'!$H:$H,'capacity data'!$E:$E,"PSO",'capacity data'!$B:$B,P133))/SUMIFS('capacity data'!$G:$G,'capacity data'!$E:$E,"PSO",'capacity data'!$B:$B,P133),"")</f>
        <v/>
      </c>
      <c r="S133" s="22" t="str">
        <f t="shared" si="2"/>
        <v/>
      </c>
      <c r="T133" s="223" t="str">
        <f>IFERROR(SUMIFS('capacity data'!$L:$L,'capacity data'!$B:$B,P133,'capacity data'!$E:$E,"PSO")/SUMIFS('capacity data'!$G:$G,'capacity data'!$E:$E,"PSO",'capacity data'!$B:$B,P133),"")</f>
        <v/>
      </c>
      <c r="U133" s="223" t="str">
        <f>IFERROR(SUMIFS('capacity data'!$L:$L,'capacity data'!$B:$B,P133,'capacity data'!$E:$E,"TPO")/SUMIFS('capacity data'!$G:$G,'capacity data'!$E:$E,"TPO",'capacity data'!$B:$B,P133),"")</f>
        <v/>
      </c>
      <c r="V133" s="400" t="str">
        <f>IFERROR(SUMIFS('capacity data'!$L:$L,'capacity data'!$B:$B,P133,'capacity data'!$E:$E,"PO")/SUMIFS('capacity data'!$G:$G,'capacity data'!$E:$E,"PO",'capacity data'!$B:$B,P133),"")</f>
        <v/>
      </c>
      <c r="W133" s="400" t="str">
        <f>IFERROR(SUM((SUMIFS('capacity data'!$G:$G,'capacity data'!$B:$B,P133))-SUMIFS('capacity data'!$H:$H,'capacity data'!$B:$B,P133))/SUMIFS('capacity data'!$G:$G,'capacity data'!$B:$B,P133),"")</f>
        <v/>
      </c>
    </row>
    <row r="134" spans="15:23" ht="16" x14ac:dyDescent="0.2">
      <c r="O134" s="23" t="s">
        <v>28</v>
      </c>
      <c r="P134" t="s">
        <v>40</v>
      </c>
      <c r="Q134" s="222" t="str">
        <f>IFERROR(SUM((SUMIFS('capacity data'!$G:$G,'capacity data'!$E:$E,"PO",'capacity data'!$B:$B,P134))-SUMIFS('capacity data'!$H:$H,'capacity data'!$E:$E,"PO",'capacity data'!$B:$B,P134))/SUMIFS('capacity data'!$G:$G,'capacity data'!$E:$E,"PO",'capacity data'!$B:$B,P134),"")</f>
        <v/>
      </c>
      <c r="R134" s="222" t="str">
        <f>IFERROR(SUM((SUMIFS('capacity data'!$G:$G,'capacity data'!$E:$E,"PSO",'capacity data'!$B:$B,P134))-SUMIFS('capacity data'!$H:$H,'capacity data'!$E:$E,"PSO",'capacity data'!$B:$B,P134))/SUMIFS('capacity data'!$G:$G,'capacity data'!$E:$E,"PSO",'capacity data'!$B:$B,P134),"")</f>
        <v/>
      </c>
      <c r="S134" s="22" t="str">
        <f t="shared" si="2"/>
        <v/>
      </c>
      <c r="T134" s="223" t="str">
        <f>IFERROR(SUMIFS('capacity data'!$L:$L,'capacity data'!$B:$B,P134,'capacity data'!$E:$E,"PSO")/SUMIFS('capacity data'!$G:$G,'capacity data'!$E:$E,"PSO",'capacity data'!$B:$B,P134),"")</f>
        <v/>
      </c>
      <c r="U134" s="223" t="str">
        <f>IFERROR(SUMIFS('capacity data'!$L:$L,'capacity data'!$B:$B,P134,'capacity data'!$E:$E,"TPO")/SUMIFS('capacity data'!$G:$G,'capacity data'!$E:$E,"TPO",'capacity data'!$B:$B,P134),"")</f>
        <v/>
      </c>
      <c r="V134" s="400" t="str">
        <f>IFERROR(SUMIFS('capacity data'!$L:$L,'capacity data'!$B:$B,P134,'capacity data'!$E:$E,"PO")/SUMIFS('capacity data'!$G:$G,'capacity data'!$E:$E,"PO",'capacity data'!$B:$B,P134),"")</f>
        <v/>
      </c>
      <c r="W134" s="400" t="str">
        <f>IFERROR(SUM((SUMIFS('capacity data'!$G:$G,'capacity data'!$B:$B,P134))-SUMIFS('capacity data'!$H:$H,'capacity data'!$B:$B,P134))/SUMIFS('capacity data'!$G:$G,'capacity data'!$B:$B,P134),"")</f>
        <v/>
      </c>
    </row>
    <row r="135" spans="15:23" ht="16" x14ac:dyDescent="0.2">
      <c r="O135" s="23" t="s">
        <v>28</v>
      </c>
      <c r="P135" t="s">
        <v>808</v>
      </c>
      <c r="Q135" s="222" t="str">
        <f>IFERROR(SUM((SUMIFS('capacity data'!$G:$G,'capacity data'!$E:$E,"PO",'capacity data'!$B:$B,P135))-SUMIFS('capacity data'!$H:$H,'capacity data'!$E:$E,"PO",'capacity data'!$B:$B,P135))/SUMIFS('capacity data'!$G:$G,'capacity data'!$E:$E,"PO",'capacity data'!$B:$B,P135),"")</f>
        <v/>
      </c>
      <c r="R135" s="222" t="str">
        <f>IFERROR(SUM((SUMIFS('capacity data'!$G:$G,'capacity data'!$E:$E,"PSO",'capacity data'!$B:$B,P135))-SUMIFS('capacity data'!$H:$H,'capacity data'!$E:$E,"PSO",'capacity data'!$B:$B,P135))/SUMIFS('capacity data'!$G:$G,'capacity data'!$E:$E,"PSO",'capacity data'!$B:$B,P135),"")</f>
        <v/>
      </c>
      <c r="S135" s="22" t="str">
        <f t="shared" si="2"/>
        <v/>
      </c>
      <c r="T135" s="223" t="str">
        <f>IFERROR(SUMIFS('capacity data'!$L:$L,'capacity data'!$B:$B,P135,'capacity data'!$E:$E,"PSO")/SUMIFS('capacity data'!$G:$G,'capacity data'!$E:$E,"PSO",'capacity data'!$B:$B,P135),"")</f>
        <v/>
      </c>
      <c r="U135" s="223" t="str">
        <f>IFERROR(SUMIFS('capacity data'!$L:$L,'capacity data'!$B:$B,P135,'capacity data'!$E:$E,"TPO")/SUMIFS('capacity data'!$G:$G,'capacity data'!$E:$E,"TPO",'capacity data'!$B:$B,P135),"")</f>
        <v/>
      </c>
      <c r="V135" s="400" t="str">
        <f>IFERROR(SUMIFS('capacity data'!$L:$L,'capacity data'!$B:$B,P135,'capacity data'!$E:$E,"PO")/SUMIFS('capacity data'!$G:$G,'capacity data'!$E:$E,"PO",'capacity data'!$B:$B,P135),"")</f>
        <v/>
      </c>
      <c r="W135" s="400" t="str">
        <f>IFERROR(SUM((SUMIFS('capacity data'!$G:$G,'capacity data'!$B:$B,P135))-SUMIFS('capacity data'!$H:$H,'capacity data'!$B:$B,P135))/SUMIFS('capacity data'!$G:$G,'capacity data'!$B:$B,P135),"")</f>
        <v/>
      </c>
    </row>
    <row r="136" spans="15:23" ht="16" x14ac:dyDescent="0.2">
      <c r="O136" s="23" t="s">
        <v>28</v>
      </c>
      <c r="P136" t="s">
        <v>62</v>
      </c>
      <c r="Q136" s="222" t="str">
        <f>IFERROR(SUM((SUMIFS('capacity data'!$G:$G,'capacity data'!$E:$E,"PO",'capacity data'!$B:$B,P136))-SUMIFS('capacity data'!$H:$H,'capacity data'!$E:$E,"PO",'capacity data'!$B:$B,P136))/SUMIFS('capacity data'!$G:$G,'capacity data'!$E:$E,"PO",'capacity data'!$B:$B,P136),"")</f>
        <v/>
      </c>
      <c r="R136" s="222" t="str">
        <f>IFERROR(SUM((SUMIFS('capacity data'!$G:$G,'capacity data'!$E:$E,"PSO",'capacity data'!$B:$B,P136))-SUMIFS('capacity data'!$H:$H,'capacity data'!$E:$E,"PSO",'capacity data'!$B:$B,P136))/SUMIFS('capacity data'!$G:$G,'capacity data'!$E:$E,"PSO",'capacity data'!$B:$B,P136),"")</f>
        <v/>
      </c>
      <c r="S136" s="22" t="str">
        <f t="shared" si="2"/>
        <v/>
      </c>
      <c r="T136" s="223" t="str">
        <f>IFERROR(SUMIFS('capacity data'!$L:$L,'capacity data'!$B:$B,P136,'capacity data'!$E:$E,"PSO")/SUMIFS('capacity data'!$G:$G,'capacity data'!$E:$E,"PSO",'capacity data'!$B:$B,P136),"")</f>
        <v/>
      </c>
      <c r="U136" s="223" t="str">
        <f>IFERROR(SUMIFS('capacity data'!$L:$L,'capacity data'!$B:$B,P136,'capacity data'!$E:$E,"TPO")/SUMIFS('capacity data'!$G:$G,'capacity data'!$E:$E,"TPO",'capacity data'!$B:$B,P136),"")</f>
        <v/>
      </c>
      <c r="V136" s="400" t="str">
        <f>IFERROR(SUMIFS('capacity data'!$L:$L,'capacity data'!$B:$B,P136,'capacity data'!$E:$E,"PO")/SUMIFS('capacity data'!$G:$G,'capacity data'!$E:$E,"PO",'capacity data'!$B:$B,P136),"")</f>
        <v/>
      </c>
      <c r="W136" s="400" t="str">
        <f>IFERROR(SUM((SUMIFS('capacity data'!$G:$G,'capacity data'!$B:$B,P136))-SUMIFS('capacity data'!$H:$H,'capacity data'!$B:$B,P136))/SUMIFS('capacity data'!$G:$G,'capacity data'!$B:$B,P136),"")</f>
        <v/>
      </c>
    </row>
    <row r="137" spans="15:23" ht="16" x14ac:dyDescent="0.2">
      <c r="O137" s="23" t="s">
        <v>28</v>
      </c>
      <c r="P137" t="s">
        <v>83</v>
      </c>
      <c r="Q137" s="222" t="str">
        <f>IFERROR(SUM((SUMIFS('capacity data'!$G:$G,'capacity data'!$E:$E,"PO",'capacity data'!$B:$B,P137))-SUMIFS('capacity data'!$H:$H,'capacity data'!$E:$E,"PO",'capacity data'!$B:$B,P137))/SUMIFS('capacity data'!$G:$G,'capacity data'!$E:$E,"PO",'capacity data'!$B:$B,P137),"")</f>
        <v/>
      </c>
      <c r="R137" s="222" t="str">
        <f>IFERROR(SUM((SUMIFS('capacity data'!$G:$G,'capacity data'!$E:$E,"PSO",'capacity data'!$B:$B,P137))-SUMIFS('capacity data'!$H:$H,'capacity data'!$E:$E,"PSO",'capacity data'!$B:$B,P137))/SUMIFS('capacity data'!$G:$G,'capacity data'!$E:$E,"PSO",'capacity data'!$B:$B,P137),"")</f>
        <v/>
      </c>
      <c r="S137" s="22" t="str">
        <f t="shared" si="2"/>
        <v/>
      </c>
      <c r="T137" s="223" t="str">
        <f>IFERROR(SUMIFS('capacity data'!$L:$L,'capacity data'!$B:$B,P137,'capacity data'!$E:$E,"PSO")/SUMIFS('capacity data'!$G:$G,'capacity data'!$E:$E,"PSO",'capacity data'!$B:$B,P137),"")</f>
        <v/>
      </c>
      <c r="U137" s="223" t="str">
        <f>IFERROR(SUMIFS('capacity data'!$L:$L,'capacity data'!$B:$B,P137,'capacity data'!$E:$E,"TPO")/SUMIFS('capacity data'!$G:$G,'capacity data'!$E:$E,"TPO",'capacity data'!$B:$B,P137),"")</f>
        <v/>
      </c>
      <c r="V137" s="400" t="str">
        <f>IFERROR(SUMIFS('capacity data'!$L:$L,'capacity data'!$B:$B,P137,'capacity data'!$E:$E,"PO")/SUMIFS('capacity data'!$G:$G,'capacity data'!$E:$E,"PO",'capacity data'!$B:$B,P137),"")</f>
        <v/>
      </c>
      <c r="W137" s="400" t="str">
        <f>IFERROR(SUM((SUMIFS('capacity data'!$G:$G,'capacity data'!$B:$B,P137))-SUMIFS('capacity data'!$H:$H,'capacity data'!$B:$B,P137))/SUMIFS('capacity data'!$G:$G,'capacity data'!$B:$B,P137),"")</f>
        <v/>
      </c>
    </row>
    <row r="138" spans="15:23" ht="16" x14ac:dyDescent="0.2">
      <c r="O138" s="23" t="s">
        <v>28</v>
      </c>
      <c r="P138" t="s">
        <v>104</v>
      </c>
      <c r="Q138" s="222" t="str">
        <f>IFERROR(SUM((SUMIFS('capacity data'!$G:$G,'capacity data'!$E:$E,"PO",'capacity data'!$B:$B,P138))-SUMIFS('capacity data'!$H:$H,'capacity data'!$E:$E,"PO",'capacity data'!$B:$B,P138))/SUMIFS('capacity data'!$G:$G,'capacity data'!$E:$E,"PO",'capacity data'!$B:$B,P138),"")</f>
        <v/>
      </c>
      <c r="R138" s="222" t="str">
        <f>IFERROR(SUM((SUMIFS('capacity data'!$G:$G,'capacity data'!$E:$E,"PSO",'capacity data'!$B:$B,P138))-SUMIFS('capacity data'!$H:$H,'capacity data'!$E:$E,"PSO",'capacity data'!$B:$B,P138))/SUMIFS('capacity data'!$G:$G,'capacity data'!$E:$E,"PSO",'capacity data'!$B:$B,P138),"")</f>
        <v/>
      </c>
      <c r="S138" s="22" t="str">
        <f t="shared" si="2"/>
        <v/>
      </c>
      <c r="T138" s="223" t="str">
        <f>IFERROR(SUMIFS('capacity data'!$L:$L,'capacity data'!$B:$B,P138,'capacity data'!$E:$E,"PSO")/SUMIFS('capacity data'!$G:$G,'capacity data'!$E:$E,"PSO",'capacity data'!$B:$B,P138),"")</f>
        <v/>
      </c>
      <c r="U138" s="223" t="str">
        <f>IFERROR(SUMIFS('capacity data'!$L:$L,'capacity data'!$B:$B,P138,'capacity data'!$E:$E,"TPO")/SUMIFS('capacity data'!$G:$G,'capacity data'!$E:$E,"TPO",'capacity data'!$B:$B,P138),"")</f>
        <v/>
      </c>
      <c r="V138" s="400" t="str">
        <f>IFERROR(SUMIFS('capacity data'!$L:$L,'capacity data'!$B:$B,P138,'capacity data'!$E:$E,"PO")/SUMIFS('capacity data'!$G:$G,'capacity data'!$E:$E,"PO",'capacity data'!$B:$B,P138),"")</f>
        <v/>
      </c>
      <c r="W138" s="400" t="str">
        <f>IFERROR(SUM((SUMIFS('capacity data'!$G:$G,'capacity data'!$B:$B,P138))-SUMIFS('capacity data'!$H:$H,'capacity data'!$B:$B,P138))/SUMIFS('capacity data'!$G:$G,'capacity data'!$B:$B,P138),"")</f>
        <v/>
      </c>
    </row>
    <row r="139" spans="15:23" ht="16" x14ac:dyDescent="0.2">
      <c r="O139" s="23" t="s">
        <v>28</v>
      </c>
      <c r="P139" t="s">
        <v>809</v>
      </c>
      <c r="Q139" s="222" t="str">
        <f>IFERROR(SUM((SUMIFS('capacity data'!$G:$G,'capacity data'!$E:$E,"PO",'capacity data'!$B:$B,P139))-SUMIFS('capacity data'!$H:$H,'capacity data'!$E:$E,"PO",'capacity data'!$B:$B,P139))/SUMIFS('capacity data'!$G:$G,'capacity data'!$E:$E,"PO",'capacity data'!$B:$B,P139),"")</f>
        <v/>
      </c>
      <c r="R139" s="222" t="str">
        <f>IFERROR(SUM((SUMIFS('capacity data'!$G:$G,'capacity data'!$E:$E,"PSO",'capacity data'!$B:$B,P139))-SUMIFS('capacity data'!$H:$H,'capacity data'!$E:$E,"PSO",'capacity data'!$B:$B,P139))/SUMIFS('capacity data'!$G:$G,'capacity data'!$E:$E,"PSO",'capacity data'!$B:$B,P139),"")</f>
        <v/>
      </c>
      <c r="S139" s="22" t="str">
        <f t="shared" si="2"/>
        <v/>
      </c>
      <c r="T139" s="223" t="str">
        <f>IFERROR(SUMIFS('capacity data'!$L:$L,'capacity data'!$B:$B,P139,'capacity data'!$E:$E,"PSO")/SUMIFS('capacity data'!$G:$G,'capacity data'!$E:$E,"PSO",'capacity data'!$B:$B,P139),"")</f>
        <v/>
      </c>
      <c r="U139" s="223" t="str">
        <f>IFERROR(SUMIFS('capacity data'!$L:$L,'capacity data'!$B:$B,P139,'capacity data'!$E:$E,"TPO")/SUMIFS('capacity data'!$G:$G,'capacity data'!$E:$E,"TPO",'capacity data'!$B:$B,P139),"")</f>
        <v/>
      </c>
      <c r="V139" s="400" t="str">
        <f>IFERROR(SUMIFS('capacity data'!$L:$L,'capacity data'!$B:$B,P139,'capacity data'!$E:$E,"PO")/SUMIFS('capacity data'!$G:$G,'capacity data'!$E:$E,"PO",'capacity data'!$B:$B,P139),"")</f>
        <v/>
      </c>
      <c r="W139" s="400" t="str">
        <f>IFERROR(SUM((SUMIFS('capacity data'!$G:$G,'capacity data'!$B:$B,P139))-SUMIFS('capacity data'!$H:$H,'capacity data'!$B:$B,P139))/SUMIFS('capacity data'!$G:$G,'capacity data'!$B:$B,P139),"")</f>
        <v/>
      </c>
    </row>
    <row r="140" spans="15:23" ht="16" x14ac:dyDescent="0.2">
      <c r="O140" s="23" t="s">
        <v>28</v>
      </c>
      <c r="P140" t="s">
        <v>126</v>
      </c>
      <c r="Q140" s="222" t="str">
        <f>IFERROR(SUM((SUMIFS('capacity data'!$G:$G,'capacity data'!$E:$E,"PO",'capacity data'!$B:$B,P140))-SUMIFS('capacity data'!$H:$H,'capacity data'!$E:$E,"PO",'capacity data'!$B:$B,P140))/SUMIFS('capacity data'!$G:$G,'capacity data'!$E:$E,"PO",'capacity data'!$B:$B,P140),"")</f>
        <v/>
      </c>
      <c r="R140" s="222" t="str">
        <f>IFERROR(SUM((SUMIFS('capacity data'!$G:$G,'capacity data'!$E:$E,"PSO",'capacity data'!$B:$B,P140))-SUMIFS('capacity data'!$H:$H,'capacity data'!$E:$E,"PSO",'capacity data'!$B:$B,P140))/SUMIFS('capacity data'!$G:$G,'capacity data'!$E:$E,"PSO",'capacity data'!$B:$B,P140),"")</f>
        <v/>
      </c>
      <c r="S140" s="22" t="str">
        <f t="shared" si="2"/>
        <v/>
      </c>
      <c r="T140" s="223" t="str">
        <f>IFERROR(SUMIFS('capacity data'!$L:$L,'capacity data'!$B:$B,P140,'capacity data'!$E:$E,"PSO")/SUMIFS('capacity data'!$G:$G,'capacity data'!$E:$E,"PSO",'capacity data'!$B:$B,P140),"")</f>
        <v/>
      </c>
      <c r="U140" s="223" t="str">
        <f>IFERROR(SUMIFS('capacity data'!$L:$L,'capacity data'!$B:$B,P140,'capacity data'!$E:$E,"TPO")/SUMIFS('capacity data'!$G:$G,'capacity data'!$E:$E,"TPO",'capacity data'!$B:$B,P140),"")</f>
        <v/>
      </c>
      <c r="V140" s="400" t="str">
        <f>IFERROR(SUMIFS('capacity data'!$L:$L,'capacity data'!$B:$B,P140,'capacity data'!$E:$E,"PO")/SUMIFS('capacity data'!$G:$G,'capacity data'!$E:$E,"PO",'capacity data'!$B:$B,P140),"")</f>
        <v/>
      </c>
      <c r="W140" s="400" t="str">
        <f>IFERROR(SUM((SUMIFS('capacity data'!$G:$G,'capacity data'!$B:$B,P140))-SUMIFS('capacity data'!$H:$H,'capacity data'!$B:$B,P140))/SUMIFS('capacity data'!$G:$G,'capacity data'!$B:$B,P140),"")</f>
        <v/>
      </c>
    </row>
    <row r="141" spans="15:23" ht="16" x14ac:dyDescent="0.2">
      <c r="O141" s="23" t="s">
        <v>28</v>
      </c>
      <c r="P141" t="s">
        <v>147</v>
      </c>
      <c r="Q141" s="222" t="str">
        <f>IFERROR(SUM((SUMIFS('capacity data'!$G:$G,'capacity data'!$E:$E,"PO",'capacity data'!$B:$B,P141))-SUMIFS('capacity data'!$H:$H,'capacity data'!$E:$E,"PO",'capacity data'!$B:$B,P141))/SUMIFS('capacity data'!$G:$G,'capacity data'!$E:$E,"PO",'capacity data'!$B:$B,P141),"")</f>
        <v/>
      </c>
      <c r="R141" s="222" t="str">
        <f>IFERROR(SUM((SUMIFS('capacity data'!$G:$G,'capacity data'!$E:$E,"PSO",'capacity data'!$B:$B,P141))-SUMIFS('capacity data'!$H:$H,'capacity data'!$E:$E,"PSO",'capacity data'!$B:$B,P141))/SUMIFS('capacity data'!$G:$G,'capacity data'!$E:$E,"PSO",'capacity data'!$B:$B,P141),"")</f>
        <v/>
      </c>
      <c r="S141" s="22" t="str">
        <f t="shared" si="2"/>
        <v/>
      </c>
      <c r="T141" s="223" t="str">
        <f>IFERROR(SUMIFS('capacity data'!$L:$L,'capacity data'!$B:$B,P141,'capacity data'!$E:$E,"PSO")/SUMIFS('capacity data'!$G:$G,'capacity data'!$E:$E,"PSO",'capacity data'!$B:$B,P141),"")</f>
        <v/>
      </c>
      <c r="U141" s="223" t="str">
        <f>IFERROR(SUMIFS('capacity data'!$L:$L,'capacity data'!$B:$B,P141,'capacity data'!$E:$E,"TPO")/SUMIFS('capacity data'!$G:$G,'capacity data'!$E:$E,"TPO",'capacity data'!$B:$B,P141),"")</f>
        <v/>
      </c>
      <c r="V141" s="400" t="str">
        <f>IFERROR(SUMIFS('capacity data'!$L:$L,'capacity data'!$B:$B,P141,'capacity data'!$E:$E,"PO")/SUMIFS('capacity data'!$G:$G,'capacity data'!$E:$E,"PO",'capacity data'!$B:$B,P141),"")</f>
        <v/>
      </c>
      <c r="W141" s="400" t="str">
        <f>IFERROR(SUM((SUMIFS('capacity data'!$G:$G,'capacity data'!$B:$B,P141))-SUMIFS('capacity data'!$H:$H,'capacity data'!$B:$B,P141))/SUMIFS('capacity data'!$G:$G,'capacity data'!$B:$B,P141),"")</f>
        <v/>
      </c>
    </row>
    <row r="142" spans="15:23" ht="16" x14ac:dyDescent="0.2">
      <c r="O142" s="23" t="s">
        <v>28</v>
      </c>
      <c r="P142" t="s">
        <v>168</v>
      </c>
      <c r="Q142" s="222" t="str">
        <f>IFERROR(SUM((SUMIFS('capacity data'!$G:$G,'capacity data'!$E:$E,"PO",'capacity data'!$B:$B,P142))-SUMIFS('capacity data'!$H:$H,'capacity data'!$E:$E,"PO",'capacity data'!$B:$B,P142))/SUMIFS('capacity data'!$G:$G,'capacity data'!$E:$E,"PO",'capacity data'!$B:$B,P142),"")</f>
        <v/>
      </c>
      <c r="R142" s="222" t="str">
        <f>IFERROR(SUM((SUMIFS('capacity data'!$G:$G,'capacity data'!$E:$E,"PSO",'capacity data'!$B:$B,P142))-SUMIFS('capacity data'!$H:$H,'capacity data'!$E:$E,"PSO",'capacity data'!$B:$B,P142))/SUMIFS('capacity data'!$G:$G,'capacity data'!$E:$E,"PSO",'capacity data'!$B:$B,P142),"")</f>
        <v/>
      </c>
      <c r="S142" s="22" t="str">
        <f t="shared" si="2"/>
        <v/>
      </c>
      <c r="T142" s="223" t="str">
        <f>IFERROR(SUMIFS('capacity data'!$L:$L,'capacity data'!$B:$B,P142,'capacity data'!$E:$E,"PSO")/SUMIFS('capacity data'!$G:$G,'capacity data'!$E:$E,"PSO",'capacity data'!$B:$B,P142),"")</f>
        <v/>
      </c>
      <c r="U142" s="223" t="str">
        <f>IFERROR(SUMIFS('capacity data'!$L:$L,'capacity data'!$B:$B,P142,'capacity data'!$E:$E,"TPO")/SUMIFS('capacity data'!$G:$G,'capacity data'!$E:$E,"TPO",'capacity data'!$B:$B,P142),"")</f>
        <v/>
      </c>
      <c r="V142" s="400" t="str">
        <f>IFERROR(SUMIFS('capacity data'!$L:$L,'capacity data'!$B:$B,P142,'capacity data'!$E:$E,"PO")/SUMIFS('capacity data'!$G:$G,'capacity data'!$E:$E,"PO",'capacity data'!$B:$B,P142),"")</f>
        <v/>
      </c>
      <c r="W142" s="400" t="str">
        <f>IFERROR(SUM((SUMIFS('capacity data'!$G:$G,'capacity data'!$B:$B,P142))-SUMIFS('capacity data'!$H:$H,'capacity data'!$B:$B,P142))/SUMIFS('capacity data'!$G:$G,'capacity data'!$B:$B,P142),"")</f>
        <v/>
      </c>
    </row>
    <row r="143" spans="15:23" ht="16" x14ac:dyDescent="0.2">
      <c r="O143" s="23" t="s">
        <v>28</v>
      </c>
      <c r="P143" t="s">
        <v>187</v>
      </c>
      <c r="Q143" s="222" t="str">
        <f>IFERROR(SUM((SUMIFS('capacity data'!$G:$G,'capacity data'!$E:$E,"PO",'capacity data'!$B:$B,P143))-SUMIFS('capacity data'!$H:$H,'capacity data'!$E:$E,"PO",'capacity data'!$B:$B,P143))/SUMIFS('capacity data'!$G:$G,'capacity data'!$E:$E,"PO",'capacity data'!$B:$B,P143),"")</f>
        <v/>
      </c>
      <c r="R143" s="222" t="str">
        <f>IFERROR(SUM((SUMIFS('capacity data'!$G:$G,'capacity data'!$E:$E,"PSO",'capacity data'!$B:$B,P143))-SUMIFS('capacity data'!$H:$H,'capacity data'!$E:$E,"PSO",'capacity data'!$B:$B,P143))/SUMIFS('capacity data'!$G:$G,'capacity data'!$E:$E,"PSO",'capacity data'!$B:$B,P143),"")</f>
        <v/>
      </c>
      <c r="S143" s="22" t="str">
        <f t="shared" si="2"/>
        <v/>
      </c>
      <c r="T143" s="223" t="str">
        <f>IFERROR(SUMIFS('capacity data'!$L:$L,'capacity data'!$B:$B,P143,'capacity data'!$E:$E,"PSO")/SUMIFS('capacity data'!$G:$G,'capacity data'!$E:$E,"PSO",'capacity data'!$B:$B,P143),"")</f>
        <v/>
      </c>
      <c r="U143" s="223" t="str">
        <f>IFERROR(SUMIFS('capacity data'!$L:$L,'capacity data'!$B:$B,P143,'capacity data'!$E:$E,"TPO")/SUMIFS('capacity data'!$G:$G,'capacity data'!$E:$E,"TPO",'capacity data'!$B:$B,P143),"")</f>
        <v/>
      </c>
      <c r="V143" s="400" t="str">
        <f>IFERROR(SUMIFS('capacity data'!$L:$L,'capacity data'!$B:$B,P143,'capacity data'!$E:$E,"PO")/SUMIFS('capacity data'!$G:$G,'capacity data'!$E:$E,"PO",'capacity data'!$B:$B,P143),"")</f>
        <v/>
      </c>
      <c r="W143" s="400" t="str">
        <f>IFERROR(SUM((SUMIFS('capacity data'!$G:$G,'capacity data'!$B:$B,P143))-SUMIFS('capacity data'!$H:$H,'capacity data'!$B:$B,P143))/SUMIFS('capacity data'!$G:$G,'capacity data'!$B:$B,P143),"")</f>
        <v/>
      </c>
    </row>
    <row r="144" spans="15:23" ht="16" x14ac:dyDescent="0.2">
      <c r="O144" s="23" t="s">
        <v>28</v>
      </c>
      <c r="P144" t="s">
        <v>205</v>
      </c>
      <c r="Q144" s="222" t="str">
        <f>IFERROR(SUM((SUMIFS('capacity data'!$G:$G,'capacity data'!$E:$E,"PO",'capacity data'!$B:$B,P144))-SUMIFS('capacity data'!$H:$H,'capacity data'!$E:$E,"PO",'capacity data'!$B:$B,P144))/SUMIFS('capacity data'!$G:$G,'capacity data'!$E:$E,"PO",'capacity data'!$B:$B,P144),"")</f>
        <v/>
      </c>
      <c r="R144" s="222" t="str">
        <f>IFERROR(SUM((SUMIFS('capacity data'!$G:$G,'capacity data'!$E:$E,"PSO",'capacity data'!$B:$B,P144))-SUMIFS('capacity data'!$H:$H,'capacity data'!$E:$E,"PSO",'capacity data'!$B:$B,P144))/SUMIFS('capacity data'!$G:$G,'capacity data'!$E:$E,"PSO",'capacity data'!$B:$B,P144),"")</f>
        <v/>
      </c>
      <c r="S144" s="22" t="str">
        <f t="shared" si="2"/>
        <v/>
      </c>
      <c r="T144" s="223" t="str">
        <f>IFERROR(SUMIFS('capacity data'!$L:$L,'capacity data'!$B:$B,P144,'capacity data'!$E:$E,"PSO")/SUMIFS('capacity data'!$G:$G,'capacity data'!$E:$E,"PSO",'capacity data'!$B:$B,P144),"")</f>
        <v/>
      </c>
      <c r="U144" s="223" t="str">
        <f>IFERROR(SUMIFS('capacity data'!$L:$L,'capacity data'!$B:$B,P144,'capacity data'!$E:$E,"TPO")/SUMIFS('capacity data'!$G:$G,'capacity data'!$E:$E,"TPO",'capacity data'!$B:$B,P144),"")</f>
        <v/>
      </c>
      <c r="V144" s="400" t="str">
        <f>IFERROR(SUMIFS('capacity data'!$L:$L,'capacity data'!$B:$B,P144,'capacity data'!$E:$E,"PO")/SUMIFS('capacity data'!$G:$G,'capacity data'!$E:$E,"PO",'capacity data'!$B:$B,P144),"")</f>
        <v/>
      </c>
      <c r="W144" s="400" t="str">
        <f>IFERROR(SUM((SUMIFS('capacity data'!$G:$G,'capacity data'!$B:$B,P144))-SUMIFS('capacity data'!$H:$H,'capacity data'!$B:$B,P144))/SUMIFS('capacity data'!$G:$G,'capacity data'!$B:$B,P144),"")</f>
        <v/>
      </c>
    </row>
    <row r="145" spans="15:23" ht="16" x14ac:dyDescent="0.2">
      <c r="O145" s="23" t="s">
        <v>28</v>
      </c>
      <c r="P145" t="s">
        <v>222</v>
      </c>
      <c r="Q145" s="222" t="str">
        <f>IFERROR(SUM((SUMIFS('capacity data'!$G:$G,'capacity data'!$E:$E,"PO",'capacity data'!$B:$B,P145))-SUMIFS('capacity data'!$H:$H,'capacity data'!$E:$E,"PO",'capacity data'!$B:$B,P145))/SUMIFS('capacity data'!$G:$G,'capacity data'!$E:$E,"PO",'capacity data'!$B:$B,P145),"")</f>
        <v/>
      </c>
      <c r="R145" s="222" t="str">
        <f>IFERROR(SUM((SUMIFS('capacity data'!$G:$G,'capacity data'!$E:$E,"PSO",'capacity data'!$B:$B,P145))-SUMIFS('capacity data'!$H:$H,'capacity data'!$E:$E,"PSO",'capacity data'!$B:$B,P145))/SUMIFS('capacity data'!$G:$G,'capacity data'!$E:$E,"PSO",'capacity data'!$B:$B,P145),"")</f>
        <v/>
      </c>
      <c r="S145" s="22" t="str">
        <f t="shared" si="2"/>
        <v/>
      </c>
      <c r="T145" s="223" t="str">
        <f>IFERROR(SUMIFS('capacity data'!$L:$L,'capacity data'!$B:$B,P145,'capacity data'!$E:$E,"PSO")/SUMIFS('capacity data'!$G:$G,'capacity data'!$E:$E,"PSO",'capacity data'!$B:$B,P145),"")</f>
        <v/>
      </c>
      <c r="U145" s="223" t="str">
        <f>IFERROR(SUMIFS('capacity data'!$L:$L,'capacity data'!$B:$B,P145,'capacity data'!$E:$E,"TPO")/SUMIFS('capacity data'!$G:$G,'capacity data'!$E:$E,"TPO",'capacity data'!$B:$B,P145),"")</f>
        <v/>
      </c>
      <c r="V145" s="400" t="str">
        <f>IFERROR(SUMIFS('capacity data'!$L:$L,'capacity data'!$B:$B,P145,'capacity data'!$E:$E,"PO")/SUMIFS('capacity data'!$G:$G,'capacity data'!$E:$E,"PO",'capacity data'!$B:$B,P145),"")</f>
        <v/>
      </c>
      <c r="W145" s="400" t="str">
        <f>IFERROR(SUM((SUMIFS('capacity data'!$G:$G,'capacity data'!$B:$B,P145))-SUMIFS('capacity data'!$H:$H,'capacity data'!$B:$B,P145))/SUMIFS('capacity data'!$G:$G,'capacity data'!$B:$B,P145),"")</f>
        <v/>
      </c>
    </row>
    <row r="146" spans="15:23" ht="16" x14ac:dyDescent="0.2">
      <c r="O146" s="23" t="s">
        <v>28</v>
      </c>
      <c r="P146" t="s">
        <v>239</v>
      </c>
      <c r="Q146" s="222" t="str">
        <f>IFERROR(SUM((SUMIFS('capacity data'!$G:$G,'capacity data'!$E:$E,"PO",'capacity data'!$B:$B,P146))-SUMIFS('capacity data'!$H:$H,'capacity data'!$E:$E,"PO",'capacity data'!$B:$B,P146))/SUMIFS('capacity data'!$G:$G,'capacity data'!$E:$E,"PO",'capacity data'!$B:$B,P146),"")</f>
        <v/>
      </c>
      <c r="R146" s="222" t="str">
        <f>IFERROR(SUM((SUMIFS('capacity data'!$G:$G,'capacity data'!$E:$E,"PSO",'capacity data'!$B:$B,P146))-SUMIFS('capacity data'!$H:$H,'capacity data'!$E:$E,"PSO",'capacity data'!$B:$B,P146))/SUMIFS('capacity data'!$G:$G,'capacity data'!$E:$E,"PSO",'capacity data'!$B:$B,P146),"")</f>
        <v/>
      </c>
      <c r="S146" s="22" t="str">
        <f t="shared" si="2"/>
        <v/>
      </c>
      <c r="T146" s="223" t="str">
        <f>IFERROR(SUMIFS('capacity data'!$L:$L,'capacity data'!$B:$B,P146,'capacity data'!$E:$E,"PSO")/SUMIFS('capacity data'!$G:$G,'capacity data'!$E:$E,"PSO",'capacity data'!$B:$B,P146),"")</f>
        <v/>
      </c>
      <c r="U146" s="223" t="str">
        <f>IFERROR(SUMIFS('capacity data'!$L:$L,'capacity data'!$B:$B,P146,'capacity data'!$E:$E,"TPO")/SUMIFS('capacity data'!$G:$G,'capacity data'!$E:$E,"TPO",'capacity data'!$B:$B,P146),"")</f>
        <v/>
      </c>
      <c r="V146" s="400" t="str">
        <f>IFERROR(SUMIFS('capacity data'!$L:$L,'capacity data'!$B:$B,P146,'capacity data'!$E:$E,"PO")/SUMIFS('capacity data'!$G:$G,'capacity data'!$E:$E,"PO",'capacity data'!$B:$B,P146),"")</f>
        <v/>
      </c>
      <c r="W146" s="400" t="str">
        <f>IFERROR(SUM((SUMIFS('capacity data'!$G:$G,'capacity data'!$B:$B,P146))-SUMIFS('capacity data'!$H:$H,'capacity data'!$B:$B,P146))/SUMIFS('capacity data'!$G:$G,'capacity data'!$B:$B,P146),"")</f>
        <v/>
      </c>
    </row>
    <row r="147" spans="15:23" ht="16" x14ac:dyDescent="0.2">
      <c r="O147" s="23" t="s">
        <v>28</v>
      </c>
      <c r="P147" t="s">
        <v>810</v>
      </c>
      <c r="Q147" s="222" t="str">
        <f>IFERROR(SUM((SUMIFS('capacity data'!$G:$G,'capacity data'!$E:$E,"PO",'capacity data'!$B:$B,P147))-SUMIFS('capacity data'!$H:$H,'capacity data'!$E:$E,"PO",'capacity data'!$B:$B,P147))/SUMIFS('capacity data'!$G:$G,'capacity data'!$E:$E,"PO",'capacity data'!$B:$B,P147),"")</f>
        <v/>
      </c>
      <c r="R147" s="222" t="str">
        <f>IFERROR(SUM((SUMIFS('capacity data'!$G:$G,'capacity data'!$E:$E,"PSO",'capacity data'!$B:$B,P147))-SUMIFS('capacity data'!$H:$H,'capacity data'!$E:$E,"PSO",'capacity data'!$B:$B,P147))/SUMIFS('capacity data'!$G:$G,'capacity data'!$E:$E,"PSO",'capacity data'!$B:$B,P147),"")</f>
        <v/>
      </c>
      <c r="S147" s="22" t="str">
        <f t="shared" si="2"/>
        <v/>
      </c>
      <c r="T147" s="223" t="str">
        <f>IFERROR(SUMIFS('capacity data'!$L:$L,'capacity data'!$B:$B,P147,'capacity data'!$E:$E,"PSO")/SUMIFS('capacity data'!$G:$G,'capacity data'!$E:$E,"PSO",'capacity data'!$B:$B,P147),"")</f>
        <v/>
      </c>
      <c r="U147" s="223" t="str">
        <f>IFERROR(SUMIFS('capacity data'!$L:$L,'capacity data'!$B:$B,P147,'capacity data'!$E:$E,"TPO")/SUMIFS('capacity data'!$G:$G,'capacity data'!$E:$E,"TPO",'capacity data'!$B:$B,P147),"")</f>
        <v/>
      </c>
      <c r="V147" s="400" t="str">
        <f>IFERROR(SUMIFS('capacity data'!$L:$L,'capacity data'!$B:$B,P147,'capacity data'!$E:$E,"PO")/SUMIFS('capacity data'!$G:$G,'capacity data'!$E:$E,"PO",'capacity data'!$B:$B,P147),"")</f>
        <v/>
      </c>
      <c r="W147" s="400" t="str">
        <f>IFERROR(SUM((SUMIFS('capacity data'!$G:$G,'capacity data'!$B:$B,P147))-SUMIFS('capacity data'!$H:$H,'capacity data'!$B:$B,P147))/SUMIFS('capacity data'!$G:$G,'capacity data'!$B:$B,P147),"")</f>
        <v/>
      </c>
    </row>
    <row r="148" spans="15:23" ht="16" x14ac:dyDescent="0.2">
      <c r="O148" s="23" t="s">
        <v>28</v>
      </c>
      <c r="P148" t="s">
        <v>253</v>
      </c>
      <c r="Q148" s="222" t="str">
        <f>IFERROR(SUM((SUMIFS('capacity data'!$G:$G,'capacity data'!$E:$E,"PO",'capacity data'!$B:$B,P148))-SUMIFS('capacity data'!$H:$H,'capacity data'!$E:$E,"PO",'capacity data'!$B:$B,P148))/SUMIFS('capacity data'!$G:$G,'capacity data'!$E:$E,"PO",'capacity data'!$B:$B,P148),"")</f>
        <v/>
      </c>
      <c r="R148" s="222" t="str">
        <f>IFERROR(SUM((SUMIFS('capacity data'!$G:$G,'capacity data'!$E:$E,"PSO",'capacity data'!$B:$B,P148))-SUMIFS('capacity data'!$H:$H,'capacity data'!$E:$E,"PSO",'capacity data'!$B:$B,P148))/SUMIFS('capacity data'!$G:$G,'capacity data'!$E:$E,"PSO",'capacity data'!$B:$B,P148),"")</f>
        <v/>
      </c>
      <c r="S148" s="22" t="str">
        <f t="shared" si="2"/>
        <v/>
      </c>
      <c r="T148" s="223" t="str">
        <f>IFERROR(SUMIFS('capacity data'!$L:$L,'capacity data'!$B:$B,P148,'capacity data'!$E:$E,"PSO")/SUMIFS('capacity data'!$G:$G,'capacity data'!$E:$E,"PSO",'capacity data'!$B:$B,P148),"")</f>
        <v/>
      </c>
      <c r="U148" s="223" t="str">
        <f>IFERROR(SUMIFS('capacity data'!$L:$L,'capacity data'!$B:$B,P148,'capacity data'!$E:$E,"TPO")/SUMIFS('capacity data'!$G:$G,'capacity data'!$E:$E,"TPO",'capacity data'!$B:$B,P148),"")</f>
        <v/>
      </c>
      <c r="V148" s="400" t="str">
        <f>IFERROR(SUMIFS('capacity data'!$L:$L,'capacity data'!$B:$B,P148,'capacity data'!$E:$E,"PO")/SUMIFS('capacity data'!$G:$G,'capacity data'!$E:$E,"PO",'capacity data'!$B:$B,P148),"")</f>
        <v/>
      </c>
      <c r="W148" s="400" t="str">
        <f>IFERROR(SUM((SUMIFS('capacity data'!$G:$G,'capacity data'!$B:$B,P148))-SUMIFS('capacity data'!$H:$H,'capacity data'!$B:$B,P148))/SUMIFS('capacity data'!$G:$G,'capacity data'!$B:$B,P148),"")</f>
        <v/>
      </c>
    </row>
    <row r="149" spans="15:23" ht="16" x14ac:dyDescent="0.2">
      <c r="O149" s="23" t="s">
        <v>28</v>
      </c>
      <c r="P149" t="s">
        <v>265</v>
      </c>
      <c r="Q149" s="222" t="str">
        <f>IFERROR(SUM((SUMIFS('capacity data'!$G:$G,'capacity data'!$E:$E,"PO",'capacity data'!$B:$B,P149))-SUMIFS('capacity data'!$H:$H,'capacity data'!$E:$E,"PO",'capacity data'!$B:$B,P149))/SUMIFS('capacity data'!$G:$G,'capacity data'!$E:$E,"PO",'capacity data'!$B:$B,P149),"")</f>
        <v/>
      </c>
      <c r="R149" s="222" t="str">
        <f>IFERROR(SUM((SUMIFS('capacity data'!$G:$G,'capacity data'!$E:$E,"PSO",'capacity data'!$B:$B,P149))-SUMIFS('capacity data'!$H:$H,'capacity data'!$E:$E,"PSO",'capacity data'!$B:$B,P149))/SUMIFS('capacity data'!$G:$G,'capacity data'!$E:$E,"PSO",'capacity data'!$B:$B,P149),"")</f>
        <v/>
      </c>
      <c r="S149" s="22" t="str">
        <f t="shared" si="2"/>
        <v/>
      </c>
      <c r="T149" s="223" t="str">
        <f>IFERROR(SUMIFS('capacity data'!$L:$L,'capacity data'!$B:$B,P149,'capacity data'!$E:$E,"PSO")/SUMIFS('capacity data'!$G:$G,'capacity data'!$E:$E,"PSO",'capacity data'!$B:$B,P149),"")</f>
        <v/>
      </c>
      <c r="U149" s="223" t="str">
        <f>IFERROR(SUMIFS('capacity data'!$L:$L,'capacity data'!$B:$B,P149,'capacity data'!$E:$E,"TPO")/SUMIFS('capacity data'!$G:$G,'capacity data'!$E:$E,"TPO",'capacity data'!$B:$B,P149),"")</f>
        <v/>
      </c>
      <c r="V149" s="400" t="str">
        <f>IFERROR(SUMIFS('capacity data'!$L:$L,'capacity data'!$B:$B,P149,'capacity data'!$E:$E,"PO")/SUMIFS('capacity data'!$G:$G,'capacity data'!$E:$E,"PO",'capacity data'!$B:$B,P149),"")</f>
        <v/>
      </c>
      <c r="W149" s="400" t="str">
        <f>IFERROR(SUM((SUMIFS('capacity data'!$G:$G,'capacity data'!$B:$B,P149))-SUMIFS('capacity data'!$H:$H,'capacity data'!$B:$B,P149))/SUMIFS('capacity data'!$G:$G,'capacity data'!$B:$B,P149),"")</f>
        <v/>
      </c>
    </row>
    <row r="150" spans="15:23" ht="16" x14ac:dyDescent="0.2">
      <c r="O150" s="23" t="s">
        <v>28</v>
      </c>
      <c r="P150" t="s">
        <v>278</v>
      </c>
      <c r="Q150" s="222" t="str">
        <f>IFERROR(SUM((SUMIFS('capacity data'!$G:$G,'capacity data'!$E:$E,"PO",'capacity data'!$B:$B,P150))-SUMIFS('capacity data'!$H:$H,'capacity data'!$E:$E,"PO",'capacity data'!$B:$B,P150))/SUMIFS('capacity data'!$G:$G,'capacity data'!$E:$E,"PO",'capacity data'!$B:$B,P150),"")</f>
        <v/>
      </c>
      <c r="R150" s="222" t="str">
        <f>IFERROR(SUM((SUMIFS('capacity data'!$G:$G,'capacity data'!$E:$E,"PSO",'capacity data'!$B:$B,P150))-SUMIFS('capacity data'!$H:$H,'capacity data'!$E:$E,"PSO",'capacity data'!$B:$B,P150))/SUMIFS('capacity data'!$G:$G,'capacity data'!$E:$E,"PSO",'capacity data'!$B:$B,P150),"")</f>
        <v/>
      </c>
      <c r="S150" s="22" t="str">
        <f t="shared" si="2"/>
        <v/>
      </c>
      <c r="T150" s="223" t="str">
        <f>IFERROR(SUMIFS('capacity data'!$L:$L,'capacity data'!$B:$B,P150,'capacity data'!$E:$E,"PSO")/SUMIFS('capacity data'!$G:$G,'capacity data'!$E:$E,"PSO",'capacity data'!$B:$B,P150),"")</f>
        <v/>
      </c>
      <c r="U150" s="223" t="str">
        <f>IFERROR(SUMIFS('capacity data'!$L:$L,'capacity data'!$B:$B,P150,'capacity data'!$E:$E,"TPO")/SUMIFS('capacity data'!$G:$G,'capacity data'!$E:$E,"TPO",'capacity data'!$B:$B,P150),"")</f>
        <v/>
      </c>
      <c r="V150" s="400" t="str">
        <f>IFERROR(SUMIFS('capacity data'!$L:$L,'capacity data'!$B:$B,P150,'capacity data'!$E:$E,"PO")/SUMIFS('capacity data'!$G:$G,'capacity data'!$E:$E,"PO",'capacity data'!$B:$B,P150),"")</f>
        <v/>
      </c>
      <c r="W150" s="400" t="str">
        <f>IFERROR(SUM((SUMIFS('capacity data'!$G:$G,'capacity data'!$B:$B,P150))-SUMIFS('capacity data'!$H:$H,'capacity data'!$B:$B,P150))/SUMIFS('capacity data'!$G:$G,'capacity data'!$B:$B,P150),"")</f>
        <v/>
      </c>
    </row>
    <row r="151" spans="15:23" ht="16" x14ac:dyDescent="0.2">
      <c r="O151" s="23" t="s">
        <v>28</v>
      </c>
      <c r="P151" t="s">
        <v>292</v>
      </c>
      <c r="Q151" s="222" t="str">
        <f>IFERROR(SUM((SUMIFS('capacity data'!$G:$G,'capacity data'!$E:$E,"PO",'capacity data'!$B:$B,P151))-SUMIFS('capacity data'!$H:$H,'capacity data'!$E:$E,"PO",'capacity data'!$B:$B,P151))/SUMIFS('capacity data'!$G:$G,'capacity data'!$E:$E,"PO",'capacity data'!$B:$B,P151),"")</f>
        <v/>
      </c>
      <c r="R151" s="222" t="str">
        <f>IFERROR(SUM((SUMIFS('capacity data'!$G:$G,'capacity data'!$E:$E,"PSO",'capacity data'!$B:$B,P151))-SUMIFS('capacity data'!$H:$H,'capacity data'!$E:$E,"PSO",'capacity data'!$B:$B,P151))/SUMIFS('capacity data'!$G:$G,'capacity data'!$E:$E,"PSO",'capacity data'!$B:$B,P151),"")</f>
        <v/>
      </c>
      <c r="S151" s="22" t="str">
        <f t="shared" si="2"/>
        <v/>
      </c>
      <c r="T151" s="223" t="str">
        <f>IFERROR(SUMIFS('capacity data'!$L:$L,'capacity data'!$B:$B,P151,'capacity data'!$E:$E,"PSO")/SUMIFS('capacity data'!$G:$G,'capacity data'!$E:$E,"PSO",'capacity data'!$B:$B,P151),"")</f>
        <v/>
      </c>
      <c r="U151" s="223" t="str">
        <f>IFERROR(SUMIFS('capacity data'!$L:$L,'capacity data'!$B:$B,P151,'capacity data'!$E:$E,"TPO")/SUMIFS('capacity data'!$G:$G,'capacity data'!$E:$E,"TPO",'capacity data'!$B:$B,P151),"")</f>
        <v/>
      </c>
      <c r="V151" s="400" t="str">
        <f>IFERROR(SUMIFS('capacity data'!$L:$L,'capacity data'!$B:$B,P151,'capacity data'!$E:$E,"PO")/SUMIFS('capacity data'!$G:$G,'capacity data'!$E:$E,"PO",'capacity data'!$B:$B,P151),"")</f>
        <v/>
      </c>
      <c r="W151" s="400" t="str">
        <f>IFERROR(SUM((SUMIFS('capacity data'!$G:$G,'capacity data'!$B:$B,P151))-SUMIFS('capacity data'!$H:$H,'capacity data'!$B:$B,P151))/SUMIFS('capacity data'!$G:$G,'capacity data'!$B:$B,P151),"")</f>
        <v/>
      </c>
    </row>
    <row r="152" spans="15:23" ht="16" x14ac:dyDescent="0.2">
      <c r="O152" s="23" t="s">
        <v>28</v>
      </c>
      <c r="P152" t="s">
        <v>303</v>
      </c>
      <c r="Q152" s="222" t="str">
        <f>IFERROR(SUM((SUMIFS('capacity data'!$G:$G,'capacity data'!$E:$E,"PO",'capacity data'!$B:$B,P152))-SUMIFS('capacity data'!$H:$H,'capacity data'!$E:$E,"PO",'capacity data'!$B:$B,P152))/SUMIFS('capacity data'!$G:$G,'capacity data'!$E:$E,"PO",'capacity data'!$B:$B,P152),"")</f>
        <v/>
      </c>
      <c r="R152" s="222" t="str">
        <f>IFERROR(SUM((SUMIFS('capacity data'!$G:$G,'capacity data'!$E:$E,"PSO",'capacity data'!$B:$B,P152))-SUMIFS('capacity data'!$H:$H,'capacity data'!$E:$E,"PSO",'capacity data'!$B:$B,P152))/SUMIFS('capacity data'!$G:$G,'capacity data'!$E:$E,"PSO",'capacity data'!$B:$B,P152),"")</f>
        <v/>
      </c>
      <c r="S152" s="22" t="str">
        <f t="shared" si="2"/>
        <v/>
      </c>
      <c r="T152" s="223" t="str">
        <f>IFERROR(SUMIFS('capacity data'!$L:$L,'capacity data'!$B:$B,P152,'capacity data'!$E:$E,"PSO")/SUMIFS('capacity data'!$G:$G,'capacity data'!$E:$E,"PSO",'capacity data'!$B:$B,P152),"")</f>
        <v/>
      </c>
      <c r="U152" s="223" t="str">
        <f>IFERROR(SUMIFS('capacity data'!$L:$L,'capacity data'!$B:$B,P152,'capacity data'!$E:$E,"TPO")/SUMIFS('capacity data'!$G:$G,'capacity data'!$E:$E,"TPO",'capacity data'!$B:$B,P152),"")</f>
        <v/>
      </c>
      <c r="V152" s="400" t="str">
        <f>IFERROR(SUMIFS('capacity data'!$L:$L,'capacity data'!$B:$B,P152,'capacity data'!$E:$E,"PO")/SUMIFS('capacity data'!$G:$G,'capacity data'!$E:$E,"PO",'capacity data'!$B:$B,P152),"")</f>
        <v/>
      </c>
      <c r="W152" s="400" t="str">
        <f>IFERROR(SUM((SUMIFS('capacity data'!$G:$G,'capacity data'!$B:$B,P152))-SUMIFS('capacity data'!$H:$H,'capacity data'!$B:$B,P152))/SUMIFS('capacity data'!$G:$G,'capacity data'!$B:$B,P152),"")</f>
        <v/>
      </c>
    </row>
    <row r="153" spans="15:23" ht="16" x14ac:dyDescent="0.2">
      <c r="O153" s="23" t="s">
        <v>28</v>
      </c>
      <c r="P153" t="s">
        <v>316</v>
      </c>
      <c r="Q153" s="222" t="str">
        <f>IFERROR(SUM((SUMIFS('capacity data'!$G:$G,'capacity data'!$E:$E,"PO",'capacity data'!$B:$B,P153))-SUMIFS('capacity data'!$H:$H,'capacity data'!$E:$E,"PO",'capacity data'!$B:$B,P153))/SUMIFS('capacity data'!$G:$G,'capacity data'!$E:$E,"PO",'capacity data'!$B:$B,P153),"")</f>
        <v/>
      </c>
      <c r="R153" s="222" t="str">
        <f>IFERROR(SUM((SUMIFS('capacity data'!$G:$G,'capacity data'!$E:$E,"PSO",'capacity data'!$B:$B,P153))-SUMIFS('capacity data'!$H:$H,'capacity data'!$E:$E,"PSO",'capacity data'!$B:$B,P153))/SUMIFS('capacity data'!$G:$G,'capacity data'!$E:$E,"PSO",'capacity data'!$B:$B,P153),"")</f>
        <v/>
      </c>
      <c r="S153" s="22" t="str">
        <f t="shared" si="2"/>
        <v/>
      </c>
      <c r="T153" s="223" t="str">
        <f>IFERROR(SUMIFS('capacity data'!$L:$L,'capacity data'!$B:$B,P153,'capacity data'!$E:$E,"PSO")/SUMIFS('capacity data'!$G:$G,'capacity data'!$E:$E,"PSO",'capacity data'!$B:$B,P153),"")</f>
        <v/>
      </c>
      <c r="U153" s="223" t="str">
        <f>IFERROR(SUMIFS('capacity data'!$L:$L,'capacity data'!$B:$B,P153,'capacity data'!$E:$E,"TPO")/SUMIFS('capacity data'!$G:$G,'capacity data'!$E:$E,"TPO",'capacity data'!$B:$B,P153),"")</f>
        <v/>
      </c>
      <c r="V153" s="400" t="str">
        <f>IFERROR(SUMIFS('capacity data'!$L:$L,'capacity data'!$B:$B,P153,'capacity data'!$E:$E,"PO")/SUMIFS('capacity data'!$G:$G,'capacity data'!$E:$E,"PO",'capacity data'!$B:$B,P153),"")</f>
        <v/>
      </c>
      <c r="W153" s="400" t="str">
        <f>IFERROR(SUM((SUMIFS('capacity data'!$G:$G,'capacity data'!$B:$B,P153))-SUMIFS('capacity data'!$H:$H,'capacity data'!$B:$B,P153))/SUMIFS('capacity data'!$G:$G,'capacity data'!$B:$B,P153),"")</f>
        <v/>
      </c>
    </row>
  </sheetData>
  <sheetProtection selectLockedCells="1" selectUnlockedCells="1"/>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A2" sqref="A2"/>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38" t="s">
        <v>788</v>
      </c>
      <c r="B1" s="38" t="s">
        <v>811</v>
      </c>
      <c r="C1" s="38" t="s">
        <v>812</v>
      </c>
      <c r="D1" s="38" t="s">
        <v>813</v>
      </c>
      <c r="E1" s="38" t="s">
        <v>814</v>
      </c>
      <c r="F1" s="38" t="s">
        <v>815</v>
      </c>
      <c r="G1" s="38" t="s">
        <v>816</v>
      </c>
      <c r="H1" s="38" t="s">
        <v>817</v>
      </c>
      <c r="I1" s="38" t="s">
        <v>818</v>
      </c>
      <c r="J1" s="38" t="s">
        <v>819</v>
      </c>
      <c r="K1" s="38" t="s">
        <v>820</v>
      </c>
      <c r="L1" s="38" t="s">
        <v>821</v>
      </c>
      <c r="M1" s="38" t="s">
        <v>822</v>
      </c>
      <c r="N1" s="38" t="s">
        <v>823</v>
      </c>
      <c r="O1" s="38" t="s">
        <v>824</v>
      </c>
      <c r="P1" s="38" t="s">
        <v>825</v>
      </c>
      <c r="Q1" s="38" t="s">
        <v>826</v>
      </c>
      <c r="R1" s="38" t="s">
        <v>827</v>
      </c>
      <c r="S1" s="38" t="s">
        <v>828</v>
      </c>
      <c r="T1" s="38" t="s">
        <v>829</v>
      </c>
      <c r="U1" s="38" t="s">
        <v>830</v>
      </c>
      <c r="V1" s="38" t="s">
        <v>831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2"/>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0" t="s">
        <v>788</v>
      </c>
      <c r="B1" s="20" t="s">
        <v>789</v>
      </c>
      <c r="C1" s="20" t="s">
        <v>790</v>
      </c>
      <c r="D1" s="20" t="s">
        <v>791</v>
      </c>
      <c r="E1" s="20" t="s">
        <v>813</v>
      </c>
      <c r="F1" s="20" t="s">
        <v>796</v>
      </c>
      <c r="G1" s="20" t="s">
        <v>832</v>
      </c>
      <c r="H1" s="20" t="s">
        <v>833</v>
      </c>
      <c r="I1" s="20" t="s">
        <v>834</v>
      </c>
      <c r="J1" s="20" t="s">
        <v>835</v>
      </c>
      <c r="K1" s="20" t="s">
        <v>836</v>
      </c>
      <c r="L1" s="20" t="s">
        <v>837</v>
      </c>
    </row>
  </sheetData>
  <sheetProtection selectLockedCells="1" selectUnlockedCell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topLeftCell="A16" zoomScaleNormal="100" workbookViewId="0">
      <selection activeCell="H42" sqref="H42"/>
    </sheetView>
  </sheetViews>
  <sheetFormatPr baseColWidth="10" defaultColWidth="8.83203125" defaultRowHeight="14" x14ac:dyDescent="0.15"/>
  <cols>
    <col min="1" max="1" width="43.5" style="8" customWidth="1"/>
    <col min="2" max="2" width="9.1640625" style="8"/>
    <col min="3" max="3" width="64.5" style="8" customWidth="1"/>
    <col min="4" max="4" width="5.5" style="27" customWidth="1"/>
    <col min="5" max="5" width="10" style="27" customWidth="1"/>
    <col min="6" max="6" width="9.1640625" style="8"/>
    <col min="7" max="7" width="51.1640625" style="8" customWidth="1"/>
    <col min="8" max="8" width="33.1640625" style="27" customWidth="1"/>
    <col min="9" max="9" width="32.83203125" style="27" customWidth="1"/>
    <col min="10" max="10" width="32.83203125" style="8" customWidth="1"/>
    <col min="11" max="11" width="9.1640625" style="8"/>
  </cols>
  <sheetData>
    <row r="4" spans="1:9" ht="16" x14ac:dyDescent="0.2">
      <c r="C4" s="13" t="s">
        <v>838</v>
      </c>
      <c r="D4" s="24"/>
      <c r="E4" s="32"/>
      <c r="G4" s="25" t="s">
        <v>839</v>
      </c>
      <c r="H4" s="212" t="s">
        <v>840</v>
      </c>
      <c r="I4" s="212" t="s">
        <v>841</v>
      </c>
    </row>
    <row r="5" spans="1:9" ht="16" x14ac:dyDescent="0.2">
      <c r="C5" s="13"/>
      <c r="D5" s="24"/>
      <c r="E5" s="32"/>
      <c r="G5" s="25"/>
      <c r="H5" s="212"/>
      <c r="I5" s="212"/>
    </row>
    <row r="6" spans="1:9" ht="16" x14ac:dyDescent="0.2">
      <c r="A6" s="23" t="s">
        <v>842</v>
      </c>
      <c r="C6" s="15" t="s">
        <v>842</v>
      </c>
      <c r="D6" s="35">
        <f>COUNTIF('reductions data'!G:G,'reductions workings'!C6)</f>
        <v>0</v>
      </c>
      <c r="E6" s="35">
        <f>D6+0.0001</f>
        <v>1E-4</v>
      </c>
      <c r="G6" s="15" t="s">
        <v>842</v>
      </c>
      <c r="H6" s="28">
        <f>SUMIF('reductions data'!$G:$G,'reductions workings'!$G6,'reductions data'!$H:$H)</f>
        <v>0</v>
      </c>
      <c r="I6" s="22" t="e">
        <f>H6/H55</f>
        <v>#DIV/0!</v>
      </c>
    </row>
    <row r="7" spans="1:9" ht="16" x14ac:dyDescent="0.2">
      <c r="A7" s="23" t="s">
        <v>844</v>
      </c>
      <c r="C7" s="15" t="s">
        <v>844</v>
      </c>
      <c r="D7" s="35">
        <f>COUNTIF('reductions data'!G:G,'reductions workings'!C8)</f>
        <v>0</v>
      </c>
      <c r="E7" s="35">
        <f>D7+0.0003</f>
        <v>2.9999999999999997E-4</v>
      </c>
      <c r="G7" s="15" t="s">
        <v>844</v>
      </c>
      <c r="H7" s="28">
        <f>SUMIF('reductions data'!$G:$G,'reductions workings'!$G7,'reductions data'!$H:$H)</f>
        <v>0</v>
      </c>
      <c r="I7" s="22" t="e">
        <f>H7/H55</f>
        <v>#DIV/0!</v>
      </c>
    </row>
    <row r="8" spans="1:9" ht="16" x14ac:dyDescent="0.2">
      <c r="A8" s="23" t="s">
        <v>843</v>
      </c>
      <c r="C8" s="15" t="s">
        <v>843</v>
      </c>
      <c r="D8" s="35">
        <f>COUNTIF('reductions data'!G:G,'reductions workings'!C7)</f>
        <v>0</v>
      </c>
      <c r="E8" s="35">
        <f>D8+0.0002</f>
        <v>2.0000000000000001E-4</v>
      </c>
      <c r="G8" s="15" t="s">
        <v>843</v>
      </c>
      <c r="H8" s="28">
        <f>SUMIF('reductions data'!$G:$G,'reductions workings'!$G8,'reductions data'!$H:$H)</f>
        <v>0</v>
      </c>
      <c r="I8" s="22" t="e">
        <f>H8/H55</f>
        <v>#DIV/0!</v>
      </c>
    </row>
    <row r="9" spans="1:9" ht="16" x14ac:dyDescent="0.2">
      <c r="A9" s="23" t="s">
        <v>845</v>
      </c>
      <c r="C9" s="15" t="s">
        <v>845</v>
      </c>
      <c r="D9" s="35">
        <f>COUNTIF('reductions data'!G:G,'reductions workings'!C9)</f>
        <v>0</v>
      </c>
      <c r="E9" s="35">
        <f>D9+0.0004</f>
        <v>4.0000000000000002E-4</v>
      </c>
      <c r="G9" s="15" t="s">
        <v>845</v>
      </c>
      <c r="H9" s="28">
        <f>SUMIF('reductions data'!$G:$G,'reductions workings'!$G9,'reductions data'!$H:$H)</f>
        <v>0</v>
      </c>
      <c r="I9" s="22" t="e">
        <f>H9/H55</f>
        <v>#DIV/0!</v>
      </c>
    </row>
    <row r="10" spans="1:9" ht="16" x14ac:dyDescent="0.2">
      <c r="A10" s="23" t="s">
        <v>846</v>
      </c>
      <c r="C10" s="15" t="s">
        <v>846</v>
      </c>
      <c r="D10" s="35">
        <f>COUNTIF('reductions data'!G:G,'reductions workings'!C10)</f>
        <v>0</v>
      </c>
      <c r="E10" s="35">
        <f>D10+0.0005</f>
        <v>5.0000000000000001E-4</v>
      </c>
      <c r="G10" s="15" t="s">
        <v>846</v>
      </c>
      <c r="H10" s="28">
        <f>SUMIF('reductions data'!$G:$G,'reductions workings'!$G10,'reductions data'!$H:$H)</f>
        <v>0</v>
      </c>
      <c r="I10" s="22" t="e">
        <f>H10/H55</f>
        <v>#DIV/0!</v>
      </c>
    </row>
    <row r="11" spans="1:9" ht="16" x14ac:dyDescent="0.2">
      <c r="A11" s="23" t="s">
        <v>847</v>
      </c>
      <c r="C11" s="15" t="s">
        <v>847</v>
      </c>
      <c r="D11" s="35">
        <f>COUNTIF('reductions data'!G:G,'reductions workings'!C11)</f>
        <v>0</v>
      </c>
      <c r="E11" s="35">
        <f>D11+0.0006</f>
        <v>5.9999999999999995E-4</v>
      </c>
      <c r="G11" s="15" t="s">
        <v>847</v>
      </c>
      <c r="H11" s="28">
        <f>SUMIF('reductions data'!$G:$G,'reductions workings'!$G11,'reductions data'!$H:$H)</f>
        <v>0</v>
      </c>
      <c r="I11" s="22" t="e">
        <f>H11/H55</f>
        <v>#DIV/0!</v>
      </c>
    </row>
    <row r="12" spans="1:9" ht="16" x14ac:dyDescent="0.2">
      <c r="A12" s="23" t="s">
        <v>848</v>
      </c>
      <c r="C12" s="15" t="s">
        <v>848</v>
      </c>
      <c r="D12" s="35">
        <f>COUNTIF('reductions data'!G:G,'reductions workings'!C12)</f>
        <v>0</v>
      </c>
      <c r="E12" s="35">
        <f>D12+0.0006</f>
        <v>5.9999999999999995E-4</v>
      </c>
      <c r="G12" s="15" t="s">
        <v>848</v>
      </c>
      <c r="H12" s="28">
        <f>SUMIF('reductions data'!$G:$G,'reductions workings'!$G12,'reductions data'!$H:$H)</f>
        <v>0</v>
      </c>
      <c r="I12" s="22" t="e">
        <f>H12/H55</f>
        <v>#DIV/0!</v>
      </c>
    </row>
    <row r="13" spans="1:9" ht="16" x14ac:dyDescent="0.2">
      <c r="A13" s="23" t="s">
        <v>1204</v>
      </c>
      <c r="C13" s="15" t="s">
        <v>1204</v>
      </c>
      <c r="D13" s="35">
        <f>COUNTIF('reductions data'!G:G,'reductions workings'!C14)</f>
        <v>0</v>
      </c>
      <c r="E13" s="35">
        <f>D13+0.0008</f>
        <v>8.0000000000000004E-4</v>
      </c>
      <c r="G13" s="15" t="s">
        <v>1204</v>
      </c>
      <c r="H13" s="28">
        <f>SUMIF('reductions data'!$G:$G,'reductions workings'!$G14,'reductions data'!$H:$H)</f>
        <v>0</v>
      </c>
      <c r="I13" s="22" t="e">
        <f>H13/H55</f>
        <v>#DIV/0!</v>
      </c>
    </row>
    <row r="14" spans="1:9" ht="16" x14ac:dyDescent="0.2">
      <c r="A14" s="23" t="s">
        <v>849</v>
      </c>
      <c r="C14" s="15" t="s">
        <v>849</v>
      </c>
      <c r="D14" s="316">
        <f>COUNTIF('reductions data'!G:G,'reductions workings'!C13)</f>
        <v>0</v>
      </c>
      <c r="E14" s="316">
        <f>D14+0.0008</f>
        <v>8.0000000000000004E-4</v>
      </c>
      <c r="G14" s="15" t="s">
        <v>849</v>
      </c>
      <c r="H14" s="28">
        <f>SUMIF('reductions data'!$G:$G,'reductions workings'!$G13,'reductions data'!$H:$H)</f>
        <v>0</v>
      </c>
      <c r="I14" s="22" t="e">
        <f>H14/H55</f>
        <v>#DIV/0!</v>
      </c>
    </row>
    <row r="15" spans="1:9" ht="16" x14ac:dyDescent="0.2">
      <c r="A15" s="23" t="s">
        <v>850</v>
      </c>
      <c r="C15" s="15" t="s">
        <v>850</v>
      </c>
      <c r="D15" s="35">
        <f>COUNTIF('reductions data'!G:G,'reductions workings'!C15)</f>
        <v>0</v>
      </c>
      <c r="E15" s="35">
        <f>D15+0.0009</f>
        <v>8.9999999999999998E-4</v>
      </c>
      <c r="G15" s="15" t="s">
        <v>850</v>
      </c>
      <c r="H15" s="28">
        <f>SUMIF('reductions data'!$G:$G,'reductions workings'!$G15,'reductions data'!$H:$H)</f>
        <v>0</v>
      </c>
      <c r="I15" s="22" t="e">
        <f>H15/H55</f>
        <v>#DIV/0!</v>
      </c>
    </row>
    <row r="16" spans="1:9" ht="16" x14ac:dyDescent="0.2">
      <c r="A16" s="23" t="s">
        <v>851</v>
      </c>
      <c r="C16" s="15" t="s">
        <v>851</v>
      </c>
      <c r="D16" s="35">
        <f>COUNTIF('reductions data'!G:G,'reductions workings'!C16)</f>
        <v>0</v>
      </c>
      <c r="E16" s="35">
        <f>D16+0.0009</f>
        <v>8.9999999999999998E-4</v>
      </c>
      <c r="G16" s="15" t="s">
        <v>851</v>
      </c>
      <c r="H16" s="28">
        <f>SUMIF('reductions data'!$G:$G,'reductions workings'!$G16,'reductions data'!$H:$H)</f>
        <v>0</v>
      </c>
      <c r="I16" s="22" t="e">
        <f>H16/H55</f>
        <v>#DIV/0!</v>
      </c>
    </row>
    <row r="17" spans="1:9" ht="16" x14ac:dyDescent="0.2">
      <c r="A17" s="23" t="s">
        <v>852</v>
      </c>
      <c r="C17" s="15" t="s">
        <v>852</v>
      </c>
      <c r="D17" s="35">
        <f>COUNTIF('reductions data'!G:G,'reductions workings'!C17)</f>
        <v>0</v>
      </c>
      <c r="E17" s="35">
        <f>D17+0.00011</f>
        <v>1.1E-4</v>
      </c>
      <c r="G17" s="15" t="s">
        <v>852</v>
      </c>
      <c r="H17" s="28">
        <f>SUMIF('reductions data'!$G:$G,'reductions workings'!$G17,'reductions data'!$H:$H)</f>
        <v>0</v>
      </c>
      <c r="I17" s="22" t="e">
        <f>H17/H55</f>
        <v>#DIV/0!</v>
      </c>
    </row>
    <row r="18" spans="1:9" ht="16" x14ac:dyDescent="0.2">
      <c r="A18" s="23" t="s">
        <v>856</v>
      </c>
      <c r="C18" s="15" t="s">
        <v>853</v>
      </c>
      <c r="D18" s="35">
        <f>COUNTIF('reductions data'!G:G,'reductions workings'!C18)</f>
        <v>0</v>
      </c>
      <c r="E18" s="35">
        <f>D18+0.00012</f>
        <v>1.2E-4</v>
      </c>
      <c r="G18" s="15" t="s">
        <v>853</v>
      </c>
      <c r="H18" s="28">
        <f>SUMIF('reductions data'!$G:$G,'reductions workings'!$G18,'reductions data'!$H:$H)</f>
        <v>0</v>
      </c>
      <c r="I18" s="22" t="e">
        <f>H18/H55</f>
        <v>#DIV/0!</v>
      </c>
    </row>
    <row r="19" spans="1:9" ht="16" x14ac:dyDescent="0.2">
      <c r="A19" s="23" t="s">
        <v>853</v>
      </c>
      <c r="C19" s="15" t="s">
        <v>855</v>
      </c>
      <c r="D19" s="35">
        <f>COUNTIF('reductions data'!G:G,'reductions workings'!C20)</f>
        <v>0</v>
      </c>
      <c r="E19" s="35">
        <f>D19+0.00014</f>
        <v>1.3999999999999999E-4</v>
      </c>
      <c r="G19" s="15" t="s">
        <v>855</v>
      </c>
      <c r="H19" s="28">
        <f>SUMIF('reductions data'!$G:$G,'reductions workings'!$G19,'reductions data'!$H:$H)</f>
        <v>0</v>
      </c>
      <c r="I19" s="22" t="e">
        <f>H19/H55</f>
        <v>#DIV/0!</v>
      </c>
    </row>
    <row r="20" spans="1:9" ht="16" x14ac:dyDescent="0.2">
      <c r="A20" s="23" t="s">
        <v>855</v>
      </c>
      <c r="C20" s="15" t="s">
        <v>858</v>
      </c>
      <c r="D20" s="35">
        <f>COUNTIF('reductions data'!G:G,'reductions workings'!C22)</f>
        <v>0</v>
      </c>
      <c r="E20" s="35">
        <f>D20+0.00016</f>
        <v>1.6000000000000001E-4</v>
      </c>
      <c r="G20" s="15" t="s">
        <v>858</v>
      </c>
      <c r="H20" s="28">
        <f>SUMIF('reductions data'!$G:$G,'reductions workings'!$G20,'reductions data'!$H:$H)</f>
        <v>0</v>
      </c>
      <c r="I20" s="22" t="e">
        <f>H20/H55</f>
        <v>#DIV/0!</v>
      </c>
    </row>
    <row r="21" spans="1:9" ht="16" x14ac:dyDescent="0.2">
      <c r="A21" s="23" t="s">
        <v>858</v>
      </c>
      <c r="C21" s="15" t="s">
        <v>854</v>
      </c>
      <c r="D21" s="35">
        <f>COUNTIF('reductions data'!G:G,'reductions workings'!C19)</f>
        <v>0</v>
      </c>
      <c r="E21" s="35">
        <f>D21+0.00013</f>
        <v>1.2999999999999999E-4</v>
      </c>
      <c r="G21" s="15" t="s">
        <v>854</v>
      </c>
      <c r="H21" s="28">
        <f>SUMIF('reductions data'!$G:$G,'reductions workings'!$G21,'reductions data'!$H:$H)</f>
        <v>0</v>
      </c>
      <c r="I21" s="22" t="e">
        <f>H21/H55</f>
        <v>#DIV/0!</v>
      </c>
    </row>
    <row r="22" spans="1:9" ht="16" x14ac:dyDescent="0.2">
      <c r="A22" s="23" t="s">
        <v>854</v>
      </c>
      <c r="C22" s="15" t="s">
        <v>857</v>
      </c>
      <c r="D22" s="35">
        <f>COUNTIF('reductions data'!G:G,'reductions workings'!C21)</f>
        <v>0</v>
      </c>
      <c r="E22" s="35">
        <f>D22+0.00015</f>
        <v>1.4999999999999999E-4</v>
      </c>
      <c r="G22" s="15" t="s">
        <v>857</v>
      </c>
      <c r="H22" s="28">
        <f>SUMIF('reductions data'!$G:$G,'reductions workings'!$G22,'reductions data'!$H:$H)</f>
        <v>0</v>
      </c>
      <c r="I22" s="22" t="e">
        <f>H22/H55</f>
        <v>#DIV/0!</v>
      </c>
    </row>
    <row r="23" spans="1:9" ht="16" x14ac:dyDescent="0.2">
      <c r="A23" s="23" t="s">
        <v>859</v>
      </c>
      <c r="C23" s="15" t="s">
        <v>859</v>
      </c>
      <c r="D23" s="35">
        <f>COUNTIF('reductions data'!G:G,'reductions workings'!C23)</f>
        <v>0</v>
      </c>
      <c r="E23" s="35">
        <f>D23+0.00017</f>
        <v>1.7000000000000001E-4</v>
      </c>
      <c r="G23" s="15" t="s">
        <v>859</v>
      </c>
      <c r="H23" s="28">
        <f>SUMIF('reductions data'!$G:$G,'reductions workings'!$G23,'reductions data'!$H:$H)</f>
        <v>0</v>
      </c>
      <c r="I23" s="22" t="e">
        <f>H23/H55</f>
        <v>#DIV/0!</v>
      </c>
    </row>
    <row r="24" spans="1:9" ht="16" x14ac:dyDescent="0.2">
      <c r="A24" s="23" t="s">
        <v>860</v>
      </c>
      <c r="C24" s="15" t="s">
        <v>860</v>
      </c>
      <c r="D24" s="35">
        <f>COUNTIF('reductions data'!G:G,'reductions workings'!C24)</f>
        <v>0</v>
      </c>
      <c r="E24" s="35">
        <f>D24+0.00018</f>
        <v>1.8000000000000001E-4</v>
      </c>
      <c r="G24" s="15" t="s">
        <v>860</v>
      </c>
      <c r="H24" s="28">
        <f>SUMIF('reductions data'!$G:$G,'reductions workings'!$G24,'reductions data'!$H:$H)</f>
        <v>0</v>
      </c>
      <c r="I24" s="22" t="e">
        <f>H24/H55</f>
        <v>#DIV/0!</v>
      </c>
    </row>
    <row r="25" spans="1:9" ht="16" x14ac:dyDescent="0.2">
      <c r="A25" s="23" t="s">
        <v>861</v>
      </c>
      <c r="C25" s="15" t="s">
        <v>861</v>
      </c>
      <c r="D25" s="35">
        <f>COUNTIF('reductions data'!G:G,'reductions workings'!C25)</f>
        <v>0</v>
      </c>
      <c r="E25" s="35">
        <f>D25+0.00019</f>
        <v>1.9000000000000001E-4</v>
      </c>
      <c r="G25" s="15" t="s">
        <v>861</v>
      </c>
      <c r="H25" s="28">
        <f>SUMIF('reductions data'!$G:$G,'reductions workings'!$G25,'reductions data'!$H:$H)</f>
        <v>0</v>
      </c>
      <c r="I25" s="22" t="e">
        <f>H25/H55</f>
        <v>#DIV/0!</v>
      </c>
    </row>
    <row r="26" spans="1:9" ht="16" x14ac:dyDescent="0.2">
      <c r="A26" s="23" t="s">
        <v>862</v>
      </c>
      <c r="C26" s="15" t="s">
        <v>862</v>
      </c>
      <c r="D26" s="35">
        <f>COUNTIF('reductions data'!G:G,'reductions workings'!C26)</f>
        <v>0</v>
      </c>
      <c r="E26" s="35">
        <f>D26+0.00021</f>
        <v>2.1000000000000001E-4</v>
      </c>
      <c r="G26" s="15" t="s">
        <v>862</v>
      </c>
      <c r="H26" s="28">
        <f>SUMIF('reductions data'!$G:$G,'reductions workings'!$G26,'reductions data'!$H:$H)</f>
        <v>0</v>
      </c>
      <c r="I26" s="22" t="e">
        <f>H26/H55</f>
        <v>#DIV/0!</v>
      </c>
    </row>
    <row r="27" spans="1:9" ht="16" x14ac:dyDescent="0.2">
      <c r="A27" s="23" t="s">
        <v>863</v>
      </c>
      <c r="C27" s="15" t="s">
        <v>863</v>
      </c>
      <c r="D27" s="35">
        <f>COUNTIF('reductions data'!G:G,'reductions workings'!C27)</f>
        <v>0</v>
      </c>
      <c r="E27" s="35">
        <f>D27+0.00022</f>
        <v>2.2000000000000001E-4</v>
      </c>
      <c r="G27" s="15" t="s">
        <v>863</v>
      </c>
      <c r="H27" s="28">
        <f>SUMIF('reductions data'!$G:$G,'reductions workings'!$G27,'reductions data'!$H:$H)</f>
        <v>0</v>
      </c>
      <c r="I27" s="22" t="e">
        <f>H27/H55</f>
        <v>#DIV/0!</v>
      </c>
    </row>
    <row r="28" spans="1:9" ht="16" x14ac:dyDescent="0.2">
      <c r="A28" s="23" t="s">
        <v>864</v>
      </c>
      <c r="C28" s="15" t="s">
        <v>864</v>
      </c>
      <c r="D28" s="35">
        <f>COUNTIF('reductions data'!G:G,'reductions workings'!C28)</f>
        <v>0</v>
      </c>
      <c r="E28" s="35">
        <f>D28+0.00023</f>
        <v>2.3000000000000001E-4</v>
      </c>
      <c r="G28" s="15" t="s">
        <v>864</v>
      </c>
      <c r="H28" s="28">
        <f>SUMIF('reductions data'!$G:$G,'reductions workings'!$G28,'reductions data'!$H:$H)</f>
        <v>0</v>
      </c>
      <c r="I28" s="22" t="e">
        <f>H28/H55</f>
        <v>#DIV/0!</v>
      </c>
    </row>
    <row r="29" spans="1:9" ht="16" x14ac:dyDescent="0.2">
      <c r="A29" s="23" t="s">
        <v>865</v>
      </c>
      <c r="C29" s="15" t="s">
        <v>865</v>
      </c>
      <c r="D29" s="35">
        <f>COUNTIF('reductions data'!G:G,'reductions workings'!C29)</f>
        <v>0</v>
      </c>
      <c r="E29" s="35">
        <f>D29+0.00024</f>
        <v>2.4000000000000001E-4</v>
      </c>
      <c r="G29" s="15" t="s">
        <v>865</v>
      </c>
      <c r="H29" s="28">
        <f>SUMIF('reductions data'!$G:$G,'reductions workings'!$G29,'reductions data'!$H:$H)</f>
        <v>0</v>
      </c>
      <c r="I29" s="22" t="e">
        <f>H29/H55</f>
        <v>#DIV/0!</v>
      </c>
    </row>
    <row r="30" spans="1:9" ht="16" x14ac:dyDescent="0.2">
      <c r="A30" s="23" t="s">
        <v>1197</v>
      </c>
      <c r="C30" s="318" t="s">
        <v>1197</v>
      </c>
      <c r="D30" s="393">
        <f>COUNTIF('reductions data'!G:G,'reductions workings'!C34)</f>
        <v>0</v>
      </c>
      <c r="E30" s="35">
        <f t="shared" ref="E30:E36" si="0">D30+0.00032</f>
        <v>3.2000000000000003E-4</v>
      </c>
      <c r="G30" s="318" t="s">
        <v>1197</v>
      </c>
      <c r="H30" s="28">
        <f>SUMIF('reductions data'!$G:$G,'reductions workings'!$G30,'reductions data'!$H:$H)</f>
        <v>0</v>
      </c>
      <c r="I30" s="22" t="e">
        <f>H30/H55</f>
        <v>#DIV/0!</v>
      </c>
    </row>
    <row r="31" spans="1:9" ht="16" x14ac:dyDescent="0.2">
      <c r="A31" s="23" t="s">
        <v>1198</v>
      </c>
      <c r="C31" s="318" t="s">
        <v>1198</v>
      </c>
      <c r="D31" s="319">
        <f>COUNTIF('reductions data'!G:G,'reductions workings'!C35)</f>
        <v>0</v>
      </c>
      <c r="E31" s="313">
        <f t="shared" si="0"/>
        <v>3.2000000000000003E-4</v>
      </c>
      <c r="G31" s="318" t="s">
        <v>1198</v>
      </c>
      <c r="H31" s="28">
        <f>SUMIF('reductions data'!$G:$G,'reductions workings'!$G31,'reductions data'!$H:$H)</f>
        <v>0</v>
      </c>
      <c r="I31" s="22" t="e">
        <f>H31/H55</f>
        <v>#DIV/0!</v>
      </c>
    </row>
    <row r="32" spans="1:9" ht="16" x14ac:dyDescent="0.2">
      <c r="A32" s="23" t="s">
        <v>1195</v>
      </c>
      <c r="C32" s="318" t="s">
        <v>1195</v>
      </c>
      <c r="D32" s="319">
        <f>COUNTIF('reductions data'!G:G,'reductions workings'!C31)</f>
        <v>0</v>
      </c>
      <c r="E32" s="313">
        <f t="shared" si="0"/>
        <v>3.2000000000000003E-4</v>
      </c>
      <c r="G32" s="318" t="s">
        <v>1195</v>
      </c>
      <c r="H32" s="28">
        <f>SUMIF('reductions data'!$G:$G,'reductions workings'!$G32,'reductions data'!$H:$H)</f>
        <v>0</v>
      </c>
      <c r="I32" s="22" t="e">
        <f>H32/H55</f>
        <v>#DIV/0!</v>
      </c>
    </row>
    <row r="33" spans="1:9" ht="16" x14ac:dyDescent="0.2">
      <c r="A33" s="23" t="s">
        <v>1196</v>
      </c>
      <c r="C33" s="318" t="s">
        <v>1196</v>
      </c>
      <c r="D33" s="319">
        <f>COUNTIF('reductions data'!G:G,'reductions workings'!C32)</f>
        <v>0</v>
      </c>
      <c r="E33" s="313">
        <f t="shared" si="0"/>
        <v>3.2000000000000003E-4</v>
      </c>
      <c r="G33" s="318" t="s">
        <v>1196</v>
      </c>
      <c r="H33" s="28">
        <f>SUMIF('reductions data'!$G:$G,'reductions workings'!$G33,'reductions data'!$H:$H)</f>
        <v>0</v>
      </c>
      <c r="I33" s="22" t="e">
        <f>H33/H55</f>
        <v>#DIV/0!</v>
      </c>
    </row>
    <row r="34" spans="1:9" ht="16" x14ac:dyDescent="0.2">
      <c r="A34" s="23" t="s">
        <v>1205</v>
      </c>
      <c r="C34" s="318" t="s">
        <v>1205</v>
      </c>
      <c r="D34" s="319">
        <f>COUNTIF('reductions data'!G:G,'reductions workings'!C33)</f>
        <v>0</v>
      </c>
      <c r="E34" s="313">
        <f t="shared" si="0"/>
        <v>3.2000000000000003E-4</v>
      </c>
      <c r="G34" s="318" t="s">
        <v>1205</v>
      </c>
      <c r="H34" s="28">
        <f>SUMIF('reductions data'!$G:$G,'reductions workings'!$G34,'reductions data'!$H:$H)</f>
        <v>0</v>
      </c>
      <c r="I34" s="22" t="e">
        <f>H34/H55</f>
        <v>#DIV/0!</v>
      </c>
    </row>
    <row r="35" spans="1:9" ht="16" x14ac:dyDescent="0.2">
      <c r="A35" s="23" t="s">
        <v>1199</v>
      </c>
      <c r="C35" s="318" t="s">
        <v>1199</v>
      </c>
      <c r="D35" s="319">
        <f>COUNTIF('reductions data'!G:G,'reductions workings'!C39)</f>
        <v>0</v>
      </c>
      <c r="E35" s="313">
        <f t="shared" si="0"/>
        <v>3.2000000000000003E-4</v>
      </c>
      <c r="G35" s="318" t="s">
        <v>1199</v>
      </c>
      <c r="H35" s="28">
        <f>SUMIF('reductions data'!$G:$G,'reductions workings'!$G35,'reductions data'!$H:$H)</f>
        <v>0</v>
      </c>
      <c r="I35" s="22" t="e">
        <f>H35/H55</f>
        <v>#DIV/0!</v>
      </c>
    </row>
    <row r="36" spans="1:9" ht="16" x14ac:dyDescent="0.2">
      <c r="A36" s="23" t="s">
        <v>1200</v>
      </c>
      <c r="C36" s="318" t="s">
        <v>1200</v>
      </c>
      <c r="D36" s="319">
        <f>COUNTIF('reductions data'!G:G,'reductions workings'!C40)</f>
        <v>0</v>
      </c>
      <c r="E36" s="313">
        <f t="shared" si="0"/>
        <v>3.2000000000000003E-4</v>
      </c>
      <c r="G36" s="318" t="s">
        <v>1200</v>
      </c>
      <c r="H36" s="28">
        <f>SUMIF('reductions data'!$G:$G,'reductions workings'!$G36,'reductions data'!$H:$H)</f>
        <v>0</v>
      </c>
      <c r="I36" s="22" t="e">
        <f>H36/H55</f>
        <v>#DIV/0!</v>
      </c>
    </row>
    <row r="37" spans="1:9" ht="16" x14ac:dyDescent="0.2">
      <c r="A37" s="23" t="s">
        <v>867</v>
      </c>
      <c r="C37" s="15" t="s">
        <v>867</v>
      </c>
      <c r="D37" s="319">
        <f>COUNTIF('reductions data'!G:G,'reductions workings'!C41)</f>
        <v>0</v>
      </c>
      <c r="E37" s="313">
        <f>D37+0.00033</f>
        <v>3.3E-4</v>
      </c>
      <c r="G37" s="15" t="s">
        <v>867</v>
      </c>
      <c r="H37" s="28">
        <f>SUMIF('reductions data'!$G:$G,'reductions workings'!$G37,'reductions data'!$H:$H)</f>
        <v>0</v>
      </c>
      <c r="I37" s="22" t="e">
        <f>H37/H55</f>
        <v>#DIV/0!</v>
      </c>
    </row>
    <row r="38" spans="1:9" ht="16" x14ac:dyDescent="0.2">
      <c r="A38" s="23" t="s">
        <v>868</v>
      </c>
      <c r="C38" s="15" t="s">
        <v>868</v>
      </c>
      <c r="D38" s="319">
        <f>COUNTIF('reductions data'!G:G,'reductions workings'!C42)</f>
        <v>0</v>
      </c>
      <c r="E38" s="313">
        <f>D38+0.00033</f>
        <v>3.3E-4</v>
      </c>
      <c r="G38" s="15" t="s">
        <v>868</v>
      </c>
      <c r="H38" s="28">
        <f>SUMIF('reductions data'!$G:$G,'reductions workings'!$G38,'reductions data'!$H:$H)</f>
        <v>0</v>
      </c>
      <c r="I38" s="22" t="e">
        <f>H38/H55</f>
        <v>#DIV/0!</v>
      </c>
    </row>
    <row r="39" spans="1:9" ht="16" x14ac:dyDescent="0.2">
      <c r="A39" s="23" t="s">
        <v>869</v>
      </c>
      <c r="C39" s="15" t="s">
        <v>869</v>
      </c>
      <c r="D39" s="319">
        <f>COUNTIF('reductions data'!G:G,'reductions workings'!C43)</f>
        <v>0</v>
      </c>
      <c r="E39" s="313">
        <f>D39+0.00033</f>
        <v>3.3E-4</v>
      </c>
      <c r="G39" s="15" t="s">
        <v>869</v>
      </c>
      <c r="H39" s="28">
        <f>SUMIF('reductions data'!$G:$G,'reductions workings'!$G39,'reductions data'!$H:$H)</f>
        <v>0</v>
      </c>
      <c r="I39" s="22" t="e">
        <f>H39/H55</f>
        <v>#DIV/0!</v>
      </c>
    </row>
    <row r="40" spans="1:9" ht="16" x14ac:dyDescent="0.2">
      <c r="A40" s="23" t="s">
        <v>1201</v>
      </c>
      <c r="C40" s="318" t="s">
        <v>1201</v>
      </c>
      <c r="D40" s="319">
        <f>COUNTIF('reductions data'!G:G,'reductions workings'!C36)</f>
        <v>0</v>
      </c>
      <c r="E40" s="313">
        <f>D40+0.00032</f>
        <v>3.2000000000000003E-4</v>
      </c>
      <c r="G40" s="318" t="s">
        <v>1201</v>
      </c>
      <c r="H40" s="28">
        <f>SUMIF('reductions data'!$G:$G,'reductions workings'!$G40,'reductions data'!$H:$H)</f>
        <v>0</v>
      </c>
      <c r="I40" s="22" t="e">
        <f>H40/H55</f>
        <v>#DIV/0!</v>
      </c>
    </row>
    <row r="41" spans="1:9" ht="16" x14ac:dyDescent="0.2">
      <c r="A41" s="23" t="s">
        <v>1202</v>
      </c>
      <c r="C41" s="318" t="s">
        <v>1202</v>
      </c>
      <c r="D41" s="393">
        <f>COUNTIF('reductions data'!G:G,'reductions workings'!C37)</f>
        <v>0</v>
      </c>
      <c r="E41" s="35">
        <f>D41+0.00032</f>
        <v>3.2000000000000003E-4</v>
      </c>
      <c r="G41" s="318" t="s">
        <v>1202</v>
      </c>
      <c r="H41" s="28">
        <f>SUMIF('reductions data'!$G:$G,'reductions workings'!$G41,'reductions data'!$H:$H)</f>
        <v>0</v>
      </c>
      <c r="I41" s="22" t="e">
        <f>H41/H55</f>
        <v>#DIV/0!</v>
      </c>
    </row>
    <row r="42" spans="1:9" ht="16" x14ac:dyDescent="0.2">
      <c r="A42" s="23" t="s">
        <v>1203</v>
      </c>
      <c r="C42" s="318" t="s">
        <v>1206</v>
      </c>
      <c r="D42" s="393">
        <f>COUNTIF('reductions data'!G:G,'reductions workings'!C38)</f>
        <v>0</v>
      </c>
      <c r="E42" s="35">
        <f>D42+0.00032</f>
        <v>3.2000000000000003E-4</v>
      </c>
      <c r="G42" s="318" t="s">
        <v>1206</v>
      </c>
      <c r="H42" s="28">
        <f>SUMIF('reductions data'!$G:$G,'reductions workings'!$G42,'reductions data'!$H:$H)</f>
        <v>0</v>
      </c>
      <c r="I42" s="22" t="e">
        <f>H42/H55</f>
        <v>#DIV/0!</v>
      </c>
    </row>
    <row r="43" spans="1:9" ht="16" x14ac:dyDescent="0.2">
      <c r="A43" s="23" t="s">
        <v>870</v>
      </c>
      <c r="C43" s="15" t="s">
        <v>870</v>
      </c>
      <c r="D43" s="35">
        <f>COUNTIF('reductions data'!G:G,'reductions workings'!C44)</f>
        <v>0</v>
      </c>
      <c r="E43" s="35">
        <f>D43+0.00033</f>
        <v>3.3E-4</v>
      </c>
      <c r="G43" s="15" t="s">
        <v>870</v>
      </c>
      <c r="H43" s="412">
        <f>SUMIF('reductions data'!$G:$G,'reductions workings'!$G43,'reductions data'!$H:$H)</f>
        <v>0</v>
      </c>
      <c r="I43" s="413" t="e">
        <f>H43/H55</f>
        <v>#DIV/0!</v>
      </c>
    </row>
    <row r="44" spans="1:9" ht="16" x14ac:dyDescent="0.2">
      <c r="A44" s="23" t="s">
        <v>871</v>
      </c>
      <c r="C44" s="15" t="s">
        <v>871</v>
      </c>
      <c r="D44" s="35">
        <f>COUNTIF('reductions data'!G:G,'reductions workings'!C45)</f>
        <v>0</v>
      </c>
      <c r="E44" s="35">
        <f>D44+0.00033</f>
        <v>3.3E-4</v>
      </c>
      <c r="G44" s="15" t="s">
        <v>871</v>
      </c>
      <c r="H44" s="412">
        <f>SUMIF('reductions data'!$G:$G,'reductions workings'!$G44,'reductions data'!$H:$H)</f>
        <v>0</v>
      </c>
      <c r="I44" s="413" t="e">
        <f>H44/H55</f>
        <v>#DIV/0!</v>
      </c>
    </row>
    <row r="45" spans="1:9" ht="16" x14ac:dyDescent="0.2">
      <c r="A45" s="23" t="s">
        <v>872</v>
      </c>
      <c r="C45" s="15" t="s">
        <v>872</v>
      </c>
      <c r="D45" s="35">
        <f>COUNTIF('reductions data'!G:G,'reductions workings'!C46)</f>
        <v>0</v>
      </c>
      <c r="E45" s="35">
        <f>D45+0.00033</f>
        <v>3.3E-4</v>
      </c>
      <c r="G45" s="15" t="s">
        <v>872</v>
      </c>
      <c r="H45" s="412">
        <f>SUMIF('reductions data'!$G:$G,'reductions workings'!$G45,'reductions data'!$H:$H)</f>
        <v>0</v>
      </c>
      <c r="I45" s="413" t="e">
        <f>H45/H55</f>
        <v>#DIV/0!</v>
      </c>
    </row>
    <row r="46" spans="1:9" ht="16" x14ac:dyDescent="0.2">
      <c r="A46" s="23" t="s">
        <v>866</v>
      </c>
      <c r="C46" s="15" t="s">
        <v>866</v>
      </c>
      <c r="D46" s="35">
        <f>COUNTIF('reductions data'!G:G,'reductions workings'!C30)</f>
        <v>0</v>
      </c>
      <c r="E46" s="35">
        <f>D46+0.00026</f>
        <v>2.5999999999999998E-4</v>
      </c>
      <c r="G46" s="15" t="s">
        <v>866</v>
      </c>
      <c r="H46" s="28">
        <f>SUMIF('reductions data'!$G:$G,'reductions workings'!$G46,'reductions data'!$H:$H)</f>
        <v>0</v>
      </c>
      <c r="I46" s="22" t="e">
        <f>H46/H55</f>
        <v>#DIV/0!</v>
      </c>
    </row>
    <row r="47" spans="1:9" ht="16" x14ac:dyDescent="0.2">
      <c r="A47" s="23" t="s">
        <v>873</v>
      </c>
      <c r="C47" s="15" t="s">
        <v>873</v>
      </c>
      <c r="D47" s="35">
        <f>COUNTIF('reductions data'!G:G,'reductions workings'!C47)</f>
        <v>0</v>
      </c>
      <c r="E47" s="35">
        <f>D47+0.00034</f>
        <v>3.4000000000000002E-4</v>
      </c>
      <c r="G47" s="15" t="s">
        <v>873</v>
      </c>
      <c r="H47" s="28">
        <f>SUMIF('reductions data'!$G:$G,'reductions workings'!$G47,'reductions data'!$H:$H)</f>
        <v>0</v>
      </c>
      <c r="I47" s="22" t="e">
        <f>H47/H55</f>
        <v>#DIV/0!</v>
      </c>
    </row>
    <row r="48" spans="1:9" ht="16" x14ac:dyDescent="0.2">
      <c r="A48" s="23" t="s">
        <v>874</v>
      </c>
      <c r="C48" s="15" t="s">
        <v>874</v>
      </c>
      <c r="D48" s="35">
        <f>COUNTIF('reductions data'!G:G,'reductions workings'!C48)</f>
        <v>0</v>
      </c>
      <c r="E48" s="35">
        <f>D48+0.00035</f>
        <v>3.5E-4</v>
      </c>
      <c r="G48" s="15" t="s">
        <v>874</v>
      </c>
      <c r="H48" s="28">
        <f>SUMIF('reductions data'!$G:$G,'reductions workings'!$G48,'reductions data'!$H:$H)</f>
        <v>0</v>
      </c>
      <c r="I48" s="22" t="e">
        <f>H48/H55</f>
        <v>#DIV/0!</v>
      </c>
    </row>
    <row r="49" spans="1:9" ht="16" x14ac:dyDescent="0.2">
      <c r="A49" s="23" t="s">
        <v>875</v>
      </c>
      <c r="C49" s="15" t="s">
        <v>875</v>
      </c>
      <c r="D49" s="35">
        <f>COUNTIF('reductions data'!G:G,'reductions workings'!C49)</f>
        <v>0</v>
      </c>
      <c r="E49" s="35">
        <f>D49+0.00036</f>
        <v>3.6000000000000002E-4</v>
      </c>
      <c r="G49" s="15" t="s">
        <v>875</v>
      </c>
      <c r="H49" s="28">
        <f>SUMIF('reductions data'!$G:$G,'reductions workings'!$G49,'reductions data'!$H:$H)</f>
        <v>0</v>
      </c>
      <c r="I49" s="22" t="e">
        <f>H49/H55</f>
        <v>#DIV/0!</v>
      </c>
    </row>
    <row r="50" spans="1:9" ht="16" x14ac:dyDescent="0.2">
      <c r="A50" s="23" t="s">
        <v>876</v>
      </c>
      <c r="C50" s="15" t="s">
        <v>876</v>
      </c>
      <c r="D50" s="35">
        <f>COUNTIF('reductions data'!G:G,'reductions workings'!C50)</f>
        <v>0</v>
      </c>
      <c r="E50" s="35">
        <f>D50+0.00037</f>
        <v>3.6999999999999999E-4</v>
      </c>
      <c r="G50" s="15" t="s">
        <v>876</v>
      </c>
      <c r="H50" s="28">
        <f>SUMIF('reductions data'!$G:$G,'reductions workings'!$G50,'reductions data'!$H:$H)</f>
        <v>0</v>
      </c>
      <c r="I50" s="22" t="e">
        <f>H50/H55</f>
        <v>#DIV/0!</v>
      </c>
    </row>
    <row r="51" spans="1:9" ht="16" x14ac:dyDescent="0.2">
      <c r="A51" s="23" t="s">
        <v>877</v>
      </c>
      <c r="C51" s="15" t="s">
        <v>877</v>
      </c>
      <c r="D51" s="35">
        <f>COUNTIF('reductions data'!G:G,'reductions workings'!C51)</f>
        <v>0</v>
      </c>
      <c r="E51" s="35">
        <f>D51+0.00038</f>
        <v>3.8000000000000002E-4</v>
      </c>
      <c r="G51" s="15" t="s">
        <v>877</v>
      </c>
      <c r="H51" s="28">
        <f>SUMIF('reductions data'!$G:$G,'reductions workings'!$G51,'reductions data'!$H:$H)</f>
        <v>0</v>
      </c>
      <c r="I51" s="22" t="e">
        <f>H51/H55</f>
        <v>#DIV/0!</v>
      </c>
    </row>
    <row r="52" spans="1:9" ht="16" x14ac:dyDescent="0.2">
      <c r="A52" s="23" t="s">
        <v>878</v>
      </c>
      <c r="C52" s="15" t="s">
        <v>878</v>
      </c>
      <c r="D52" s="35">
        <f>COUNTIF('reductions data'!G:G,'reductions workings'!C52)</f>
        <v>0</v>
      </c>
      <c r="E52" s="35">
        <f>D52+0.00039</f>
        <v>3.8999999999999999E-4</v>
      </c>
      <c r="G52" s="15" t="s">
        <v>878</v>
      </c>
      <c r="H52" s="28">
        <f>SUMIF('reductions data'!$G:$G,'reductions workings'!$G52,'reductions data'!$H:$H)</f>
        <v>0</v>
      </c>
      <c r="I52" s="22" t="e">
        <f>H52/H55</f>
        <v>#DIV/0!</v>
      </c>
    </row>
    <row r="53" spans="1:9" ht="16" x14ac:dyDescent="0.2">
      <c r="A53" s="23" t="s">
        <v>879</v>
      </c>
      <c r="C53" s="15" t="s">
        <v>879</v>
      </c>
      <c r="D53" s="35">
        <f>COUNTIF('reductions data'!G:G,'reductions workings'!C53)</f>
        <v>0</v>
      </c>
      <c r="E53" s="35">
        <f>D53+0.00039</f>
        <v>3.8999999999999999E-4</v>
      </c>
      <c r="G53" s="15" t="s">
        <v>879</v>
      </c>
      <c r="H53" s="28">
        <f>SUMIF('reductions data'!$G:$G,'reductions workings'!$G53,'reductions data'!$H:$H)</f>
        <v>0</v>
      </c>
      <c r="I53" s="22" t="e">
        <f>H53/H55</f>
        <v>#DIV/0!</v>
      </c>
    </row>
    <row r="54" spans="1:9" ht="16" x14ac:dyDescent="0.2">
      <c r="A54" s="23" t="s">
        <v>880</v>
      </c>
      <c r="C54" s="15" t="s">
        <v>880</v>
      </c>
      <c r="D54" s="35">
        <f>COUNTIF('reductions data'!G:G,'reductions workings'!C54)</f>
        <v>0</v>
      </c>
      <c r="E54" s="35">
        <f>D54+0.00041</f>
        <v>4.0999999999999999E-4</v>
      </c>
      <c r="G54" s="15" t="s">
        <v>880</v>
      </c>
      <c r="H54" s="28">
        <f>SUMIF('reductions data'!$G:$G,'reductions workings'!$G54,'reductions data'!$H:$H)</f>
        <v>0</v>
      </c>
      <c r="I54" s="22" t="e">
        <f>H54/H55</f>
        <v>#DIV/0!</v>
      </c>
    </row>
    <row r="55" spans="1:9" ht="18" x14ac:dyDescent="0.2">
      <c r="C55" s="26" t="s">
        <v>881</v>
      </c>
      <c r="D55" s="432">
        <f>SUM(D6:D54)</f>
        <v>0</v>
      </c>
      <c r="E55" s="433"/>
      <c r="G55" s="26" t="s">
        <v>882</v>
      </c>
      <c r="H55" s="434">
        <f>SUM(H6:H54)</f>
        <v>0</v>
      </c>
      <c r="I55" s="435"/>
    </row>
    <row r="93" spans="4:9" x14ac:dyDescent="0.15">
      <c r="D93" s="8"/>
      <c r="E93" s="8"/>
      <c r="H93" s="8"/>
      <c r="I93" s="8"/>
    </row>
    <row r="94" spans="4:9" x14ac:dyDescent="0.15">
      <c r="D94" s="8"/>
      <c r="E94" s="8"/>
      <c r="H94" s="8"/>
      <c r="I94" s="8"/>
    </row>
    <row r="95" spans="4:9" x14ac:dyDescent="0.15">
      <c r="D95" s="8"/>
      <c r="E95" s="8"/>
      <c r="H95" s="8"/>
      <c r="I95" s="8"/>
    </row>
    <row r="96" spans="4:9" x14ac:dyDescent="0.15">
      <c r="D96" s="8"/>
      <c r="E96" s="8"/>
      <c r="H96" s="8"/>
      <c r="I96" s="8"/>
    </row>
    <row r="97" spans="4:9" x14ac:dyDescent="0.15">
      <c r="D97" s="8"/>
      <c r="E97" s="8"/>
      <c r="H97" s="8"/>
      <c r="I97" s="8"/>
    </row>
    <row r="98" spans="4:9" x14ac:dyDescent="0.15">
      <c r="D98" s="8"/>
      <c r="E98" s="8"/>
      <c r="H98" s="8"/>
      <c r="I98" s="8"/>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21" spans="1:9" x14ac:dyDescent="0.15">
      <c r="A121" s="29"/>
      <c r="C121" s="29"/>
      <c r="D121" s="30"/>
      <c r="E121" s="30"/>
      <c r="G121" s="29"/>
      <c r="H121" s="30"/>
      <c r="I121" s="30"/>
    </row>
    <row r="131" spans="2:11" x14ac:dyDescent="0.15">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showRowColHeaders="0" topLeftCell="A4" zoomScaleNormal="100" workbookViewId="0">
      <selection activeCell="B9" sqref="B9"/>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442" t="s">
        <v>884</v>
      </c>
      <c r="B1" s="442"/>
      <c r="C1" s="442"/>
      <c r="D1" s="442"/>
      <c r="E1" s="442"/>
      <c r="F1" s="442"/>
      <c r="G1" s="442"/>
      <c r="H1" s="442"/>
      <c r="I1" s="442"/>
      <c r="J1" s="442"/>
      <c r="K1" s="442"/>
      <c r="L1" s="442"/>
      <c r="M1" s="442"/>
      <c r="N1" s="240"/>
      <c r="O1" s="240"/>
      <c r="P1" s="240"/>
      <c r="Q1" s="240"/>
      <c r="R1" s="240"/>
      <c r="S1" s="240"/>
    </row>
    <row r="2" spans="1:19" ht="28.5" customHeight="1" x14ac:dyDescent="0.15">
      <c r="A2" s="453" t="s">
        <v>1362</v>
      </c>
      <c r="B2" s="454"/>
      <c r="C2" s="454"/>
      <c r="D2" s="454"/>
      <c r="E2" s="454"/>
      <c r="F2" s="454"/>
      <c r="G2" s="454"/>
      <c r="H2" s="454"/>
      <c r="I2" s="454"/>
      <c r="J2" s="454"/>
      <c r="K2" s="454"/>
      <c r="L2" s="454"/>
      <c r="M2" s="258"/>
      <c r="N2" s="241"/>
      <c r="O2" s="241"/>
      <c r="P2" s="241"/>
      <c r="Q2" s="241"/>
      <c r="R2" s="241"/>
      <c r="S2" s="241"/>
    </row>
    <row r="4" spans="1:19" ht="36" customHeight="1" x14ac:dyDescent="0.15">
      <c r="B4" s="36" t="s">
        <v>885</v>
      </c>
    </row>
    <row r="5" spans="1:19" ht="39" customHeight="1" x14ac:dyDescent="0.15">
      <c r="B5" s="243" t="s">
        <v>28</v>
      </c>
      <c r="C5" s="40"/>
    </row>
    <row r="6" spans="1:19" x14ac:dyDescent="0.15">
      <c r="H6" s="49"/>
    </row>
    <row r="7" spans="1:19" ht="25" x14ac:dyDescent="0.15">
      <c r="B7" s="279" t="s">
        <v>886</v>
      </c>
      <c r="C7" s="280"/>
      <c r="D7" s="280"/>
      <c r="E7" s="280"/>
      <c r="F7" s="281"/>
    </row>
    <row r="8" spans="1:19" ht="78.75" customHeight="1" x14ac:dyDescent="0.15">
      <c r="B8" s="62"/>
      <c r="C8" s="219" t="s">
        <v>887</v>
      </c>
      <c r="D8" s="63" t="s">
        <v>888</v>
      </c>
      <c r="E8" s="63" t="s">
        <v>889</v>
      </c>
      <c r="F8" s="63" t="s">
        <v>890</v>
      </c>
      <c r="G8" s="64"/>
      <c r="H8" s="219" t="s">
        <v>891</v>
      </c>
      <c r="I8" s="219" t="s">
        <v>892</v>
      </c>
      <c r="J8" s="64"/>
      <c r="K8" s="219" t="s">
        <v>893</v>
      </c>
      <c r="L8" s="219" t="s">
        <v>894</v>
      </c>
    </row>
    <row r="9" spans="1:19" x14ac:dyDescent="0.15">
      <c r="B9" s="65" t="str">
        <f>B5</f>
        <v>Yorkshire and The Humber</v>
      </c>
      <c r="C9" s="66" t="e">
        <f>SUM((SUMIFS('capacity data'!$G:$G,'capacity data'!$E:$E,"PO",'capacity data'!$A:$A,B5))-SUMIFS('capacity data'!$H:$H,'capacity data'!$E:$E,"PO",'capacity data'!$A:$A,B5))/SUMIFS('capacity data'!$G:$G,'capacity data'!$E:$E,"PO",'capacity data'!$A:$A,B5)</f>
        <v>#DIV/0!</v>
      </c>
      <c r="D9" s="67" t="e">
        <f>SUM((SUMIFS('capacity data'!$G:$G,'capacity data'!$E:$E,"PSO",'capacity data'!$A:$A,B5))-SUMIFS('capacity data'!$H:$H,'capacity data'!$E:$E,"PSO",'capacity data'!$A:$A,B5))/SUMIFS('capacity data'!$G:$G,'capacity data'!$E:$E,"PSO",'capacity data'!$A:$A,B5)</f>
        <v>#DIV/0!</v>
      </c>
      <c r="E9" s="67" t="e">
        <f>SUM((SUMIFS('capacity data'!$G:$G,'capacity data'!$E:$E,"TPO",'capacity data'!$A:$A,B5))-SUMIFS('capacity data'!$H:$H,'capacity data'!$E:$E,"TPO",'capacity data'!$A:$A,B5))/SUMIFS('capacity data'!$G:$G,'capacity data'!$E:$E,"TPO",'capacity data'!$A:$A,B5)</f>
        <v>#DIV/0!</v>
      </c>
      <c r="F9" s="66" t="e">
        <f>SUM((SUMIFS('capacity data'!G:G,'capacity data'!A:A,B5))-SUMIFS('capacity data'!H:H,'capacity data'!A:A,B5))/SUMIFS('capacity data'!G:G,'capacity data'!A:A,B5)</f>
        <v>#DIV/0!</v>
      </c>
      <c r="G9" s="64"/>
      <c r="H9" s="66" t="e">
        <f>SUMIFS('capacity data'!$L:$L,'capacity data'!$A:$A,$B$5,'capacity data'!$E:$E,"PSO")/SUM((SUMIFS('capacity data'!$G:$G,'capacity data'!$E:$E,"PSO",'capacity data'!$A:$A,$B$5))-SUMIFS('capacity data'!$H:$H,'capacity data'!$E:$E,"PSO",'capacity data'!$A:$A,$B$5))</f>
        <v>#DIV/0!</v>
      </c>
      <c r="I9" s="66" t="e">
        <f>SUMIFS('capacity data'!$L:$L,'capacity data'!$A:$A,$B$5,'capacity data'!$E:$E,"PSO")/SUMIFS('capacity data'!$G:$G,'capacity data'!$E:$E,"PSO",'capacity data'!$A:$A,$B$5)</f>
        <v>#DIV/0!</v>
      </c>
      <c r="J9" s="64"/>
      <c r="K9" s="66" t="e">
        <f>SUMIFS('capacity data'!$L:$L,'capacity data'!$A:$A,$B$5,'capacity data'!$E:$E,"TPO")/SUM((SUMIFS('capacity data'!$G:$G,'capacity data'!$E:$E,"TPO",'capacity data'!$A:$A,$B$5))-SUMIFS('capacity data'!$H:$H,'capacity data'!$E:$E,"TPO",'capacity data'!$A:$A,$B$5))</f>
        <v>#DIV/0!</v>
      </c>
      <c r="L9" s="66" t="e">
        <f>SUMIFS('capacity data'!$L:$L,'capacity data'!$A:$A,$B$5,'capacity data'!$E:$E,"TPO")/SUMIFS('capacity data'!$G:$G,'capacity data'!$E:$E,"TPO",'capacity data'!$A:$A,$B$5)</f>
        <v>#DIV/0!</v>
      </c>
    </row>
    <row r="10" spans="1:19" x14ac:dyDescent="0.15">
      <c r="B10" s="229" t="s">
        <v>895</v>
      </c>
      <c r="C10" s="82" t="e">
        <f>SUM((SUMIF('capacity data'!E:E,"PO",'capacity data'!G:G))-SUMIF('capacity data'!E:E,"PO",'capacity data'!H:H))/SUMIF('capacity data'!E:E,"PO",'capacity data'!G:G)</f>
        <v>#DIV/0!</v>
      </c>
      <c r="D10" s="107" t="e">
        <f>SUM((SUMIF('capacity data'!E:E,"PSO",'capacity data'!G:G))-SUMIF('capacity data'!E:E,"PSO",'capacity data'!H:H))/SUMIF('capacity data'!E:E,"PSO",'capacity data'!G:G)</f>
        <v>#DIV/0!</v>
      </c>
      <c r="E10" s="107" t="e">
        <f>SUM((SUMIF('capacity data'!E:E,"TPO",'capacity data'!G:G))-SUMIF('capacity data'!E:E,"TPO",'capacity data'!H:H))/SUMIF('capacity data'!E:E,"TPO",'capacity data'!G:G)</f>
        <v>#DIV/0!</v>
      </c>
      <c r="F10" s="82" t="e">
        <f>SUM((SUM('capacity data'!G:G)-SUM('capacity data'!H:H))/SUM('capacity data'!G:G))</f>
        <v>#DIV/0!</v>
      </c>
      <c r="G10" s="64"/>
      <c r="H10" s="82" t="e">
        <f>SUMIF('capacity data'!$E:$E,"PSO",'capacity data'!$L:$L)/SUM(SUMIF('capacity data'!$E:$E,"PSO",'capacity data'!$G:$G)-SUMIF('capacity data'!$E:$E,"PSO",'capacity data'!$H:$H))</f>
        <v>#DIV/0!</v>
      </c>
      <c r="I10" s="82" t="e">
        <f>SUMIF('capacity data'!$E:$E,"PSO",'capacity data'!$L:$L)/SUMIF('capacity data'!$E:$E,"PSO",'capacity data'!$G:$G)</f>
        <v>#DIV/0!</v>
      </c>
      <c r="J10" s="64"/>
      <c r="K10" s="82" t="e">
        <f>SUMIF('capacity data'!$E:$E,"TPO",'capacity data'!$L:$L)/SUM(SUMIF('capacity data'!$E:$E,"TPO",'capacity data'!$G:$G)-SUMIF('capacity data'!$E:$E,"TPO",'capacity data'!$H:$H))</f>
        <v>#DIV/0!</v>
      </c>
      <c r="L10" s="82" t="e">
        <f>SUMIF('capacity data'!$E:$E,"TPO",'capacity data'!$L:$L)/SUMIF('capacity data'!$E:$E,"TPO",'capacity data'!$G:$G)</f>
        <v>#DIV/0!</v>
      </c>
    </row>
    <row r="11" spans="1:19" x14ac:dyDescent="0.15">
      <c r="B11" s="68" t="s">
        <v>896</v>
      </c>
      <c r="C11" s="102" t="e">
        <f>+C9-C10</f>
        <v>#DIV/0!</v>
      </c>
      <c r="D11" s="103" t="e">
        <f>+D9-D10</f>
        <v>#DIV/0!</v>
      </c>
      <c r="E11" s="103" t="e">
        <f>+E9-E10</f>
        <v>#DIV/0!</v>
      </c>
      <c r="F11" s="102" t="e">
        <f>+F9-F10</f>
        <v>#DIV/0!</v>
      </c>
      <c r="G11" s="64"/>
      <c r="H11" s="102" t="e">
        <f>+H9-H10</f>
        <v>#DIV/0!</v>
      </c>
      <c r="I11" s="99" t="e">
        <f>+I9-I10</f>
        <v>#DIV/0!</v>
      </c>
      <c r="J11" s="64"/>
      <c r="K11" s="102" t="e">
        <f>+K9-K10</f>
        <v>#DIV/0!</v>
      </c>
      <c r="L11" s="99" t="e">
        <f>+L9-L10</f>
        <v>#DIV/0!</v>
      </c>
    </row>
    <row r="13" spans="1:19" ht="23" x14ac:dyDescent="0.15">
      <c r="B13" s="440" t="s">
        <v>897</v>
      </c>
      <c r="C13" s="441"/>
      <c r="D13" s="441"/>
      <c r="E13" s="441"/>
      <c r="F13" s="441"/>
      <c r="G13" s="441"/>
      <c r="H13" s="441"/>
      <c r="I13" s="441"/>
      <c r="J13" s="441"/>
      <c r="K13" s="441"/>
      <c r="L13" s="441"/>
      <c r="M13" s="441"/>
    </row>
    <row r="14" spans="1:19" ht="63.75" customHeight="1" x14ac:dyDescent="0.15">
      <c r="B14" s="69"/>
      <c r="C14" s="70" t="s">
        <v>898</v>
      </c>
      <c r="D14" s="70" t="s">
        <v>899</v>
      </c>
      <c r="E14" s="70" t="s">
        <v>900</v>
      </c>
      <c r="F14" s="70" t="s">
        <v>901</v>
      </c>
      <c r="G14" s="70" t="s">
        <v>902</v>
      </c>
      <c r="H14" s="70" t="s">
        <v>903</v>
      </c>
      <c r="I14" s="70" t="s">
        <v>904</v>
      </c>
      <c r="J14" s="71" t="s">
        <v>905</v>
      </c>
      <c r="K14" s="70" t="s">
        <v>906</v>
      </c>
      <c r="L14" s="70" t="s">
        <v>907</v>
      </c>
      <c r="M14" s="70" t="s">
        <v>908</v>
      </c>
    </row>
    <row r="15" spans="1:19" ht="20.25" customHeight="1" x14ac:dyDescent="0.15">
      <c r="B15" s="72" t="str">
        <f>B5</f>
        <v>Yorkshire and The Humber</v>
      </c>
      <c r="C15" s="213">
        <f>COUNTIFS('capacity data'!A:A,B5,'capacity data'!E:E,"PO")</f>
        <v>0</v>
      </c>
      <c r="D15" s="213">
        <f>COUNTIFS('capacity data'!A:A,B5,'capacity data'!E:E,"PO",'capacity data'!F:F,"&gt;110%")</f>
        <v>0</v>
      </c>
      <c r="E15" s="73" t="e">
        <f>D15/C15</f>
        <v>#DIV/0!</v>
      </c>
      <c r="F15" s="213">
        <f>COUNTIFS('capacity data'!A:A,'divisional &amp; regional overview'!B5,'capacity data'!E:E,"PSO")</f>
        <v>0</v>
      </c>
      <c r="G15" s="213">
        <f>COUNTIFS('capacity data'!A:A,B5,'capacity data'!E:E,"PSO",'capacity data'!F:F,"&gt;110%")</f>
        <v>0</v>
      </c>
      <c r="H15" s="74" t="e">
        <f>G15/F15</f>
        <v>#DIV/0!</v>
      </c>
      <c r="I15" s="213">
        <f>COUNTIFS('capacity data'!A:A,B5,'capacity data'!E:E,"PSO",'capacity data'!F:F,"&lt;90%")</f>
        <v>0</v>
      </c>
      <c r="J15" s="74" t="e">
        <f>I15/F15</f>
        <v>#DIV/0!</v>
      </c>
      <c r="K15" s="213">
        <f>COUNTIFS('capacity data'!A:A,'divisional &amp; regional overview'!B5,'capacity data'!E:E,"TPO")</f>
        <v>0</v>
      </c>
      <c r="L15" s="213">
        <f>COUNTIFS('capacity data'!A:A,B5,'capacity data'!E:E,"TPO",'capacity data'!F:F,"&gt;110%")</f>
        <v>0</v>
      </c>
      <c r="M15" s="67" t="e">
        <f>L15/K15</f>
        <v>#DIV/0!</v>
      </c>
    </row>
    <row r="16" spans="1:19" x14ac:dyDescent="0.15">
      <c r="B16" s="229" t="s">
        <v>909</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62" t="s">
        <v>896</v>
      </c>
      <c r="C17" s="100" t="s">
        <v>910</v>
      </c>
      <c r="D17" s="100" t="s">
        <v>910</v>
      </c>
      <c r="E17" s="101" t="e">
        <f>+E15-E16</f>
        <v>#DIV/0!</v>
      </c>
      <c r="F17" s="100" t="s">
        <v>910</v>
      </c>
      <c r="G17" s="100" t="s">
        <v>910</v>
      </c>
      <c r="H17" s="101" t="e">
        <f>+H15-H16</f>
        <v>#DIV/0!</v>
      </c>
      <c r="I17" s="100" t="s">
        <v>910</v>
      </c>
      <c r="J17" s="101" t="e">
        <f>+J15-J16</f>
        <v>#DIV/0!</v>
      </c>
      <c r="K17" s="100" t="s">
        <v>910</v>
      </c>
      <c r="L17" s="100" t="s">
        <v>910</v>
      </c>
      <c r="M17" s="101" t="e">
        <f>+M15-M16</f>
        <v>#DIV/0!</v>
      </c>
    </row>
    <row r="19" spans="2:13" ht="23" x14ac:dyDescent="0.25">
      <c r="B19" s="436" t="s">
        <v>911</v>
      </c>
      <c r="C19" s="437"/>
      <c r="D19" s="437"/>
      <c r="E19" s="437"/>
      <c r="F19" s="437"/>
      <c r="G19" s="438"/>
      <c r="H19" s="439"/>
    </row>
    <row r="20" spans="2:13" ht="42" x14ac:dyDescent="0.15">
      <c r="B20" s="76"/>
      <c r="C20" s="63" t="s">
        <v>912</v>
      </c>
      <c r="D20" s="63" t="s">
        <v>913</v>
      </c>
      <c r="E20" s="63" t="s">
        <v>914</v>
      </c>
      <c r="F20" s="63" t="s">
        <v>915</v>
      </c>
      <c r="G20" s="219" t="s">
        <v>916</v>
      </c>
      <c r="H20" s="219" t="s">
        <v>917</v>
      </c>
    </row>
    <row r="21" spans="2:13" x14ac:dyDescent="0.15">
      <c r="B21" s="62" t="str">
        <f>B5</f>
        <v>Yorkshire and The Humber</v>
      </c>
      <c r="C21" s="75">
        <f>SUMIFS('capacity data'!K:K,'capacity data'!A:A,'divisional &amp; regional overview'!B5,'capacity data'!E:E,"SPO")</f>
        <v>0</v>
      </c>
      <c r="D21" s="75">
        <f>SUMIFS('capacity data'!K:K,'capacity data'!A:A,'divisional &amp; regional overview'!B21,'capacity data'!E:E,"DMY")</f>
        <v>0</v>
      </c>
      <c r="E21" s="75">
        <f>SUM(C21:D21)</f>
        <v>0</v>
      </c>
      <c r="F21" s="77">
        <f>SUMIF('capacity data'!A:A,B21,'capacity data'!K:K)</f>
        <v>0</v>
      </c>
      <c r="G21" s="66" t="e">
        <f>E21/F21</f>
        <v>#DIV/0!</v>
      </c>
      <c r="H21" s="78">
        <f>SUMIF('caseload data'!A:A,'divisional &amp; regional overview'!B99,'caseload data'!U:U)</f>
        <v>0</v>
      </c>
    </row>
    <row r="22" spans="2:13" x14ac:dyDescent="0.15">
      <c r="B22" s="230" t="s">
        <v>909</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83" t="s">
        <v>896</v>
      </c>
      <c r="C23" s="100" t="s">
        <v>910</v>
      </c>
      <c r="D23" s="100" t="s">
        <v>910</v>
      </c>
      <c r="E23" s="100" t="s">
        <v>910</v>
      </c>
      <c r="F23" s="104" t="s">
        <v>910</v>
      </c>
      <c r="G23" s="104" t="e">
        <f>+G21-G22</f>
        <v>#DIV/0!</v>
      </c>
      <c r="H23" s="100" t="s">
        <v>910</v>
      </c>
    </row>
    <row r="26" spans="2:13" ht="23" x14ac:dyDescent="0.25">
      <c r="B26" s="449" t="s">
        <v>918</v>
      </c>
      <c r="C26" s="449"/>
      <c r="D26" s="449"/>
      <c r="E26" s="449"/>
      <c r="F26" s="449"/>
      <c r="G26" s="449"/>
      <c r="H26" s="449"/>
      <c r="I26" s="449"/>
      <c r="J26" s="449"/>
      <c r="K26" s="449"/>
    </row>
    <row r="27" spans="2:13" ht="83.25" customHeight="1" x14ac:dyDescent="0.15">
      <c r="B27" s="84"/>
      <c r="C27" s="219" t="s">
        <v>919</v>
      </c>
      <c r="D27" s="219" t="s">
        <v>920</v>
      </c>
      <c r="E27" s="219" t="s">
        <v>921</v>
      </c>
      <c r="F27" s="219" t="s">
        <v>922</v>
      </c>
      <c r="G27" s="219" t="s">
        <v>923</v>
      </c>
      <c r="H27" s="219" t="s">
        <v>924</v>
      </c>
      <c r="I27" s="219" t="s">
        <v>925</v>
      </c>
      <c r="J27" s="219" t="s">
        <v>926</v>
      </c>
      <c r="K27" s="219" t="s">
        <v>927</v>
      </c>
    </row>
    <row r="28" spans="2:13" x14ac:dyDescent="0.15">
      <c r="B28" s="62" t="str">
        <f>B5</f>
        <v>Yorkshire and The Humber</v>
      </c>
      <c r="C28" s="85">
        <f>SUMIFS('capacity data'!I:I,'capacity data'!A:A,B28,'capacity data'!E:E,"PO")</f>
        <v>0</v>
      </c>
      <c r="D28" s="86">
        <f>SUMIFS('capacity data'!J:J,'capacity data'!A:A,B28,'capacity data'!E:E,"PO")</f>
        <v>0</v>
      </c>
      <c r="E28" s="87" t="e">
        <f>D28/C28</f>
        <v>#DIV/0!</v>
      </c>
      <c r="F28" s="86">
        <f>SUMIFS('capacity data'!I:I,'capacity data'!A:A,B28,'capacity data'!E:E,"PSO")</f>
        <v>0</v>
      </c>
      <c r="G28" s="86">
        <f>SUMIFS('capacity data'!J:J,'capacity data'!A:A,B28,'capacity data'!E:E,"PSO")</f>
        <v>0</v>
      </c>
      <c r="H28" s="87" t="e">
        <f>G28/F28</f>
        <v>#DIV/0!</v>
      </c>
      <c r="I28" s="86">
        <f>SUMIFS('capacity data'!I:I,'capacity data'!A:A,B28,'capacity data'!E:E,"TPO")</f>
        <v>0</v>
      </c>
      <c r="J28" s="88">
        <f>SUMIFS('capacity data'!J:J,'capacity data'!A:A,B28,'capacity data'!E:E,"TPO")</f>
        <v>0</v>
      </c>
      <c r="K28" s="87" t="e">
        <f>J28/I28</f>
        <v>#DIV/0!</v>
      </c>
    </row>
    <row r="29" spans="2:13" x14ac:dyDescent="0.15">
      <c r="B29" s="229" t="s">
        <v>928</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896</v>
      </c>
      <c r="C30" s="100" t="s">
        <v>910</v>
      </c>
      <c r="D30" s="100" t="s">
        <v>910</v>
      </c>
      <c r="E30" s="99" t="e">
        <f>+E28-E29</f>
        <v>#DIV/0!</v>
      </c>
      <c r="F30" s="100" t="s">
        <v>910</v>
      </c>
      <c r="G30" s="100" t="s">
        <v>910</v>
      </c>
      <c r="H30" s="99" t="e">
        <f>+H28-H29</f>
        <v>#DIV/0!</v>
      </c>
      <c r="I30" s="100" t="s">
        <v>910</v>
      </c>
      <c r="J30" s="100" t="s">
        <v>910</v>
      </c>
      <c r="K30" s="99" t="e">
        <f>+K28-K29</f>
        <v>#DIV/0!</v>
      </c>
    </row>
    <row r="32" spans="2:13" ht="37.5" customHeight="1" x14ac:dyDescent="0.2">
      <c r="B32" s="450" t="s">
        <v>929</v>
      </c>
      <c r="C32" s="451"/>
      <c r="D32" s="451"/>
      <c r="F32" s="452" t="s">
        <v>930</v>
      </c>
      <c r="G32" s="452"/>
    </row>
    <row r="33" spans="2:7" ht="88.5" customHeight="1" x14ac:dyDescent="0.15">
      <c r="B33" s="76" t="s">
        <v>931</v>
      </c>
      <c r="C33" s="219" t="s">
        <v>932</v>
      </c>
      <c r="D33" s="219" t="s">
        <v>933</v>
      </c>
      <c r="E33" s="64"/>
      <c r="F33" s="215" t="s">
        <v>934</v>
      </c>
      <c r="G33" s="214">
        <f>COUNTIF('reductions data'!A:A,'divisional &amp; regional overview'!B5)</f>
        <v>0</v>
      </c>
    </row>
    <row r="34" spans="2:7" ht="28" x14ac:dyDescent="0.15">
      <c r="B34" s="112" t="s">
        <v>842</v>
      </c>
      <c r="C34" s="89">
        <f>COUNTIFS('reductions data'!$A:$A,'divisional &amp; regional overview'!$B$5,'reductions data'!$G:$G,'divisional &amp; regional overview'!B34)</f>
        <v>0</v>
      </c>
      <c r="D34" s="90">
        <f>SUMIFS('reductions data'!$H:$H,'reductions data'!$A:$A,$B$5,'reductions data'!$G:$G,'divisional &amp; regional overview'!B34)</f>
        <v>0</v>
      </c>
      <c r="E34" s="64"/>
      <c r="F34" s="215" t="s">
        <v>935</v>
      </c>
      <c r="G34" s="214">
        <f>SUMIF('reductions data'!A:A,B5,'reductions data'!H:H)</f>
        <v>0</v>
      </c>
    </row>
    <row r="35" spans="2:7" ht="28" x14ac:dyDescent="0.15">
      <c r="B35" s="113" t="s">
        <v>844</v>
      </c>
      <c r="C35" s="89">
        <f>COUNTIFS('reductions data'!$A:$A,'divisional &amp; regional overview'!$B$5,'reductions data'!$G:$G,'divisional &amp; regional overview'!B35)</f>
        <v>0</v>
      </c>
      <c r="D35" s="90">
        <f>SUMIFS('reductions data'!$H:$H,'reductions data'!$A:$A,$B$5,'reductions data'!$G:$G,'divisional &amp; regional overview'!B35)</f>
        <v>0</v>
      </c>
      <c r="E35" s="64"/>
      <c r="F35" s="213" t="s">
        <v>936</v>
      </c>
      <c r="G35" s="214">
        <f>SUMIF('capacity data'!A:A,B5,'capacity data'!I:I)</f>
        <v>0</v>
      </c>
    </row>
    <row r="36" spans="2:7" ht="28" x14ac:dyDescent="0.15">
      <c r="B36" s="113" t="s">
        <v>843</v>
      </c>
      <c r="C36" s="89">
        <f>COUNTIFS('reductions data'!$A:$A,'divisional &amp; regional overview'!$B$5,'reductions data'!$G:$G,'divisional &amp; regional overview'!B36)</f>
        <v>0</v>
      </c>
      <c r="D36" s="90">
        <f>SUMIFS('reductions data'!$H:$H,'reductions data'!$A:$A,$B$5,'reductions data'!$G:$G,'divisional &amp; regional overview'!B36)</f>
        <v>0</v>
      </c>
      <c r="E36" s="91"/>
      <c r="F36" s="213" t="s">
        <v>937</v>
      </c>
      <c r="G36" s="92" t="e">
        <f>G34/G35</f>
        <v>#DIV/0!</v>
      </c>
    </row>
    <row r="37" spans="2:7" x14ac:dyDescent="0.15">
      <c r="B37" s="113" t="s">
        <v>845</v>
      </c>
      <c r="C37" s="89">
        <f>COUNTIFS('reductions data'!$A:$A,'divisional &amp; regional overview'!$B$5,'reductions data'!$G:$G,'divisional &amp; regional overview'!B37)</f>
        <v>0</v>
      </c>
      <c r="D37" s="90">
        <f>SUMIFS('reductions data'!$H:$H,'reductions data'!$A:$A,$B$5,'reductions data'!$G:$G,'divisional &amp; regional overview'!B37)</f>
        <v>0</v>
      </c>
      <c r="E37" s="91"/>
      <c r="F37" s="445" t="s">
        <v>938</v>
      </c>
      <c r="G37" s="448" t="e">
        <f>+G36-'div &amp; regional reduction hours'!N18</f>
        <v>#DIV/0!</v>
      </c>
    </row>
    <row r="38" spans="2:7" ht="24" customHeight="1" x14ac:dyDescent="0.15">
      <c r="B38" s="113" t="s">
        <v>846</v>
      </c>
      <c r="C38" s="89">
        <f>COUNTIFS('reductions data'!$A:$A,'divisional &amp; regional overview'!$B$5,'reductions data'!$G:$G,'divisional &amp; regional overview'!B38)</f>
        <v>0</v>
      </c>
      <c r="D38" s="90">
        <f>SUMIFS('reductions data'!$H:$H,'reductions data'!$A:$A,$B$5,'reductions data'!$G:$G,'divisional &amp; regional overview'!B38)</f>
        <v>0</v>
      </c>
      <c r="E38" s="91"/>
      <c r="F38" s="446"/>
      <c r="G38" s="447"/>
    </row>
    <row r="39" spans="2:7" x14ac:dyDescent="0.15">
      <c r="B39" s="113" t="s">
        <v>847</v>
      </c>
      <c r="C39" s="89">
        <f>COUNTIFS('reductions data'!$A:$A,'divisional &amp; regional overview'!$B$5,'reductions data'!$G:$G,'divisional &amp; regional overview'!B39)</f>
        <v>0</v>
      </c>
      <c r="D39" s="90">
        <f>SUMIFS('reductions data'!$H:$H,'reductions data'!$A:$A,$B$5,'reductions data'!$G:$G,'divisional &amp; regional overview'!B39)</f>
        <v>0</v>
      </c>
      <c r="E39" s="91"/>
      <c r="F39" s="447"/>
      <c r="G39" s="447"/>
    </row>
    <row r="40" spans="2:7" x14ac:dyDescent="0.15">
      <c r="B40" s="113" t="s">
        <v>848</v>
      </c>
      <c r="C40" s="89">
        <f>COUNTIFS('reductions data'!$A:$A,'divisional &amp; regional overview'!$B$5,'reductions data'!$G:$G,'divisional &amp; regional overview'!B40)</f>
        <v>0</v>
      </c>
      <c r="D40" s="90">
        <f>SUMIFS('reductions data'!$H:$H,'reductions data'!$A:$A,$B$5,'reductions data'!$G:$G,'divisional &amp; regional overview'!B40)</f>
        <v>0</v>
      </c>
      <c r="E40" s="91"/>
      <c r="F40" s="447"/>
      <c r="G40" s="447"/>
    </row>
    <row r="41" spans="2:7" x14ac:dyDescent="0.15">
      <c r="B41" s="113" t="s">
        <v>849</v>
      </c>
      <c r="C41" s="89">
        <f>COUNTIFS('reductions data'!$A:$A,'divisional &amp; regional overview'!$B$5,'reductions data'!$G:$G,'divisional &amp; regional overview'!B41)</f>
        <v>0</v>
      </c>
      <c r="D41" s="90">
        <f>SUMIFS('reductions data'!$H:$H,'reductions data'!$A:$A,$B$5,'reductions data'!$G:$G,'divisional &amp; regional overview'!B41)</f>
        <v>0</v>
      </c>
      <c r="E41" s="91"/>
      <c r="F41" s="91"/>
      <c r="G41" s="64"/>
    </row>
    <row r="42" spans="2:7" x14ac:dyDescent="0.15">
      <c r="B42" s="113" t="s">
        <v>1204</v>
      </c>
      <c r="C42" s="89">
        <f>COUNTIFS('reductions data'!$A:$A,'divisional &amp; regional overview'!$B$5,'reductions data'!$G:$G,'divisional &amp; regional overview'!B42)</f>
        <v>0</v>
      </c>
      <c r="D42" s="90">
        <f>SUMIFS('reductions data'!$H:$H,'reductions data'!$A:$A,$B$5,'reductions data'!$G:$G,'divisional &amp; regional overview'!B42)</f>
        <v>0</v>
      </c>
      <c r="E42" s="91"/>
      <c r="F42" s="91"/>
      <c r="G42" s="64"/>
    </row>
    <row r="43" spans="2:7" x14ac:dyDescent="0.15">
      <c r="B43" s="113" t="s">
        <v>850</v>
      </c>
      <c r="C43" s="89">
        <f>COUNTIFS('reductions data'!$A:$A,'divisional &amp; regional overview'!$B$5,'reductions data'!$G:$G,'divisional &amp; regional overview'!B43)</f>
        <v>0</v>
      </c>
      <c r="D43" s="90">
        <f>SUMIFS('reductions data'!$H:$H,'reductions data'!$A:$A,$B$5,'reductions data'!$G:$G,'divisional &amp; regional overview'!B43)</f>
        <v>0</v>
      </c>
      <c r="E43" s="91"/>
      <c r="F43" s="91"/>
      <c r="G43" s="64"/>
    </row>
    <row r="44" spans="2:7" x14ac:dyDescent="0.15">
      <c r="B44" s="113" t="s">
        <v>851</v>
      </c>
      <c r="C44" s="89">
        <f>COUNTIFS('reductions data'!$A:$A,'divisional &amp; regional overview'!$B$5,'reductions data'!$G:$G,'divisional &amp; regional overview'!B44)</f>
        <v>0</v>
      </c>
      <c r="D44" s="90">
        <f>SUMIFS('reductions data'!$H:$H,'reductions data'!$A:$A,$B$5,'reductions data'!$G:$G,'divisional &amp; regional overview'!B44)</f>
        <v>0</v>
      </c>
      <c r="E44" s="91"/>
      <c r="F44" s="91"/>
      <c r="G44" s="64"/>
    </row>
    <row r="45" spans="2:7" x14ac:dyDescent="0.15">
      <c r="B45" s="113" t="s">
        <v>852</v>
      </c>
      <c r="C45" s="89">
        <f>COUNTIFS('reductions data'!$A:$A,'divisional &amp; regional overview'!$B$5,'reductions data'!$G:$G,'divisional &amp; regional overview'!B45)</f>
        <v>0</v>
      </c>
      <c r="D45" s="90">
        <f>SUMIFS('reductions data'!$H:$H,'reductions data'!$A:$A,$B$5,'reductions data'!$G:$G,'divisional &amp; regional overview'!B45)</f>
        <v>0</v>
      </c>
      <c r="E45" s="91"/>
      <c r="F45" s="91"/>
      <c r="G45" s="64"/>
    </row>
    <row r="46" spans="2:7" x14ac:dyDescent="0.15">
      <c r="B46" s="113" t="s">
        <v>853</v>
      </c>
      <c r="C46" s="89">
        <f>COUNTIFS('reductions data'!$A:$A,'divisional &amp; regional overview'!$B$5,'reductions data'!$G:$G,'divisional &amp; regional overview'!B46)</f>
        <v>0</v>
      </c>
      <c r="D46" s="90">
        <f>SUMIFS('reductions data'!$H:$H,'reductions data'!$A:$A,$B$5,'reductions data'!$G:$G,'divisional &amp; regional overview'!B46)</f>
        <v>0</v>
      </c>
      <c r="E46" s="91"/>
      <c r="F46" s="91"/>
      <c r="G46" s="64"/>
    </row>
    <row r="47" spans="2:7" x14ac:dyDescent="0.15">
      <c r="B47" s="113" t="s">
        <v>855</v>
      </c>
      <c r="C47" s="89">
        <f>COUNTIFS('reductions data'!$A:$A,'divisional &amp; regional overview'!$B$5,'reductions data'!$G:$G,'divisional &amp; regional overview'!B47)</f>
        <v>0</v>
      </c>
      <c r="D47" s="90">
        <f>SUMIFS('reductions data'!$H:$H,'reductions data'!$A:$A,$B$5,'reductions data'!$G:$G,'divisional &amp; regional overview'!B47)</f>
        <v>0</v>
      </c>
      <c r="E47" s="91"/>
      <c r="F47" s="91"/>
      <c r="G47" s="64"/>
    </row>
    <row r="48" spans="2:7" x14ac:dyDescent="0.15">
      <c r="B48" s="113" t="s">
        <v>858</v>
      </c>
      <c r="C48" s="89">
        <f>COUNTIFS('reductions data'!$A:$A,'divisional &amp; regional overview'!$B$5,'reductions data'!$G:$G,'divisional &amp; regional overview'!B48)</f>
        <v>0</v>
      </c>
      <c r="D48" s="90">
        <f>SUMIFS('reductions data'!$H:$H,'reductions data'!$A:$A,$B$5,'reductions data'!$G:$G,'divisional &amp; regional overview'!B48)</f>
        <v>0</v>
      </c>
      <c r="E48" s="91"/>
      <c r="F48" s="91"/>
      <c r="G48" s="64"/>
    </row>
    <row r="49" spans="2:7" x14ac:dyDescent="0.15">
      <c r="B49" s="113" t="s">
        <v>854</v>
      </c>
      <c r="C49" s="89">
        <f>COUNTIFS('reductions data'!$A:$A,'divisional &amp; regional overview'!$B$5,'reductions data'!$G:$G,'divisional &amp; regional overview'!B49)</f>
        <v>0</v>
      </c>
      <c r="D49" s="90">
        <f>SUMIFS('reductions data'!$H:$H,'reductions data'!$A:$A,$B$5,'reductions data'!$G:$G,'divisional &amp; regional overview'!B49)</f>
        <v>0</v>
      </c>
      <c r="E49" s="91"/>
      <c r="F49" s="91"/>
      <c r="G49" s="64"/>
    </row>
    <row r="50" spans="2:7" x14ac:dyDescent="0.15">
      <c r="B50" s="113" t="s">
        <v>939</v>
      </c>
      <c r="C50" s="89">
        <f>COUNTIFS('reductions data'!$A:$A,'divisional &amp; regional overview'!$B$5,'reductions data'!$G:$G,'divisional &amp; regional overview'!B50)</f>
        <v>0</v>
      </c>
      <c r="D50" s="90">
        <f>SUMIFS('reductions data'!$H:$H,'reductions data'!$A:$A,$B$5,'reductions data'!$G:$G,'divisional &amp; regional overview'!B50)</f>
        <v>0</v>
      </c>
      <c r="E50" s="91"/>
      <c r="F50" s="91"/>
      <c r="G50" s="64"/>
    </row>
    <row r="51" spans="2:7" x14ac:dyDescent="0.15">
      <c r="B51" s="113" t="s">
        <v>859</v>
      </c>
      <c r="C51" s="89">
        <f>COUNTIFS('reductions data'!$A:$A,'divisional &amp; regional overview'!$B$5,'reductions data'!$G:$G,'divisional &amp; regional overview'!B51)</f>
        <v>0</v>
      </c>
      <c r="D51" s="90">
        <f>SUMIFS('reductions data'!$H:$H,'reductions data'!$A:$A,$B$5,'reductions data'!$G:$G,'divisional &amp; regional overview'!B51)</f>
        <v>0</v>
      </c>
      <c r="E51" s="91"/>
      <c r="F51" s="91"/>
      <c r="G51" s="64"/>
    </row>
    <row r="52" spans="2:7" x14ac:dyDescent="0.15">
      <c r="B52" s="113" t="s">
        <v>860</v>
      </c>
      <c r="C52" s="89">
        <f>COUNTIFS('reductions data'!$A:$A,'divisional &amp; regional overview'!$B$5,'reductions data'!$G:$G,'divisional &amp; regional overview'!B52)</f>
        <v>0</v>
      </c>
      <c r="D52" s="90">
        <f>SUMIFS('reductions data'!$H:$H,'reductions data'!$A:$A,$B$5,'reductions data'!$G:$G,'divisional &amp; regional overview'!B52)</f>
        <v>0</v>
      </c>
      <c r="E52" s="91"/>
      <c r="F52" s="91"/>
      <c r="G52" s="64"/>
    </row>
    <row r="53" spans="2:7" x14ac:dyDescent="0.15">
      <c r="B53" s="113" t="s">
        <v>861</v>
      </c>
      <c r="C53" s="89">
        <f>COUNTIFS('reductions data'!$A:$A,'divisional &amp; regional overview'!$B$5,'reductions data'!$G:$G,'divisional &amp; regional overview'!B53)</f>
        <v>0</v>
      </c>
      <c r="D53" s="90">
        <f>SUMIFS('reductions data'!$H:$H,'reductions data'!$A:$A,$B$5,'reductions data'!$G:$G,'divisional &amp; regional overview'!B53)</f>
        <v>0</v>
      </c>
      <c r="E53" s="91"/>
      <c r="F53" s="91"/>
      <c r="G53" s="64"/>
    </row>
    <row r="54" spans="2:7" x14ac:dyDescent="0.15">
      <c r="B54" s="113" t="s">
        <v>862</v>
      </c>
      <c r="C54" s="89">
        <f>COUNTIFS('reductions data'!$A:$A,'divisional &amp; regional overview'!$B$5,'reductions data'!$G:$G,'divisional &amp; regional overview'!B54)</f>
        <v>0</v>
      </c>
      <c r="D54" s="90">
        <f>SUMIFS('reductions data'!$H:$H,'reductions data'!$A:$A,$B$5,'reductions data'!$G:$G,'divisional &amp; regional overview'!B54)</f>
        <v>0</v>
      </c>
      <c r="E54" s="91"/>
      <c r="F54" s="91"/>
      <c r="G54" s="64"/>
    </row>
    <row r="55" spans="2:7" x14ac:dyDescent="0.15">
      <c r="B55" s="113" t="s">
        <v>863</v>
      </c>
      <c r="C55" s="89">
        <f>COUNTIFS('reductions data'!$A:$A,'divisional &amp; regional overview'!$B$5,'reductions data'!$G:$G,'divisional &amp; regional overview'!B55)</f>
        <v>0</v>
      </c>
      <c r="D55" s="90">
        <f>SUMIFS('reductions data'!$H:$H,'reductions data'!$A:$A,$B$5,'reductions data'!$G:$G,'divisional &amp; regional overview'!B55)</f>
        <v>0</v>
      </c>
      <c r="E55" s="91"/>
      <c r="F55" s="91"/>
      <c r="G55" s="64"/>
    </row>
    <row r="56" spans="2:7" x14ac:dyDescent="0.15">
      <c r="B56" s="113" t="s">
        <v>864</v>
      </c>
      <c r="C56" s="89">
        <f>COUNTIFS('reductions data'!$A:$A,'divisional &amp; regional overview'!$B$5,'reductions data'!$G:$G,'divisional &amp; regional overview'!B56)</f>
        <v>0</v>
      </c>
      <c r="D56" s="90">
        <f>SUMIFS('reductions data'!$H:$H,'reductions data'!$A:$A,$B$5,'reductions data'!$G:$G,'divisional &amp; regional overview'!B56)</f>
        <v>0</v>
      </c>
      <c r="E56" s="91"/>
      <c r="F56" s="91"/>
      <c r="G56" s="64"/>
    </row>
    <row r="57" spans="2:7" x14ac:dyDescent="0.15">
      <c r="B57" s="113" t="s">
        <v>865</v>
      </c>
      <c r="C57" s="89">
        <f>COUNTIFS('reductions data'!$A:$A,'divisional &amp; regional overview'!$B$5,'reductions data'!$G:$G,'divisional &amp; regional overview'!B57)</f>
        <v>0</v>
      </c>
      <c r="D57" s="90">
        <f>SUMIFS('reductions data'!$H:$H,'reductions data'!$A:$A,$B$5,'reductions data'!$G:$G,'divisional &amp; regional overview'!B57)</f>
        <v>0</v>
      </c>
      <c r="E57" s="91"/>
      <c r="F57" s="91"/>
      <c r="G57" s="64"/>
    </row>
    <row r="58" spans="2:7" x14ac:dyDescent="0.15">
      <c r="B58" s="113" t="s">
        <v>1197</v>
      </c>
      <c r="C58" s="89">
        <f>COUNTIFS('reductions data'!$A:$A,'divisional &amp; regional overview'!$B$5,'reductions data'!$G:$G,'divisional &amp; regional overview'!B58)</f>
        <v>0</v>
      </c>
      <c r="D58" s="90">
        <f>SUMIFS('reductions data'!$H:$H,'reductions data'!$A:$A,$B$5,'reductions data'!$G:$G,'divisional &amp; regional overview'!B58)</f>
        <v>0</v>
      </c>
      <c r="E58" s="91"/>
      <c r="F58" s="91"/>
      <c r="G58" s="64"/>
    </row>
    <row r="59" spans="2:7" x14ac:dyDescent="0.15">
      <c r="B59" s="113" t="s">
        <v>1198</v>
      </c>
      <c r="C59" s="89">
        <f>COUNTIFS('reductions data'!$A:$A,'divisional &amp; regional overview'!$B$5,'reductions data'!$G:$G,'divisional &amp; regional overview'!B59)</f>
        <v>0</v>
      </c>
      <c r="D59" s="90">
        <f>SUMIFS('reductions data'!$H:$H,'reductions data'!$A:$A,$B$5,'reductions data'!$G:$G,'divisional &amp; regional overview'!B59)</f>
        <v>0</v>
      </c>
      <c r="E59" s="91"/>
      <c r="F59" s="91"/>
      <c r="G59" s="64"/>
    </row>
    <row r="60" spans="2:7" x14ac:dyDescent="0.15">
      <c r="B60" s="320" t="s">
        <v>1195</v>
      </c>
      <c r="C60" s="89">
        <f>COUNTIFS('reductions data'!$A:$A,'divisional &amp; regional overview'!$B$5,'reductions data'!$G:$G,'divisional &amp; regional overview'!B60)</f>
        <v>0</v>
      </c>
      <c r="D60" s="90">
        <f>SUMIFS('reductions data'!$H:$H,'reductions data'!$A:$A,$B$5,'reductions data'!$G:$G,'divisional &amp; regional overview'!B60)</f>
        <v>0</v>
      </c>
      <c r="E60" s="91"/>
      <c r="F60" s="91"/>
      <c r="G60" s="64"/>
    </row>
    <row r="61" spans="2:7" x14ac:dyDescent="0.15">
      <c r="B61" s="320" t="s">
        <v>1196</v>
      </c>
      <c r="C61" s="89">
        <f>COUNTIFS('reductions data'!$A:$A,'divisional &amp; regional overview'!$B$5,'reductions data'!$G:$G,'divisional &amp; regional overview'!B61)</f>
        <v>0</v>
      </c>
      <c r="D61" s="90">
        <f>SUMIFS('reductions data'!$H:$H,'reductions data'!$A:$A,$B$5,'reductions data'!$G:$G,'divisional &amp; regional overview'!B61)</f>
        <v>0</v>
      </c>
      <c r="E61" s="91"/>
      <c r="F61" s="91"/>
      <c r="G61" s="64"/>
    </row>
    <row r="62" spans="2:7" x14ac:dyDescent="0.15">
      <c r="B62" s="320" t="s">
        <v>1205</v>
      </c>
      <c r="C62" s="89">
        <f>COUNTIFS('reductions data'!$A:$A,'divisional &amp; regional overview'!$B$5,'reductions data'!$G:$G,'divisional &amp; regional overview'!B62)</f>
        <v>0</v>
      </c>
      <c r="D62" s="90">
        <f>SUMIFS('reductions data'!$H:$H,'reductions data'!$A:$A,$B$5,'reductions data'!$G:$G,'divisional &amp; regional overview'!B62)</f>
        <v>0</v>
      </c>
      <c r="E62" s="91"/>
      <c r="F62" s="91"/>
      <c r="G62" s="64"/>
    </row>
    <row r="63" spans="2:7" x14ac:dyDescent="0.15">
      <c r="B63" s="320" t="s">
        <v>1201</v>
      </c>
      <c r="C63" s="89">
        <f>COUNTIFS('reductions data'!$A:$A,'divisional &amp; regional overview'!$B$5,'reductions data'!$G:$G,'divisional &amp; regional overview'!B63)</f>
        <v>0</v>
      </c>
      <c r="D63" s="90">
        <f>SUMIFS('reductions data'!$H:$H,'reductions data'!$A:$A,$B$5,'reductions data'!$G:$G,'divisional &amp; regional overview'!B63)</f>
        <v>0</v>
      </c>
      <c r="E63" s="91"/>
      <c r="F63" s="91"/>
      <c r="G63" s="64"/>
    </row>
    <row r="64" spans="2:7" x14ac:dyDescent="0.15">
      <c r="B64" s="320" t="s">
        <v>1202</v>
      </c>
      <c r="C64" s="89">
        <f>COUNTIFS('reductions data'!$A:$A,'divisional &amp; regional overview'!$B$5,'reductions data'!$G:$G,'divisional &amp; regional overview'!B64)</f>
        <v>0</v>
      </c>
      <c r="D64" s="90">
        <f>SUMIFS('reductions data'!$H:$H,'reductions data'!$A:$A,$B$5,'reductions data'!$G:$G,'divisional &amp; regional overview'!B64)</f>
        <v>0</v>
      </c>
      <c r="E64" s="91"/>
      <c r="F64" s="91"/>
      <c r="G64" s="64"/>
    </row>
    <row r="65" spans="2:7" x14ac:dyDescent="0.15">
      <c r="B65" s="320" t="s">
        <v>1206</v>
      </c>
      <c r="C65" s="89">
        <f>COUNTIFS('reductions data'!$A:$A,'divisional &amp; regional overview'!$B$5,'reductions data'!$G:$G,'divisional &amp; regional overview'!B65)</f>
        <v>0</v>
      </c>
      <c r="D65" s="90">
        <f>SUMIFS('reductions data'!$H:$H,'reductions data'!$A:$A,$B$5,'reductions data'!$G:$G,'divisional &amp; regional overview'!B65)</f>
        <v>0</v>
      </c>
      <c r="E65" s="91"/>
      <c r="F65" s="91"/>
      <c r="G65" s="64"/>
    </row>
    <row r="66" spans="2:7" x14ac:dyDescent="0.15">
      <c r="B66" s="113" t="s">
        <v>1199</v>
      </c>
      <c r="C66" s="89">
        <f>COUNTIFS('reductions data'!$A:$A,'divisional &amp; regional overview'!$B$5,'reductions data'!$G:$G,'divisional &amp; regional overview'!B66)</f>
        <v>0</v>
      </c>
      <c r="D66" s="90">
        <f>SUMIFS('reductions data'!$H:$H,'reductions data'!$A:$A,$B$5,'reductions data'!$G:$G,'divisional &amp; regional overview'!B66)</f>
        <v>0</v>
      </c>
      <c r="E66" s="91"/>
      <c r="F66" s="91"/>
      <c r="G66" s="64"/>
    </row>
    <row r="67" spans="2:7" x14ac:dyDescent="0.15">
      <c r="B67" s="113" t="s">
        <v>1200</v>
      </c>
      <c r="C67" s="89">
        <f>COUNTIFS('reductions data'!$A:$A,'divisional &amp; regional overview'!$B$5,'reductions data'!$G:$G,'divisional &amp; regional overview'!B67)</f>
        <v>0</v>
      </c>
      <c r="D67" s="90">
        <f>SUMIFS('reductions data'!$H:$H,'reductions data'!$A:$A,$B$5,'reductions data'!$G:$G,'divisional &amp; regional overview'!B67)</f>
        <v>0</v>
      </c>
      <c r="E67" s="91"/>
      <c r="F67" s="91"/>
      <c r="G67" s="64"/>
    </row>
    <row r="68" spans="2:7" x14ac:dyDescent="0.15">
      <c r="B68" s="113" t="s">
        <v>867</v>
      </c>
      <c r="C68" s="89">
        <f>COUNTIFS('reductions data'!$A:$A,'divisional &amp; regional overview'!$B$5,'reductions data'!$G:$G,'divisional &amp; regional overview'!B68)</f>
        <v>0</v>
      </c>
      <c r="D68" s="90">
        <f>SUMIFS('reductions data'!$H:$H,'reductions data'!$A:$A,$B$5,'reductions data'!$G:$G,'divisional &amp; regional overview'!B68)</f>
        <v>0</v>
      </c>
      <c r="E68" s="91"/>
      <c r="F68" s="91"/>
      <c r="G68" s="64"/>
    </row>
    <row r="69" spans="2:7" x14ac:dyDescent="0.15">
      <c r="B69" s="113" t="s">
        <v>868</v>
      </c>
      <c r="C69" s="89">
        <f>COUNTIFS('reductions data'!$A:$A,'divisional &amp; regional overview'!$B$5,'reductions data'!$G:$G,'divisional &amp; regional overview'!B69)</f>
        <v>0</v>
      </c>
      <c r="D69" s="90">
        <f>SUMIFS('reductions data'!$H:$H,'reductions data'!$A:$A,$B$5,'reductions data'!$G:$G,'divisional &amp; regional overview'!B69)</f>
        <v>0</v>
      </c>
      <c r="E69" s="91"/>
      <c r="F69" s="91"/>
      <c r="G69" s="64"/>
    </row>
    <row r="70" spans="2:7" x14ac:dyDescent="0.15">
      <c r="B70" s="113" t="s">
        <v>869</v>
      </c>
      <c r="C70" s="89">
        <f>COUNTIFS('reductions data'!$A:$A,'divisional &amp; regional overview'!$B$5,'reductions data'!$G:$G,'divisional &amp; regional overview'!B70)</f>
        <v>0</v>
      </c>
      <c r="D70" s="90">
        <f>SUMIFS('reductions data'!$H:$H,'reductions data'!$A:$A,$B$5,'reductions data'!$G:$G,'divisional &amp; regional overview'!B70)</f>
        <v>0</v>
      </c>
      <c r="E70" s="91"/>
      <c r="F70" s="91"/>
      <c r="G70" s="64"/>
    </row>
    <row r="71" spans="2:7" x14ac:dyDescent="0.15">
      <c r="B71" s="113" t="s">
        <v>870</v>
      </c>
      <c r="C71" s="89">
        <f>COUNTIFS('reductions data'!$A:$A,'divisional &amp; regional overview'!$B$5,'reductions data'!$G:$G,'divisional &amp; regional overview'!B71)</f>
        <v>0</v>
      </c>
      <c r="D71" s="90">
        <f>SUMIFS('reductions data'!$H:$H,'reductions data'!$A:$A,$B$5,'reductions data'!$G:$G,'divisional &amp; regional overview'!B71)</f>
        <v>0</v>
      </c>
      <c r="E71" s="91"/>
      <c r="F71" s="91"/>
      <c r="G71" s="64"/>
    </row>
    <row r="72" spans="2:7" x14ac:dyDescent="0.15">
      <c r="B72" s="113" t="s">
        <v>871</v>
      </c>
      <c r="C72" s="89">
        <f>COUNTIFS('reductions data'!$A:$A,'divisional &amp; regional overview'!$B$5,'reductions data'!$G:$G,'divisional &amp; regional overview'!B72)</f>
        <v>0</v>
      </c>
      <c r="D72" s="90">
        <f>SUMIFS('reductions data'!$H:$H,'reductions data'!$A:$A,$B$5,'reductions data'!$G:$G,'divisional &amp; regional overview'!B72)</f>
        <v>0</v>
      </c>
      <c r="E72" s="91"/>
      <c r="F72" s="91"/>
      <c r="G72" s="64"/>
    </row>
    <row r="73" spans="2:7" x14ac:dyDescent="0.15">
      <c r="B73" s="113" t="s">
        <v>872</v>
      </c>
      <c r="C73" s="89">
        <f>COUNTIFS('reductions data'!$A:$A,'divisional &amp; regional overview'!$B$5,'reductions data'!$G:$G,'divisional &amp; regional overview'!B73)</f>
        <v>0</v>
      </c>
      <c r="D73" s="90">
        <f>SUMIFS('reductions data'!$H:$H,'reductions data'!$A:$A,$B$5,'reductions data'!$G:$G,'divisional &amp; regional overview'!B73)</f>
        <v>0</v>
      </c>
      <c r="E73" s="91"/>
      <c r="F73" s="91"/>
      <c r="G73" s="64"/>
    </row>
    <row r="74" spans="2:7" x14ac:dyDescent="0.15">
      <c r="B74" s="113" t="s">
        <v>866</v>
      </c>
      <c r="C74" s="89">
        <f>COUNTIFS('reductions data'!$A:$A,'divisional &amp; regional overview'!$B$5,'reductions data'!$G:$G,'divisional &amp; regional overview'!B74)</f>
        <v>0</v>
      </c>
      <c r="D74" s="90">
        <f>SUMIFS('reductions data'!$H:$H,'reductions data'!$A:$A,$B$5,'reductions data'!$G:$G,'divisional &amp; regional overview'!B74)</f>
        <v>0</v>
      </c>
      <c r="E74" s="91"/>
      <c r="F74" s="91"/>
      <c r="G74" s="64"/>
    </row>
    <row r="75" spans="2:7" x14ac:dyDescent="0.15">
      <c r="B75" s="113" t="s">
        <v>873</v>
      </c>
      <c r="C75" s="89">
        <f>COUNTIFS('reductions data'!$A:$A,'divisional &amp; regional overview'!$B$5,'reductions data'!$G:$G,'divisional &amp; regional overview'!B75)</f>
        <v>0</v>
      </c>
      <c r="D75" s="90">
        <f>SUMIFS('reductions data'!$H:$H,'reductions data'!$A:$A,$B$5,'reductions data'!$G:$G,'divisional &amp; regional overview'!B75)</f>
        <v>0</v>
      </c>
      <c r="E75" s="91"/>
      <c r="F75" s="91"/>
      <c r="G75" s="64"/>
    </row>
    <row r="76" spans="2:7" x14ac:dyDescent="0.15">
      <c r="B76" s="113" t="s">
        <v>874</v>
      </c>
      <c r="C76" s="89">
        <f>COUNTIFS('reductions data'!$A:$A,'divisional &amp; regional overview'!$B$5,'reductions data'!$G:$G,'divisional &amp; regional overview'!B76)</f>
        <v>0</v>
      </c>
      <c r="D76" s="90">
        <f>SUMIFS('reductions data'!$H:$H,'reductions data'!$A:$A,$B$5,'reductions data'!$G:$G,'divisional &amp; regional overview'!B76)</f>
        <v>0</v>
      </c>
      <c r="E76" s="91"/>
      <c r="F76" s="91"/>
      <c r="G76" s="64"/>
    </row>
    <row r="77" spans="2:7" x14ac:dyDescent="0.15">
      <c r="B77" s="113" t="s">
        <v>875</v>
      </c>
      <c r="C77" s="89">
        <f>COUNTIFS('reductions data'!$A:$A,'divisional &amp; regional overview'!$B$5,'reductions data'!$G:$G,'divisional &amp; regional overview'!B77)</f>
        <v>0</v>
      </c>
      <c r="D77" s="90">
        <f>SUMIFS('reductions data'!$H:$H,'reductions data'!$A:$A,$B$5,'reductions data'!$G:$G,'divisional &amp; regional overview'!B77)</f>
        <v>0</v>
      </c>
      <c r="E77" s="91"/>
      <c r="F77" s="91"/>
      <c r="G77" s="64"/>
    </row>
    <row r="78" spans="2:7" x14ac:dyDescent="0.15">
      <c r="B78" s="113" t="s">
        <v>876</v>
      </c>
      <c r="C78" s="89">
        <f>COUNTIFS('reductions data'!$A:$A,'divisional &amp; regional overview'!$B$5,'reductions data'!$G:$G,'divisional &amp; regional overview'!B78)</f>
        <v>0</v>
      </c>
      <c r="D78" s="90">
        <f>SUMIFS('reductions data'!$H:$H,'reductions data'!$A:$A,$B$5,'reductions data'!$G:$G,'divisional &amp; regional overview'!B78)</f>
        <v>0</v>
      </c>
      <c r="E78" s="91"/>
      <c r="F78" s="91"/>
      <c r="G78" s="64"/>
    </row>
    <row r="79" spans="2:7" x14ac:dyDescent="0.15">
      <c r="B79" s="113" t="s">
        <v>877</v>
      </c>
      <c r="C79" s="89">
        <f>COUNTIFS('reductions data'!$A:$A,'divisional &amp; regional overview'!$B$5,'reductions data'!$G:$G,'divisional &amp; regional overview'!B79)</f>
        <v>0</v>
      </c>
      <c r="D79" s="90">
        <f>SUMIFS('reductions data'!$H:$H,'reductions data'!$A:$A,$B$5,'reductions data'!$G:$G,'divisional &amp; regional overview'!B79)</f>
        <v>0</v>
      </c>
      <c r="E79" s="91"/>
      <c r="F79" s="91"/>
      <c r="G79" s="64"/>
    </row>
    <row r="80" spans="2:7" x14ac:dyDescent="0.15">
      <c r="B80" s="113" t="s">
        <v>878</v>
      </c>
      <c r="C80" s="89">
        <f>COUNTIFS('reductions data'!$A:$A,'divisional &amp; regional overview'!$B$5,'reductions data'!$G:$G,'divisional &amp; regional overview'!B80)</f>
        <v>0</v>
      </c>
      <c r="D80" s="90">
        <f>SUMIFS('reductions data'!$H:$H,'reductions data'!$A:$A,$B$5,'reductions data'!$G:$G,'divisional &amp; regional overview'!B80)</f>
        <v>0</v>
      </c>
      <c r="E80" s="91"/>
      <c r="F80" s="91"/>
      <c r="G80" s="64"/>
    </row>
    <row r="81" spans="2:19" x14ac:dyDescent="0.15">
      <c r="B81" s="113" t="s">
        <v>879</v>
      </c>
      <c r="C81" s="89">
        <f>COUNTIFS('reductions data'!$A:$A,'divisional &amp; regional overview'!$B$5,'reductions data'!$G:$G,'divisional &amp; regional overview'!B81)</f>
        <v>0</v>
      </c>
      <c r="D81" s="90">
        <f>SUMIFS('reductions data'!$H:$H,'reductions data'!$A:$A,$B$5,'reductions data'!$G:$G,'divisional &amp; regional overview'!B81)</f>
        <v>0</v>
      </c>
      <c r="E81" s="91"/>
      <c r="F81" s="91"/>
      <c r="G81" s="64"/>
    </row>
    <row r="82" spans="2:19" ht="16" x14ac:dyDescent="0.2">
      <c r="B82" s="113" t="s">
        <v>880</v>
      </c>
      <c r="C82" s="89">
        <f>COUNTIFS('reductions data'!$A:$A,'divisional &amp; regional overview'!$B$5,'reductions data'!$G:$G,'divisional &amp; regional overview'!B82)</f>
        <v>0</v>
      </c>
      <c r="D82" s="90">
        <f>SUMIFS('reductions data'!$H:$H,'reductions data'!$A:$A,$B$5,'reductions data'!$G:$G,'divisional &amp; regional overview'!B82)</f>
        <v>0</v>
      </c>
      <c r="E82" s="1"/>
      <c r="F82" s="1"/>
    </row>
    <row r="83" spans="2:19" ht="16" x14ac:dyDescent="0.2">
      <c r="B83" s="321"/>
      <c r="C83" s="322"/>
      <c r="D83" s="323"/>
      <c r="E83" s="1"/>
      <c r="F83" s="1"/>
    </row>
    <row r="84" spans="2:19" ht="16" x14ac:dyDescent="0.2">
      <c r="B84" s="321"/>
      <c r="C84" s="322"/>
      <c r="D84" s="323"/>
      <c r="E84" s="1"/>
      <c r="F84" s="1"/>
    </row>
    <row r="85" spans="2:19" ht="27" customHeight="1" x14ac:dyDescent="0.15">
      <c r="B85" s="21"/>
      <c r="C85" s="455" t="s">
        <v>940</v>
      </c>
      <c r="D85" s="456"/>
      <c r="E85" s="456"/>
      <c r="F85" s="456"/>
      <c r="G85" s="456"/>
      <c r="H85" s="456"/>
      <c r="I85" s="456"/>
      <c r="J85" s="456"/>
      <c r="K85" s="456"/>
      <c r="L85" s="456"/>
      <c r="M85" s="456"/>
      <c r="N85" s="456"/>
      <c r="O85" s="456"/>
      <c r="P85" s="456"/>
      <c r="Q85" s="456"/>
      <c r="R85" s="456"/>
      <c r="S85" s="456"/>
    </row>
    <row r="86" spans="2:19" x14ac:dyDescent="0.15">
      <c r="B86" s="93" t="str">
        <f>B5</f>
        <v>Yorkshire and The Humber</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S86" s="38" t="s">
        <v>831</v>
      </c>
    </row>
    <row r="87" spans="2:19" x14ac:dyDescent="0.15">
      <c r="B87" s="75" t="s">
        <v>941</v>
      </c>
      <c r="C87" s="94">
        <f>SUMIFS('caseload data'!E:E,'caseload data'!$B:$B,"custody",'caseload data'!$A:$A,$B$86)</f>
        <v>0</v>
      </c>
      <c r="D87" s="94">
        <f>SUMIFS('caseload data'!F:F,'caseload data'!$B:$B,"custody",'caseload data'!$A:$A,$B$86)</f>
        <v>0</v>
      </c>
      <c r="E87" s="94">
        <f>SUMIFS('caseload data'!G:G,'caseload data'!$B:$B,"custody",'caseload data'!$A:$A,$B$86)</f>
        <v>0</v>
      </c>
      <c r="F87" s="94">
        <f>SUMIFS('caseload data'!H:H,'caseload data'!$B:$B,"custody",'caseload data'!$A:$A,$B$86)</f>
        <v>0</v>
      </c>
      <c r="G87" s="94">
        <f>SUMIFS('caseload data'!I:I,'caseload data'!$B:$B,"custody",'caseload data'!$A:$A,$B$86)</f>
        <v>0</v>
      </c>
      <c r="H87" s="94">
        <f>SUMIFS('caseload data'!J:J,'caseload data'!$B:$B,"custody",'caseload data'!$A:$A,$B$86)</f>
        <v>0</v>
      </c>
      <c r="I87" s="94">
        <f>SUMIFS('caseload data'!K:K,'caseload data'!$B:$B,"custody",'caseload data'!$A:$A,$B$86)</f>
        <v>0</v>
      </c>
      <c r="J87" s="94">
        <f>SUMIFS('caseload data'!L:L,'caseload data'!$B:$B,"custody",'caseload data'!$A:$A,$B$86)</f>
        <v>0</v>
      </c>
      <c r="K87" s="94">
        <f>SUMIFS('caseload data'!M:M,'caseload data'!$B:$B,"custody",'caseload data'!$A:$A,$B$86)</f>
        <v>0</v>
      </c>
      <c r="L87" s="94">
        <f>SUMIFS('caseload data'!N:N,'caseload data'!$B:$B,"custody",'caseload data'!$A:$A,$B$86)</f>
        <v>0</v>
      </c>
      <c r="M87" s="94">
        <f>SUMIFS('caseload data'!O:O,'caseload data'!$B:$B,"custody",'caseload data'!$A:$A,$B$86)</f>
        <v>0</v>
      </c>
      <c r="N87" s="94">
        <f>SUMIFS('caseload data'!P:P,'caseload data'!$B:$B,"custody",'caseload data'!$A:$A,$B$86)</f>
        <v>0</v>
      </c>
      <c r="O87" s="94">
        <f>SUMIFS('caseload data'!Q:Q,'caseload data'!$B:$B,"custody",'caseload data'!$A:$A,$B$86)</f>
        <v>0</v>
      </c>
      <c r="P87" s="94">
        <f>SUMIFS('caseload data'!R:R,'caseload data'!$B:$B,"custody",'caseload data'!$A:$A,$B$86)</f>
        <v>0</v>
      </c>
      <c r="Q87" s="94">
        <f>SUMIFS('caseload data'!S:S,'caseload data'!$B:$B,"custody",'caseload data'!$A:$A,$B$86)</f>
        <v>0</v>
      </c>
      <c r="R87" s="94">
        <f>SUMIFS('caseload data'!T:T,'caseload data'!$B:$B,"custody",'caseload data'!$A:$A,$B$86)</f>
        <v>0</v>
      </c>
      <c r="S87" s="94">
        <f>SUMIFS('caseload data'!V:V,'caseload data'!A:A,B86,'caseload data'!B:B,"custody")</f>
        <v>0</v>
      </c>
    </row>
    <row r="88" spans="2:19" x14ac:dyDescent="0.15">
      <c r="B88" s="75" t="s">
        <v>942</v>
      </c>
      <c r="C88" s="75">
        <f>SUMIFS('caseload data'!E:E,'caseload data'!$B:$B,"licence",'caseload data'!$A:$A,$B$86)</f>
        <v>0</v>
      </c>
      <c r="D88" s="75">
        <f>SUMIFS('caseload data'!F:F,'caseload data'!$B:$B,"licence",'caseload data'!$A:$A,$B$86)</f>
        <v>0</v>
      </c>
      <c r="E88" s="75">
        <f>SUMIFS('caseload data'!G:G,'caseload data'!$B:$B,"licence",'caseload data'!$A:$A,$B$86)</f>
        <v>0</v>
      </c>
      <c r="F88" s="75">
        <f>SUMIFS('caseload data'!H:H,'caseload data'!$B:$B,"licence",'caseload data'!$A:$A,$B$86)</f>
        <v>0</v>
      </c>
      <c r="G88" s="75">
        <f>SUMIFS('caseload data'!I:I,'caseload data'!$B:$B,"licence",'caseload data'!$A:$A,$B$86)</f>
        <v>0</v>
      </c>
      <c r="H88" s="75">
        <f>SUMIFS('caseload data'!J:J,'caseload data'!$B:$B,"licence",'caseload data'!$A:$A,$B$86)</f>
        <v>0</v>
      </c>
      <c r="I88" s="75">
        <f>SUMIFS('caseload data'!K:K,'caseload data'!$B:$B,"licence",'caseload data'!$A:$A,$B$86)</f>
        <v>0</v>
      </c>
      <c r="J88" s="75">
        <f>SUMIFS('caseload data'!L:L,'caseload data'!$B:$B,"licence",'caseload data'!$A:$A,$B$86)</f>
        <v>0</v>
      </c>
      <c r="K88" s="75">
        <f>SUMIFS('caseload data'!M:M,'caseload data'!$B:$B,"licence",'caseload data'!$A:$A,$B$86)</f>
        <v>0</v>
      </c>
      <c r="L88" s="75">
        <f>SUMIFS('caseload data'!N:N,'caseload data'!$B:$B,"licence",'caseload data'!$A:$A,$B$86)</f>
        <v>0</v>
      </c>
      <c r="M88" s="75">
        <f>SUMIFS('caseload data'!O:O,'caseload data'!$B:$B,"licence",'caseload data'!$A:$A,$B$86)</f>
        <v>0</v>
      </c>
      <c r="N88" s="75">
        <f>SUMIFS('caseload data'!P:P,'caseload data'!$B:$B,"licence",'caseload data'!$A:$A,$B$86)</f>
        <v>0</v>
      </c>
      <c r="O88" s="75">
        <f>SUMIFS('caseload data'!Q:Q,'caseload data'!$B:$B,"licence",'caseload data'!$A:$A,$B$86)</f>
        <v>0</v>
      </c>
      <c r="P88" s="75">
        <f>SUMIFS('caseload data'!R:R,'caseload data'!$B:$B,"licence",'caseload data'!$A:$A,$B$86)</f>
        <v>0</v>
      </c>
      <c r="Q88" s="75">
        <f>SUMIFS('caseload data'!S:S,'caseload data'!$B:$B,"licence",'caseload data'!$A:$A,$B$86)</f>
        <v>0</v>
      </c>
      <c r="R88" s="75">
        <f>SUMIFS('caseload data'!T:T,'caseload data'!$B:$B,"licence",'caseload data'!$A:$A,$B$86)</f>
        <v>0</v>
      </c>
      <c r="S88" s="75">
        <f>SUMIFS('caseload data'!V:V,'caseload data'!A:A,B86,'caseload data'!B:B,"licence")</f>
        <v>0</v>
      </c>
    </row>
    <row r="89" spans="2:19" x14ac:dyDescent="0.15">
      <c r="B89" s="75" t="s">
        <v>943</v>
      </c>
      <c r="C89" s="75">
        <f>SUMIFS('caseload data'!E:E,'caseload data'!$B:$B,"community",'caseload data'!$A:$A,$B$86)</f>
        <v>0</v>
      </c>
      <c r="D89" s="75">
        <f>SUMIFS('caseload data'!F:F,'caseload data'!$B:$B,"community",'caseload data'!$A:$A,$B$86)</f>
        <v>0</v>
      </c>
      <c r="E89" s="75">
        <f>SUMIFS('caseload data'!G:G,'caseload data'!$B:$B,"community",'caseload data'!$A:$A,$B$86)</f>
        <v>0</v>
      </c>
      <c r="F89" s="75">
        <f>SUMIFS('caseload data'!H:H,'caseload data'!$B:$B,"community",'caseload data'!$A:$A,$B$86)</f>
        <v>0</v>
      </c>
      <c r="G89" s="75">
        <f>SUMIFS('caseload data'!I:I,'caseload data'!$B:$B,"community",'caseload data'!$A:$A,$B$86)</f>
        <v>0</v>
      </c>
      <c r="H89" s="75">
        <f>SUMIFS('caseload data'!J:J,'caseload data'!$B:$B,"community",'caseload data'!$A:$A,$B$86)</f>
        <v>0</v>
      </c>
      <c r="I89" s="75">
        <f>SUMIFS('caseload data'!K:K,'caseload data'!$B:$B,"community",'caseload data'!$A:$A,$B$86)</f>
        <v>0</v>
      </c>
      <c r="J89" s="75">
        <f>SUMIFS('caseload data'!L:L,'caseload data'!$B:$B,"community",'caseload data'!$A:$A,$B$86)</f>
        <v>0</v>
      </c>
      <c r="K89" s="75">
        <f>SUMIFS('caseload data'!M:M,'caseload data'!$B:$B,"community",'caseload data'!$A:$A,$B$86)</f>
        <v>0</v>
      </c>
      <c r="L89" s="75">
        <f>SUMIFS('caseload data'!N:N,'caseload data'!$B:$B,"community",'caseload data'!$A:$A,$B$86)</f>
        <v>0</v>
      </c>
      <c r="M89" s="75">
        <f>SUMIFS('caseload data'!O:O,'caseload data'!$B:$B,"community",'caseload data'!$A:$A,$B$86)</f>
        <v>0</v>
      </c>
      <c r="N89" s="75">
        <f>SUMIFS('caseload data'!P:P,'caseload data'!$B:$B,"community",'caseload data'!$A:$A,$B$86)</f>
        <v>0</v>
      </c>
      <c r="O89" s="75">
        <f>SUMIFS('caseload data'!Q:Q,'caseload data'!$B:$B,"community",'caseload data'!$A:$A,$B$86)</f>
        <v>0</v>
      </c>
      <c r="P89" s="75">
        <f>SUMIFS('caseload data'!R:R,'caseload data'!$B:$B,"community",'caseload data'!$A:$A,$B$86)</f>
        <v>0</v>
      </c>
      <c r="Q89" s="75">
        <f>SUMIFS('caseload data'!S:S,'caseload data'!$B:$B,"community",'caseload data'!$A:$A,$B$86)</f>
        <v>0</v>
      </c>
      <c r="R89" s="75">
        <f>SUMIFS('caseload data'!T:T,'caseload data'!$B:$B,"community",'caseload data'!$A:$A,$B$86)</f>
        <v>0</v>
      </c>
      <c r="S89" s="75">
        <f>SUMIFS('caseload data'!V:V,'caseload data'!A:A,B86,'caseload data'!B:B,"community")</f>
        <v>0</v>
      </c>
    </row>
    <row r="90" spans="2:19" x14ac:dyDescent="0.15">
      <c r="B90" s="110" t="s">
        <v>944</v>
      </c>
      <c r="C90" s="110">
        <f>SUMIF('caseload data'!$A:$A,$B$86,'caseload data'!E:E)</f>
        <v>0</v>
      </c>
      <c r="D90" s="110">
        <f>SUMIF('caseload data'!$A:$A,$B$86,'caseload data'!F:F)</f>
        <v>0</v>
      </c>
      <c r="E90" s="110">
        <f>SUMIF('caseload data'!$A:$A,$B$86,'caseload data'!G:G)</f>
        <v>0</v>
      </c>
      <c r="F90" s="110">
        <f>SUMIF('caseload data'!$A:$A,$B$86,'caseload data'!H:H)</f>
        <v>0</v>
      </c>
      <c r="G90" s="110">
        <f>SUMIF('caseload data'!$A:$A,$B$86,'caseload data'!I:I)</f>
        <v>0</v>
      </c>
      <c r="H90" s="110">
        <f>SUMIF('caseload data'!$A:$A,$B$86,'caseload data'!J:J)</f>
        <v>0</v>
      </c>
      <c r="I90" s="110">
        <f>SUMIF('caseload data'!$A:$A,$B$86,'caseload data'!K:K)</f>
        <v>0</v>
      </c>
      <c r="J90" s="110">
        <f>SUMIF('caseload data'!$A:$A,$B$86,'caseload data'!L:L)</f>
        <v>0</v>
      </c>
      <c r="K90" s="110">
        <f>SUMIF('caseload data'!$A:$A,$B$86,'caseload data'!M:M)</f>
        <v>0</v>
      </c>
      <c r="L90" s="110">
        <f>SUMIF('caseload data'!$A:$A,$B$86,'caseload data'!N:N)</f>
        <v>0</v>
      </c>
      <c r="M90" s="110">
        <f>SUMIF('caseload data'!$A:$A,$B$86,'caseload data'!O:O)</f>
        <v>0</v>
      </c>
      <c r="N90" s="110">
        <f>SUMIF('caseload data'!$A:$A,$B$86,'caseload data'!P:P)</f>
        <v>0</v>
      </c>
      <c r="O90" s="110">
        <f>SUMIF('caseload data'!$A:$A,$B$86,'caseload data'!Q:Q)</f>
        <v>0</v>
      </c>
      <c r="P90" s="110">
        <f>SUMIF('caseload data'!$A:$A,$B$86,'caseload data'!R:R)</f>
        <v>0</v>
      </c>
      <c r="Q90" s="110">
        <f>SUMIF('caseload data'!$A:$A,$B$86,'caseload data'!S:S)</f>
        <v>0</v>
      </c>
      <c r="R90" s="110">
        <f>SUMIF('caseload data'!$A:$A,$B$86,'caseload data'!T:T)</f>
        <v>0</v>
      </c>
      <c r="S90" s="110">
        <f>SUMIF('caseload data'!A:A,B86,'caseload data'!V:V)</f>
        <v>0</v>
      </c>
    </row>
    <row r="91" spans="2:19" x14ac:dyDescent="0.15">
      <c r="B91" s="21"/>
      <c r="C91" s="21"/>
      <c r="D91" s="21"/>
      <c r="E91" s="21"/>
      <c r="F91" s="21"/>
      <c r="G91" s="21"/>
      <c r="H91" s="21"/>
      <c r="I91" s="21"/>
      <c r="J91" s="21"/>
    </row>
    <row r="92" spans="2:19" ht="21.75" customHeight="1" x14ac:dyDescent="0.15">
      <c r="B92" s="21"/>
      <c r="C92" s="455" t="s">
        <v>945</v>
      </c>
      <c r="D92" s="456"/>
      <c r="E92" s="456"/>
      <c r="F92" s="456"/>
      <c r="G92" s="456"/>
      <c r="H92" s="456"/>
      <c r="I92" s="456"/>
      <c r="J92" s="456"/>
      <c r="K92" s="456"/>
      <c r="L92" s="456"/>
      <c r="M92" s="456"/>
      <c r="N92" s="456"/>
      <c r="O92" s="456"/>
      <c r="P92" s="456"/>
      <c r="Q92" s="456"/>
      <c r="R92" s="456"/>
    </row>
    <row r="93" spans="2:19" x14ac:dyDescent="0.15">
      <c r="B93" s="93" t="str">
        <f>B5</f>
        <v>Yorkshire and The Humber</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row>
    <row r="94" spans="2:19" x14ac:dyDescent="0.15">
      <c r="B94" s="75" t="s">
        <v>941</v>
      </c>
      <c r="C94" s="66" t="e">
        <f t="shared" ref="C94:R94" si="0">C87/$S$87</f>
        <v>#DIV/0!</v>
      </c>
      <c r="D94" s="66" t="e">
        <f t="shared" si="0"/>
        <v>#DIV/0!</v>
      </c>
      <c r="E94" s="66" t="e">
        <f t="shared" si="0"/>
        <v>#DIV/0!</v>
      </c>
      <c r="F94" s="66" t="e">
        <f t="shared" si="0"/>
        <v>#DIV/0!</v>
      </c>
      <c r="G94" s="66" t="e">
        <f t="shared" si="0"/>
        <v>#DIV/0!</v>
      </c>
      <c r="H94" s="66" t="e">
        <f t="shared" si="0"/>
        <v>#DIV/0!</v>
      </c>
      <c r="I94" s="66" t="e">
        <f t="shared" si="0"/>
        <v>#DIV/0!</v>
      </c>
      <c r="J94" s="66" t="e">
        <f t="shared" si="0"/>
        <v>#DIV/0!</v>
      </c>
      <c r="K94" s="66" t="e">
        <f t="shared" si="0"/>
        <v>#DIV/0!</v>
      </c>
      <c r="L94" s="66" t="e">
        <f t="shared" si="0"/>
        <v>#DIV/0!</v>
      </c>
      <c r="M94" s="66" t="e">
        <f t="shared" si="0"/>
        <v>#DIV/0!</v>
      </c>
      <c r="N94" s="66" t="e">
        <f t="shared" si="0"/>
        <v>#DIV/0!</v>
      </c>
      <c r="O94" s="66" t="e">
        <f t="shared" si="0"/>
        <v>#DIV/0!</v>
      </c>
      <c r="P94" s="66" t="e">
        <f t="shared" si="0"/>
        <v>#DIV/0!</v>
      </c>
      <c r="Q94" s="66" t="e">
        <f t="shared" si="0"/>
        <v>#DIV/0!</v>
      </c>
      <c r="R94" s="66" t="e">
        <f t="shared" si="0"/>
        <v>#DIV/0!</v>
      </c>
    </row>
    <row r="95" spans="2:19" x14ac:dyDescent="0.15">
      <c r="B95" s="75" t="s">
        <v>942</v>
      </c>
      <c r="C95" s="66" t="e">
        <f t="shared" ref="C95:R95" si="1">C88/$S$88</f>
        <v>#DIV/0!</v>
      </c>
      <c r="D95" s="66" t="e">
        <f t="shared" si="1"/>
        <v>#DIV/0!</v>
      </c>
      <c r="E95" s="66" t="e">
        <f t="shared" si="1"/>
        <v>#DIV/0!</v>
      </c>
      <c r="F95" s="66" t="e">
        <f t="shared" si="1"/>
        <v>#DIV/0!</v>
      </c>
      <c r="G95" s="66" t="e">
        <f t="shared" si="1"/>
        <v>#DIV/0!</v>
      </c>
      <c r="H95" s="66" t="e">
        <f t="shared" si="1"/>
        <v>#DIV/0!</v>
      </c>
      <c r="I95" s="66" t="e">
        <f t="shared" si="1"/>
        <v>#DIV/0!</v>
      </c>
      <c r="J95" s="66" t="e">
        <f t="shared" si="1"/>
        <v>#DIV/0!</v>
      </c>
      <c r="K95" s="66" t="e">
        <f t="shared" si="1"/>
        <v>#DIV/0!</v>
      </c>
      <c r="L95" s="66" t="e">
        <f t="shared" si="1"/>
        <v>#DIV/0!</v>
      </c>
      <c r="M95" s="66" t="e">
        <f t="shared" si="1"/>
        <v>#DIV/0!</v>
      </c>
      <c r="N95" s="66" t="e">
        <f t="shared" si="1"/>
        <v>#DIV/0!</v>
      </c>
      <c r="O95" s="66" t="e">
        <f t="shared" si="1"/>
        <v>#DIV/0!</v>
      </c>
      <c r="P95" s="66" t="e">
        <f t="shared" si="1"/>
        <v>#DIV/0!</v>
      </c>
      <c r="Q95" s="66" t="e">
        <f t="shared" si="1"/>
        <v>#DIV/0!</v>
      </c>
      <c r="R95" s="66" t="e">
        <f t="shared" si="1"/>
        <v>#DIV/0!</v>
      </c>
    </row>
    <row r="96" spans="2:19" x14ac:dyDescent="0.15">
      <c r="B96" s="75" t="s">
        <v>943</v>
      </c>
      <c r="C96" s="66" t="e">
        <f t="shared" ref="C96:R96" si="2">C89/$S$89</f>
        <v>#DIV/0!</v>
      </c>
      <c r="D96" s="66" t="e">
        <f t="shared" si="2"/>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si="2"/>
        <v>#DIV/0!</v>
      </c>
      <c r="R96" s="66" t="e">
        <f t="shared" si="2"/>
        <v>#DIV/0!</v>
      </c>
    </row>
    <row r="97" spans="2:37" x14ac:dyDescent="0.15">
      <c r="B97" s="110" t="s">
        <v>944</v>
      </c>
      <c r="C97" s="99" t="e">
        <f t="shared" ref="C97:R97" si="3">C90/$S$90</f>
        <v>#DIV/0!</v>
      </c>
      <c r="D97" s="99" t="e">
        <f t="shared" si="3"/>
        <v>#DIV/0!</v>
      </c>
      <c r="E97" s="99" t="e">
        <f t="shared" si="3"/>
        <v>#DIV/0!</v>
      </c>
      <c r="F97" s="99" t="e">
        <f t="shared" si="3"/>
        <v>#DIV/0!</v>
      </c>
      <c r="G97" s="99" t="e">
        <f t="shared" si="3"/>
        <v>#DIV/0!</v>
      </c>
      <c r="H97" s="99" t="e">
        <f t="shared" si="3"/>
        <v>#DIV/0!</v>
      </c>
      <c r="I97" s="99" t="e">
        <f t="shared" si="3"/>
        <v>#DIV/0!</v>
      </c>
      <c r="J97" s="99" t="e">
        <f t="shared" si="3"/>
        <v>#DIV/0!</v>
      </c>
      <c r="K97" s="99" t="e">
        <f t="shared" si="3"/>
        <v>#DIV/0!</v>
      </c>
      <c r="L97" s="99" t="e">
        <f t="shared" si="3"/>
        <v>#DIV/0!</v>
      </c>
      <c r="M97" s="99" t="e">
        <f t="shared" si="3"/>
        <v>#DIV/0!</v>
      </c>
      <c r="N97" s="99" t="e">
        <f t="shared" si="3"/>
        <v>#DIV/0!</v>
      </c>
      <c r="O97" s="99" t="e">
        <f t="shared" si="3"/>
        <v>#DIV/0!</v>
      </c>
      <c r="P97" s="99" t="e">
        <f t="shared" si="3"/>
        <v>#DIV/0!</v>
      </c>
      <c r="Q97" s="99" t="e">
        <f t="shared" si="3"/>
        <v>#DIV/0!</v>
      </c>
      <c r="R97" s="99" t="e">
        <f t="shared" si="3"/>
        <v>#DIV/0!</v>
      </c>
    </row>
    <row r="98" spans="2:37" x14ac:dyDescent="0.15">
      <c r="B98" s="21"/>
      <c r="C98" s="21"/>
      <c r="D98" s="21"/>
      <c r="E98" s="21"/>
      <c r="F98" s="21"/>
      <c r="G98" s="21"/>
      <c r="H98" s="21"/>
      <c r="I98" s="21"/>
      <c r="J98" s="21"/>
    </row>
    <row r="99" spans="2:37" ht="23.25" customHeight="1" x14ac:dyDescent="0.2">
      <c r="B99" s="52" t="str">
        <f>B5</f>
        <v>Yorkshire and The Humber</v>
      </c>
      <c r="C99" s="455" t="s">
        <v>948</v>
      </c>
      <c r="D99" s="456"/>
      <c r="E99" s="456"/>
      <c r="F99" s="456"/>
      <c r="G99" s="456"/>
      <c r="H99" s="456"/>
      <c r="I99" s="456"/>
      <c r="J99" s="456"/>
      <c r="K99" s="456"/>
      <c r="L99" s="456"/>
      <c r="M99" s="456"/>
      <c r="N99" s="456"/>
      <c r="O99" s="456"/>
      <c r="P99" s="456"/>
      <c r="Q99" s="456"/>
      <c r="R99" s="456"/>
      <c r="U99" s="52" t="str">
        <f>B5</f>
        <v>Yorkshire and The Humber</v>
      </c>
      <c r="V99" s="443" t="s">
        <v>949</v>
      </c>
      <c r="W99" s="444"/>
      <c r="X99" s="444"/>
      <c r="Y99" s="444"/>
      <c r="Z99" s="444"/>
      <c r="AA99" s="444"/>
      <c r="AB99" s="444"/>
      <c r="AC99" s="444"/>
      <c r="AD99" s="444"/>
      <c r="AE99" s="444"/>
      <c r="AF99" s="444"/>
      <c r="AG99" s="444"/>
      <c r="AH99" s="444"/>
      <c r="AI99" s="444"/>
      <c r="AJ99" s="444"/>
      <c r="AK99" s="444"/>
    </row>
    <row r="100" spans="2:37" ht="18" x14ac:dyDescent="0.2">
      <c r="B100" s="282"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U100" s="95" t="s">
        <v>951</v>
      </c>
      <c r="V100" s="38" t="s">
        <v>814</v>
      </c>
      <c r="W100" s="38" t="s">
        <v>815</v>
      </c>
      <c r="X100" s="38" t="s">
        <v>816</v>
      </c>
      <c r="Y100" s="38" t="s">
        <v>817</v>
      </c>
      <c r="Z100" s="38" t="s">
        <v>818</v>
      </c>
      <c r="AA100" s="38" t="s">
        <v>819</v>
      </c>
      <c r="AB100" s="38" t="s">
        <v>820</v>
      </c>
      <c r="AC100" s="38" t="s">
        <v>821</v>
      </c>
      <c r="AD100" s="38" t="s">
        <v>822</v>
      </c>
      <c r="AE100" s="38" t="s">
        <v>823</v>
      </c>
      <c r="AF100" s="38" t="s">
        <v>824</v>
      </c>
      <c r="AG100" s="38" t="s">
        <v>825</v>
      </c>
      <c r="AH100" s="38" t="s">
        <v>826</v>
      </c>
      <c r="AI100" s="38" t="s">
        <v>827</v>
      </c>
      <c r="AJ100" s="38" t="s">
        <v>828</v>
      </c>
      <c r="AK100" s="38" t="s">
        <v>829</v>
      </c>
    </row>
    <row r="101" spans="2:37" x14ac:dyDescent="0.15">
      <c r="B101" s="96" t="s">
        <v>947</v>
      </c>
      <c r="C101" s="94">
        <f>SUMIFS('caseload data'!E:E,'caseload data'!$D:$D,"PO",'caseload data'!$A:$A,'divisional &amp; regional overview'!$B$99,'caseload data'!$B:$B,"community")</f>
        <v>0</v>
      </c>
      <c r="D101" s="94">
        <f>SUMIFS('caseload data'!F:F,'caseload data'!$D:$D,"PO",'caseload data'!$A:$A,'divisional &amp; regional overview'!$B$99,'caseload data'!$B:$B,"community")</f>
        <v>0</v>
      </c>
      <c r="E101" s="94">
        <f>SUMIFS('caseload data'!G:G,'caseload data'!$D:$D,"PO",'caseload data'!$A:$A,'divisional &amp; regional overview'!$B$99,'caseload data'!$B:$B,"community")</f>
        <v>0</v>
      </c>
      <c r="F101" s="94">
        <f>SUMIFS('caseload data'!H:H,'caseload data'!$D:$D,"PO",'caseload data'!$A:$A,'divisional &amp; regional overview'!$B$99,'caseload data'!$B:$B,"community")</f>
        <v>0</v>
      </c>
      <c r="G101" s="94">
        <f>SUMIFS('caseload data'!I:I,'caseload data'!$D:$D,"PO",'caseload data'!$A:$A,'divisional &amp; regional overview'!$B$99,'caseload data'!$B:$B,"community")</f>
        <v>0</v>
      </c>
      <c r="H101" s="94">
        <f>SUMIFS('caseload data'!J:J,'caseload data'!$D:$D,"PO",'caseload data'!$A:$A,'divisional &amp; regional overview'!$B$99,'caseload data'!$B:$B,"community")</f>
        <v>0</v>
      </c>
      <c r="I101" s="94">
        <f>SUMIFS('caseload data'!K:K,'caseload data'!$D:$D,"PO",'caseload data'!$A:$A,'divisional &amp; regional overview'!$B$99,'caseload data'!$B:$B,"community")</f>
        <v>0</v>
      </c>
      <c r="J101" s="94">
        <f>SUMIFS('caseload data'!L:L,'caseload data'!$D:$D,"PO",'caseload data'!$A:$A,'divisional &amp; regional overview'!$B$99,'caseload data'!$B:$B,"community")</f>
        <v>0</v>
      </c>
      <c r="K101" s="94">
        <f>SUMIFS('caseload data'!M:M,'caseload data'!$D:$D,"PO",'caseload data'!$A:$A,'divisional &amp; regional overview'!$B$99,'caseload data'!$B:$B,"community")</f>
        <v>0</v>
      </c>
      <c r="L101" s="94">
        <f>SUMIFS('caseload data'!N:N,'caseload data'!$D:$D,"PO",'caseload data'!$A:$A,'divisional &amp; regional overview'!$B$99,'caseload data'!$B:$B,"community")</f>
        <v>0</v>
      </c>
      <c r="M101" s="94">
        <f>SUMIFS('caseload data'!O:O,'caseload data'!$D:$D,"PO",'caseload data'!$A:$A,'divisional &amp; regional overview'!$B$99,'caseload data'!$B:$B,"community")</f>
        <v>0</v>
      </c>
      <c r="N101" s="94">
        <f>SUMIFS('caseload data'!P:P,'caseload data'!$D:$D,"PO",'caseload data'!$A:$A,'divisional &amp; regional overview'!$B$99,'caseload data'!$B:$B,"community")</f>
        <v>0</v>
      </c>
      <c r="O101" s="94">
        <f>SUMIFS('caseload data'!Q:Q,'caseload data'!$D:$D,"PO",'caseload data'!$A:$A,'divisional &amp; regional overview'!$B$99,'caseload data'!$B:$B,"community")</f>
        <v>0</v>
      </c>
      <c r="P101" s="94">
        <f>SUMIFS('caseload data'!R:R,'caseload data'!$D:$D,"PO",'caseload data'!$A:$A,'divisional &amp; regional overview'!$B$99,'caseload data'!$B:$B,"community")</f>
        <v>0</v>
      </c>
      <c r="Q101" s="94">
        <f>SUMIFS('caseload data'!S:S,'caseload data'!$D:$D,"PO",'caseload data'!$A:$A,'divisional &amp; regional overview'!$B$99,'caseload data'!$B:$B,"community")</f>
        <v>0</v>
      </c>
      <c r="R101" s="94">
        <f>SUMIFS('caseload data'!T:T,'caseload data'!$D:$D,"PO",'caseload data'!$A:$A,'divisional &amp; regional overview'!$B$99,'caseload data'!$B:$B,"community")</f>
        <v>0</v>
      </c>
      <c r="U101" s="96" t="s">
        <v>947</v>
      </c>
      <c r="V101" s="167" t="e">
        <f>C$101/SUM(C$101:C$104)</f>
        <v>#DIV/0!</v>
      </c>
      <c r="W101" s="167" t="e">
        <f>D$101/SUM(D$101:D$104)</f>
        <v>#DIV/0!</v>
      </c>
      <c r="X101" s="167" t="e">
        <f t="shared" ref="X101:AK101" si="4">E$101/SUM(E$101:E$104)</f>
        <v>#DIV/0!</v>
      </c>
      <c r="Y101" s="167" t="e">
        <f t="shared" si="4"/>
        <v>#DIV/0!</v>
      </c>
      <c r="Z101" s="167" t="e">
        <f t="shared" si="4"/>
        <v>#DIV/0!</v>
      </c>
      <c r="AA101" s="167" t="e">
        <f t="shared" si="4"/>
        <v>#DIV/0!</v>
      </c>
      <c r="AB101" s="167" t="e">
        <f t="shared" si="4"/>
        <v>#DIV/0!</v>
      </c>
      <c r="AC101" s="167" t="e">
        <f t="shared" si="4"/>
        <v>#DIV/0!</v>
      </c>
      <c r="AD101" s="167" t="e">
        <f t="shared" si="4"/>
        <v>#DIV/0!</v>
      </c>
      <c r="AE101" s="167" t="e">
        <f t="shared" si="4"/>
        <v>#DIV/0!</v>
      </c>
      <c r="AF101" s="167" t="e">
        <f t="shared" si="4"/>
        <v>#DIV/0!</v>
      </c>
      <c r="AG101" s="167" t="e">
        <f t="shared" si="4"/>
        <v>#DIV/0!</v>
      </c>
      <c r="AH101" s="167" t="e">
        <f t="shared" si="4"/>
        <v>#DIV/0!</v>
      </c>
      <c r="AI101" s="167" t="e">
        <f t="shared" si="4"/>
        <v>#DIV/0!</v>
      </c>
      <c r="AJ101" s="167" t="e">
        <f t="shared" si="4"/>
        <v>#DIV/0!</v>
      </c>
      <c r="AK101" s="167" t="e">
        <f t="shared" si="4"/>
        <v>#DIV/0!</v>
      </c>
    </row>
    <row r="102" spans="2:37" x14ac:dyDescent="0.15">
      <c r="B102" s="97" t="s">
        <v>952</v>
      </c>
      <c r="C102" s="94">
        <f>SUMIFS('caseload data'!E:E,'caseload data'!$D:$D,"PSO",'caseload data'!$A:$A,'divisional &amp; regional overview'!$B$99,'caseload data'!$B:$B,"community")</f>
        <v>0</v>
      </c>
      <c r="D102" s="94">
        <f>SUMIFS('caseload data'!F:F,'caseload data'!$D:$D,"PSO",'caseload data'!$A:$A,'divisional &amp; regional overview'!$B$99,'caseload data'!$B:$B,"community")</f>
        <v>0</v>
      </c>
      <c r="E102" s="94">
        <f>SUMIFS('caseload data'!G:G,'caseload data'!$D:$D,"PSO",'caseload data'!$A:$A,'divisional &amp; regional overview'!$B$99,'caseload data'!$B:$B,"community")</f>
        <v>0</v>
      </c>
      <c r="F102" s="94">
        <f>SUMIFS('caseload data'!H:H,'caseload data'!$D:$D,"PSO",'caseload data'!$A:$A,'divisional &amp; regional overview'!$B$99,'caseload data'!$B:$B,"community")</f>
        <v>0</v>
      </c>
      <c r="G102" s="94">
        <f>SUMIFS('caseload data'!I:I,'caseload data'!$D:$D,"PSO",'caseload data'!$A:$A,'divisional &amp; regional overview'!$B$99,'caseload data'!$B:$B,"community")</f>
        <v>0</v>
      </c>
      <c r="H102" s="94">
        <f>SUMIFS('caseload data'!J:J,'caseload data'!$D:$D,"PSO",'caseload data'!$A:$A,'divisional &amp; regional overview'!$B$99,'caseload data'!$B:$B,"community")</f>
        <v>0</v>
      </c>
      <c r="I102" s="94">
        <f>SUMIFS('caseload data'!K:K,'caseload data'!$D:$D,"PSO",'caseload data'!$A:$A,'divisional &amp; regional overview'!$B$99,'caseload data'!$B:$B,"community")</f>
        <v>0</v>
      </c>
      <c r="J102" s="94">
        <f>SUMIFS('caseload data'!L:L,'caseload data'!$D:$D,"PSO",'caseload data'!$A:$A,'divisional &amp; regional overview'!$B$99,'caseload data'!$B:$B,"community")</f>
        <v>0</v>
      </c>
      <c r="K102" s="94">
        <f>SUMIFS('caseload data'!M:M,'caseload data'!$D:$D,"PSO",'caseload data'!$A:$A,'divisional &amp; regional overview'!$B$99,'caseload data'!$B:$B,"community")</f>
        <v>0</v>
      </c>
      <c r="L102" s="94">
        <f>SUMIFS('caseload data'!N:N,'caseload data'!$D:$D,"PSO",'caseload data'!$A:$A,'divisional &amp; regional overview'!$B$99,'caseload data'!$B:$B,"community")</f>
        <v>0</v>
      </c>
      <c r="M102" s="94">
        <f>SUMIFS('caseload data'!O:O,'caseload data'!$D:$D,"PSO",'caseload data'!$A:$A,'divisional &amp; regional overview'!$B$99,'caseload data'!$B:$B,"community")</f>
        <v>0</v>
      </c>
      <c r="N102" s="94">
        <f>SUMIFS('caseload data'!P:P,'caseload data'!$D:$D,"PSO",'caseload data'!$A:$A,'divisional &amp; regional overview'!$B$99,'caseload data'!$B:$B,"community")</f>
        <v>0</v>
      </c>
      <c r="O102" s="94">
        <f>SUMIFS('caseload data'!Q:Q,'caseload data'!$D:$D,"PSO",'caseload data'!$A:$A,'divisional &amp; regional overview'!$B$99,'caseload data'!$B:$B,"community")</f>
        <v>0</v>
      </c>
      <c r="P102" s="94">
        <f>SUMIFS('caseload data'!R:R,'caseload data'!$D:$D,"PSO",'caseload data'!$A:$A,'divisional &amp; regional overview'!$B$99,'caseload data'!$B:$B,"community")</f>
        <v>0</v>
      </c>
      <c r="Q102" s="94">
        <f>SUMIFS('caseload data'!S:S,'caseload data'!$D:$D,"PSO",'caseload data'!$A:$A,'divisional &amp; regional overview'!$B$99,'caseload data'!$B:$B,"community")</f>
        <v>0</v>
      </c>
      <c r="R102" s="94">
        <f>SUMIFS('caseload data'!T:T,'caseload data'!$D:$D,"PSO",'caseload data'!$A:$A,'divisional &amp; regional overview'!$B$99,'caseload data'!$B:$B,"community")</f>
        <v>0</v>
      </c>
      <c r="U102" s="97" t="s">
        <v>952</v>
      </c>
      <c r="V102" s="167" t="e">
        <f>C$102/SUM(C$101:C$104)</f>
        <v>#DIV/0!</v>
      </c>
      <c r="W102" s="167" t="e">
        <f>D$102/SUM(D$101:D$104)</f>
        <v>#DIV/0!</v>
      </c>
      <c r="X102" s="167" t="e">
        <f t="shared" ref="X102:AK102" si="5">E$102/SUM(E$101:E$104)</f>
        <v>#DIV/0!</v>
      </c>
      <c r="Y102" s="167" t="e">
        <f t="shared" si="5"/>
        <v>#DIV/0!</v>
      </c>
      <c r="Z102" s="167" t="e">
        <f t="shared" si="5"/>
        <v>#DIV/0!</v>
      </c>
      <c r="AA102" s="167" t="e">
        <f t="shared" si="5"/>
        <v>#DIV/0!</v>
      </c>
      <c r="AB102" s="167" t="e">
        <f t="shared" si="5"/>
        <v>#DIV/0!</v>
      </c>
      <c r="AC102" s="167" t="e">
        <f t="shared" si="5"/>
        <v>#DIV/0!</v>
      </c>
      <c r="AD102" s="167" t="e">
        <f t="shared" si="5"/>
        <v>#DIV/0!</v>
      </c>
      <c r="AE102" s="167" t="e">
        <f t="shared" si="5"/>
        <v>#DIV/0!</v>
      </c>
      <c r="AF102" s="167" t="e">
        <f t="shared" si="5"/>
        <v>#DIV/0!</v>
      </c>
      <c r="AG102" s="167" t="e">
        <f t="shared" si="5"/>
        <v>#DIV/0!</v>
      </c>
      <c r="AH102" s="167" t="e">
        <f t="shared" si="5"/>
        <v>#DIV/0!</v>
      </c>
      <c r="AI102" s="167" t="e">
        <f t="shared" si="5"/>
        <v>#DIV/0!</v>
      </c>
      <c r="AJ102" s="167" t="e">
        <f t="shared" si="5"/>
        <v>#DIV/0!</v>
      </c>
      <c r="AK102" s="167" t="e">
        <f t="shared" si="5"/>
        <v>#DIV/0!</v>
      </c>
    </row>
    <row r="103" spans="2:37" x14ac:dyDescent="0.15">
      <c r="B103" s="97" t="s">
        <v>953</v>
      </c>
      <c r="C103" s="94">
        <f>SUMIFS('caseload data'!E:E,'caseload data'!$D:$D,"TPO",'caseload data'!$A:$A,'divisional &amp; regional overview'!$B$99,'caseload data'!$B:$B,"community")</f>
        <v>0</v>
      </c>
      <c r="D103" s="94">
        <f>SUMIFS('caseload data'!F:F,'caseload data'!$D:$D,"TPO",'caseload data'!$A:$A,'divisional &amp; regional overview'!$B$99,'caseload data'!$B:$B,"community")</f>
        <v>0</v>
      </c>
      <c r="E103" s="94">
        <f>SUMIFS('caseload data'!G:G,'caseload data'!$D:$D,"TPO",'caseload data'!$A:$A,'divisional &amp; regional overview'!$B$99,'caseload data'!$B:$B,"community")</f>
        <v>0</v>
      </c>
      <c r="F103" s="94">
        <f>SUMIFS('caseload data'!H:H,'caseload data'!$D:$D,"TPO",'caseload data'!$A:$A,'divisional &amp; regional overview'!$B$99,'caseload data'!$B:$B,"community")</f>
        <v>0</v>
      </c>
      <c r="G103" s="94">
        <f>SUMIFS('caseload data'!I:I,'caseload data'!$D:$D,"TPO",'caseload data'!$A:$A,'divisional &amp; regional overview'!$B$99,'caseload data'!$B:$B,"community")</f>
        <v>0</v>
      </c>
      <c r="H103" s="94">
        <f>SUMIFS('caseload data'!J:J,'caseload data'!$D:$D,"TPO",'caseload data'!$A:$A,'divisional &amp; regional overview'!$B$99,'caseload data'!$B:$B,"community")</f>
        <v>0</v>
      </c>
      <c r="I103" s="94">
        <f>SUMIFS('caseload data'!K:K,'caseload data'!$D:$D,"TPO",'caseload data'!$A:$A,'divisional &amp; regional overview'!$B$99,'caseload data'!$B:$B,"community")</f>
        <v>0</v>
      </c>
      <c r="J103" s="94">
        <f>SUMIFS('caseload data'!L:L,'caseload data'!$D:$D,"TPO",'caseload data'!$A:$A,'divisional &amp; regional overview'!$B$99,'caseload data'!$B:$B,"community")</f>
        <v>0</v>
      </c>
      <c r="K103" s="94">
        <f>SUMIFS('caseload data'!M:M,'caseload data'!$D:$D,"TPO",'caseload data'!$A:$A,'divisional &amp; regional overview'!$B$99,'caseload data'!$B:$B,"community")</f>
        <v>0</v>
      </c>
      <c r="L103" s="94">
        <f>SUMIFS('caseload data'!N:N,'caseload data'!$D:$D,"TPO",'caseload data'!$A:$A,'divisional &amp; regional overview'!$B$99,'caseload data'!$B:$B,"community")</f>
        <v>0</v>
      </c>
      <c r="M103" s="94">
        <f>SUMIFS('caseload data'!O:O,'caseload data'!$D:$D,"TPO",'caseload data'!$A:$A,'divisional &amp; regional overview'!$B$99,'caseload data'!$B:$B,"community")</f>
        <v>0</v>
      </c>
      <c r="N103" s="94">
        <f>SUMIFS('caseload data'!P:P,'caseload data'!$D:$D,"TPO",'caseload data'!$A:$A,'divisional &amp; regional overview'!$B$99,'caseload data'!$B:$B,"community")</f>
        <v>0</v>
      </c>
      <c r="O103" s="94">
        <f>SUMIFS('caseload data'!Q:Q,'caseload data'!$D:$D,"TPO",'caseload data'!$A:$A,'divisional &amp; regional overview'!$B$99,'caseload data'!$B:$B,"community")</f>
        <v>0</v>
      </c>
      <c r="P103" s="94">
        <f>SUMIFS('caseload data'!R:R,'caseload data'!$D:$D,"TPO",'caseload data'!$A:$A,'divisional &amp; regional overview'!$B$99,'caseload data'!$B:$B,"community")</f>
        <v>0</v>
      </c>
      <c r="Q103" s="94">
        <f>SUMIFS('caseload data'!S:S,'caseload data'!$D:$D,"TPO",'caseload data'!$A:$A,'divisional &amp; regional overview'!$B$99,'caseload data'!$B:$B,"community")</f>
        <v>0</v>
      </c>
      <c r="R103" s="94">
        <f>SUMIFS('caseload data'!T:T,'caseload data'!$D:$D,"TPO",'caseload data'!$A:$A,'divisional &amp; regional overview'!$B$99,'caseload data'!$B:$B,"community")</f>
        <v>0</v>
      </c>
      <c r="U103" s="97" t="s">
        <v>953</v>
      </c>
      <c r="V103" s="167" t="e">
        <f>C$103/SUM(C$101:C$104)</f>
        <v>#DIV/0!</v>
      </c>
      <c r="W103" s="167" t="e">
        <f>D$103/SUM(D$101:D$104)</f>
        <v>#DIV/0!</v>
      </c>
      <c r="X103" s="167" t="e">
        <f t="shared" ref="X103:AK103" si="6">E$103/SUM(E$101:E$104)</f>
        <v>#DIV/0!</v>
      </c>
      <c r="Y103" s="167" t="e">
        <f t="shared" si="6"/>
        <v>#DIV/0!</v>
      </c>
      <c r="Z103" s="167" t="e">
        <f t="shared" si="6"/>
        <v>#DIV/0!</v>
      </c>
      <c r="AA103" s="167" t="e">
        <f t="shared" si="6"/>
        <v>#DIV/0!</v>
      </c>
      <c r="AB103" s="167" t="e">
        <f t="shared" si="6"/>
        <v>#DIV/0!</v>
      </c>
      <c r="AC103" s="167" t="e">
        <f t="shared" si="6"/>
        <v>#DIV/0!</v>
      </c>
      <c r="AD103" s="167" t="e">
        <f t="shared" si="6"/>
        <v>#DIV/0!</v>
      </c>
      <c r="AE103" s="167" t="e">
        <f t="shared" si="6"/>
        <v>#DIV/0!</v>
      </c>
      <c r="AF103" s="167" t="e">
        <f t="shared" si="6"/>
        <v>#DIV/0!</v>
      </c>
      <c r="AG103" s="167" t="e">
        <f t="shared" si="6"/>
        <v>#DIV/0!</v>
      </c>
      <c r="AH103" s="167" t="e">
        <f t="shared" si="6"/>
        <v>#DIV/0!</v>
      </c>
      <c r="AI103" s="167" t="e">
        <f t="shared" si="6"/>
        <v>#DIV/0!</v>
      </c>
      <c r="AJ103" s="167" t="e">
        <f t="shared" si="6"/>
        <v>#DIV/0!</v>
      </c>
      <c r="AK103" s="167" t="e">
        <f t="shared" si="6"/>
        <v>#DIV/0!</v>
      </c>
    </row>
    <row r="104" spans="2:37" x14ac:dyDescent="0.15">
      <c r="B104" s="98" t="s">
        <v>954</v>
      </c>
      <c r="C104" s="94">
        <f>SUMIFS('caseload data'!E:E,'caseload data'!$D:$D,"SPO",'caseload data'!$A:$A,'divisional &amp; regional overview'!$B$99,'caseload data'!$B:$B,"community")</f>
        <v>0</v>
      </c>
      <c r="D104" s="94">
        <f>SUMIFS('caseload data'!F:F,'caseload data'!$D:$D,"SPO",'caseload data'!$A:$A,'divisional &amp; regional overview'!$B$99,'caseload data'!$B:$B,"community")</f>
        <v>0</v>
      </c>
      <c r="E104" s="94">
        <f>SUMIFS('caseload data'!G:G,'caseload data'!$D:$D,"SPO",'caseload data'!$A:$A,'divisional &amp; regional overview'!$B$99,'caseload data'!$B:$B,"community")</f>
        <v>0</v>
      </c>
      <c r="F104" s="94">
        <f>SUMIFS('caseload data'!H:H,'caseload data'!$D:$D,"SPO",'caseload data'!$A:$A,'divisional &amp; regional overview'!$B$99,'caseload data'!$B:$B,"community")</f>
        <v>0</v>
      </c>
      <c r="G104" s="94">
        <f>SUMIFS('caseload data'!I:I,'caseload data'!$D:$D,"SPO",'caseload data'!$A:$A,'divisional &amp; regional overview'!$B$99,'caseload data'!$B:$B,"community")</f>
        <v>0</v>
      </c>
      <c r="H104" s="94">
        <f>SUMIFS('caseload data'!J:J,'caseload data'!$D:$D,"SPO",'caseload data'!$A:$A,'divisional &amp; regional overview'!$B$99,'caseload data'!$B:$B,"community")</f>
        <v>0</v>
      </c>
      <c r="I104" s="94">
        <f>SUMIFS('caseload data'!K:K,'caseload data'!$D:$D,"SPO",'caseload data'!$A:$A,'divisional &amp; regional overview'!$B$99,'caseload data'!$B:$B,"community")</f>
        <v>0</v>
      </c>
      <c r="J104" s="94">
        <f>SUMIFS('caseload data'!L:L,'caseload data'!$D:$D,"SPO",'caseload data'!$A:$A,'divisional &amp; regional overview'!$B$99,'caseload data'!$B:$B,"community")</f>
        <v>0</v>
      </c>
      <c r="K104" s="94">
        <f>SUMIFS('caseload data'!M:M,'caseload data'!$D:$D,"SPO",'caseload data'!$A:$A,'divisional &amp; regional overview'!$B$99,'caseload data'!$B:$B,"community")</f>
        <v>0</v>
      </c>
      <c r="L104" s="94">
        <f>SUMIFS('caseload data'!N:N,'caseload data'!$D:$D,"SPO",'caseload data'!$A:$A,'divisional &amp; regional overview'!$B$99,'caseload data'!$B:$B,"community")</f>
        <v>0</v>
      </c>
      <c r="M104" s="94">
        <f>SUMIFS('caseload data'!O:O,'caseload data'!$D:$D,"SPO",'caseload data'!$A:$A,'divisional &amp; regional overview'!$B$99,'caseload data'!$B:$B,"community")</f>
        <v>0</v>
      </c>
      <c r="N104" s="94">
        <f>SUMIFS('caseload data'!P:P,'caseload data'!$D:$D,"SPO",'caseload data'!$A:$A,'divisional &amp; regional overview'!$B$99,'caseload data'!$B:$B,"community")</f>
        <v>0</v>
      </c>
      <c r="O104" s="94">
        <f>SUMIFS('caseload data'!Q:Q,'caseload data'!$D:$D,"SPO",'caseload data'!$A:$A,'divisional &amp; regional overview'!$B$99,'caseload data'!$B:$B,"community")</f>
        <v>0</v>
      </c>
      <c r="P104" s="94">
        <f>SUMIFS('caseload data'!R:R,'caseload data'!$D:$D,"SPO",'caseload data'!$A:$A,'divisional &amp; regional overview'!$B$99,'caseload data'!$B:$B,"community")</f>
        <v>0</v>
      </c>
      <c r="Q104" s="94">
        <f>SUMIFS('caseload data'!S:S,'caseload data'!$D:$D,"SPO",'caseload data'!$A:$A,'divisional &amp; regional overview'!$B$99,'caseload data'!$B:$B,"community")</f>
        <v>0</v>
      </c>
      <c r="R104" s="94">
        <f>SUMIFS('caseload data'!T:T,'caseload data'!$D:$D,"SPO",'caseload data'!$A:$A,'divisional &amp; regional overview'!$B$99,'caseload data'!$B:$B,"community")</f>
        <v>0</v>
      </c>
      <c r="U104" s="98" t="s">
        <v>954</v>
      </c>
      <c r="V104" s="167" t="e">
        <f>C$104/SUM(C$101:C$104)</f>
        <v>#DIV/0!</v>
      </c>
      <c r="W104" s="167" t="e">
        <f>D$104/SUM(D$101:D$104)</f>
        <v>#DIV/0!</v>
      </c>
      <c r="X104" s="167" t="e">
        <f t="shared" ref="X104:AK104" si="7">E$104/SUM(E$101:E$104)</f>
        <v>#DIV/0!</v>
      </c>
      <c r="Y104" s="167" t="e">
        <f t="shared" si="7"/>
        <v>#DIV/0!</v>
      </c>
      <c r="Z104" s="167" t="e">
        <f t="shared" si="7"/>
        <v>#DIV/0!</v>
      </c>
      <c r="AA104" s="167" t="e">
        <f t="shared" si="7"/>
        <v>#DIV/0!</v>
      </c>
      <c r="AB104" s="167" t="e">
        <f t="shared" si="7"/>
        <v>#DIV/0!</v>
      </c>
      <c r="AC104" s="167" t="e">
        <f t="shared" si="7"/>
        <v>#DIV/0!</v>
      </c>
      <c r="AD104" s="167" t="e">
        <f t="shared" si="7"/>
        <v>#DIV/0!</v>
      </c>
      <c r="AE104" s="167" t="e">
        <f t="shared" si="7"/>
        <v>#DIV/0!</v>
      </c>
      <c r="AF104" s="167" t="e">
        <f t="shared" si="7"/>
        <v>#DIV/0!</v>
      </c>
      <c r="AG104" s="167" t="e">
        <f t="shared" si="7"/>
        <v>#DIV/0!</v>
      </c>
      <c r="AH104" s="167" t="e">
        <f t="shared" si="7"/>
        <v>#DIV/0!</v>
      </c>
      <c r="AI104" s="167" t="e">
        <f t="shared" si="7"/>
        <v>#DIV/0!</v>
      </c>
      <c r="AJ104" s="167" t="e">
        <f t="shared" si="7"/>
        <v>#DIV/0!</v>
      </c>
      <c r="AK104" s="167" t="e">
        <f t="shared" si="7"/>
        <v>#DIV/0!</v>
      </c>
    </row>
    <row r="105" spans="2:37" x14ac:dyDescent="0.15">
      <c r="B105" s="21"/>
    </row>
    <row r="106" spans="2:37" ht="25.5" customHeight="1" x14ac:dyDescent="0.2">
      <c r="B106" s="52" t="str">
        <f>B5</f>
        <v>Yorkshire and The Humber</v>
      </c>
      <c r="C106" s="457" t="s">
        <v>955</v>
      </c>
      <c r="D106" s="458"/>
      <c r="E106" s="458"/>
      <c r="F106" s="458"/>
      <c r="G106" s="458"/>
      <c r="H106" s="458"/>
      <c r="I106" s="458"/>
      <c r="J106" s="458"/>
      <c r="K106" s="458"/>
      <c r="L106" s="458"/>
      <c r="M106" s="458"/>
      <c r="N106" s="458"/>
      <c r="O106" s="458"/>
      <c r="P106" s="458"/>
      <c r="Q106" s="458"/>
      <c r="R106" s="458"/>
      <c r="S106" s="40"/>
      <c r="U106" s="52" t="str">
        <f>B5</f>
        <v>Yorkshire and The Humber</v>
      </c>
      <c r="V106" s="443" t="s">
        <v>949</v>
      </c>
      <c r="W106" s="444"/>
      <c r="X106" s="444"/>
      <c r="Y106" s="444"/>
      <c r="Z106" s="444"/>
      <c r="AA106" s="444"/>
      <c r="AB106" s="444"/>
      <c r="AC106" s="444"/>
      <c r="AD106" s="444"/>
      <c r="AE106" s="444"/>
      <c r="AF106" s="444"/>
      <c r="AG106" s="444"/>
      <c r="AH106" s="444"/>
      <c r="AI106" s="444"/>
      <c r="AJ106" s="444"/>
      <c r="AK106" s="444"/>
    </row>
    <row r="107" spans="2:37" ht="18" x14ac:dyDescent="0.2">
      <c r="B107" s="282" t="s">
        <v>950</v>
      </c>
      <c r="C107" s="38" t="s">
        <v>814</v>
      </c>
      <c r="D107" s="38" t="s">
        <v>815</v>
      </c>
      <c r="E107" s="38" t="s">
        <v>816</v>
      </c>
      <c r="F107" s="38" t="s">
        <v>817</v>
      </c>
      <c r="G107" s="38" t="s">
        <v>818</v>
      </c>
      <c r="H107" s="38" t="s">
        <v>819</v>
      </c>
      <c r="I107" s="38" t="s">
        <v>820</v>
      </c>
      <c r="J107" s="38" t="s">
        <v>821</v>
      </c>
      <c r="K107" s="38" t="s">
        <v>822</v>
      </c>
      <c r="L107" s="38" t="s">
        <v>823</v>
      </c>
      <c r="M107" s="38" t="s">
        <v>824</v>
      </c>
      <c r="N107" s="38" t="s">
        <v>825</v>
      </c>
      <c r="O107" s="38" t="s">
        <v>826</v>
      </c>
      <c r="P107" s="38" t="s">
        <v>827</v>
      </c>
      <c r="Q107" s="38" t="s">
        <v>828</v>
      </c>
      <c r="R107" s="38" t="s">
        <v>829</v>
      </c>
      <c r="S107" s="40"/>
      <c r="U107" s="95" t="s">
        <v>951</v>
      </c>
      <c r="V107" s="38" t="s">
        <v>814</v>
      </c>
      <c r="W107" s="38" t="s">
        <v>815</v>
      </c>
      <c r="X107" s="38" t="s">
        <v>816</v>
      </c>
      <c r="Y107" s="38" t="s">
        <v>817</v>
      </c>
      <c r="Z107" s="38" t="s">
        <v>818</v>
      </c>
      <c r="AA107" s="38" t="s">
        <v>819</v>
      </c>
      <c r="AB107" s="38" t="s">
        <v>820</v>
      </c>
      <c r="AC107" s="38" t="s">
        <v>821</v>
      </c>
      <c r="AD107" s="38" t="s">
        <v>822</v>
      </c>
      <c r="AE107" s="38" t="s">
        <v>823</v>
      </c>
      <c r="AF107" s="38" t="s">
        <v>824</v>
      </c>
      <c r="AG107" s="38" t="s">
        <v>825</v>
      </c>
      <c r="AH107" s="38" t="s">
        <v>826</v>
      </c>
      <c r="AI107" s="38" t="s">
        <v>827</v>
      </c>
      <c r="AJ107" s="38" t="s">
        <v>828</v>
      </c>
      <c r="AK107" s="38" t="s">
        <v>829</v>
      </c>
    </row>
    <row r="108" spans="2:37" x14ac:dyDescent="0.15">
      <c r="B108" s="96" t="s">
        <v>947</v>
      </c>
      <c r="C108" s="94">
        <f>SUMIFS('caseload data'!E:E,'caseload data'!$D:$D,"PO",'caseload data'!$A:$A,'divisional &amp; regional overview'!$B$99,'caseload data'!$B:$B,"licence")</f>
        <v>0</v>
      </c>
      <c r="D108" s="94">
        <f>SUMIFS('caseload data'!F:F,'caseload data'!$D:$D,"PO",'caseload data'!$A:$A,'divisional &amp; regional overview'!$B$99,'caseload data'!$B:$B,"licence")</f>
        <v>0</v>
      </c>
      <c r="E108" s="94">
        <f>SUMIFS('caseload data'!G:G,'caseload data'!$D:$D,"PO",'caseload data'!$A:$A,'divisional &amp; regional overview'!$B$99,'caseload data'!$B:$B,"licence")</f>
        <v>0</v>
      </c>
      <c r="F108" s="94">
        <f>SUMIFS('caseload data'!H:H,'caseload data'!$D:$D,"PO",'caseload data'!$A:$A,'divisional &amp; regional overview'!$B$99,'caseload data'!$B:$B,"licence")</f>
        <v>0</v>
      </c>
      <c r="G108" s="94">
        <f>SUMIFS('caseload data'!I:I,'caseload data'!$D:$D,"PO",'caseload data'!$A:$A,'divisional &amp; regional overview'!$B$99,'caseload data'!$B:$B,"licence")</f>
        <v>0</v>
      </c>
      <c r="H108" s="94">
        <f>SUMIFS('caseload data'!J:J,'caseload data'!$D:$D,"PO",'caseload data'!$A:$A,'divisional &amp; regional overview'!$B$99,'caseload data'!$B:$B,"licence")</f>
        <v>0</v>
      </c>
      <c r="I108" s="94">
        <f>SUMIFS('caseload data'!K:K,'caseload data'!$D:$D,"PO",'caseload data'!$A:$A,'divisional &amp; regional overview'!$B$99,'caseload data'!$B:$B,"licence")</f>
        <v>0</v>
      </c>
      <c r="J108" s="94">
        <f>SUMIFS('caseload data'!L:L,'caseload data'!$D:$D,"PO",'caseload data'!$A:$A,'divisional &amp; regional overview'!$B$99,'caseload data'!$B:$B,"licence")</f>
        <v>0</v>
      </c>
      <c r="K108" s="94">
        <f>SUMIFS('caseload data'!M:M,'caseload data'!$D:$D,"PO",'caseload data'!$A:$A,'divisional &amp; regional overview'!$B$99,'caseload data'!$B:$B,"licence")</f>
        <v>0</v>
      </c>
      <c r="L108" s="94">
        <f>SUMIFS('caseload data'!N:N,'caseload data'!$D:$D,"PO",'caseload data'!$A:$A,'divisional &amp; regional overview'!$B$99,'caseload data'!$B:$B,"licence")</f>
        <v>0</v>
      </c>
      <c r="M108" s="94">
        <f>SUMIFS('caseload data'!O:O,'caseload data'!$D:$D,"PO",'caseload data'!$A:$A,'divisional &amp; regional overview'!$B$99,'caseload data'!$B:$B,"licence")</f>
        <v>0</v>
      </c>
      <c r="N108" s="94">
        <f>SUMIFS('caseload data'!P:P,'caseload data'!$D:$D,"PO",'caseload data'!$A:$A,'divisional &amp; regional overview'!$B$99,'caseload data'!$B:$B,"licence")</f>
        <v>0</v>
      </c>
      <c r="O108" s="94">
        <f>SUMIFS('caseload data'!Q:Q,'caseload data'!$D:$D,"PO",'caseload data'!$A:$A,'divisional &amp; regional overview'!$B$99,'caseload data'!$B:$B,"licence")</f>
        <v>0</v>
      </c>
      <c r="P108" s="94">
        <f>SUMIFS('caseload data'!R:R,'caseload data'!$D:$D,"PO",'caseload data'!$A:$A,'divisional &amp; regional overview'!$B$99,'caseload data'!$B:$B,"licence")</f>
        <v>0</v>
      </c>
      <c r="Q108" s="94">
        <f>SUMIFS('caseload data'!S:S,'caseload data'!$D:$D,"PO",'caseload data'!$A:$A,'divisional &amp; regional overview'!$B$99,'caseload data'!$B:$B,"licence")</f>
        <v>0</v>
      </c>
      <c r="R108" s="94">
        <f>SUMIFS('caseload data'!T:T,'caseload data'!$D:$D,"PO",'caseload data'!$A:$A,'divisional &amp; regional overview'!$B$99,'caseload data'!$B:$B,"licence")</f>
        <v>0</v>
      </c>
      <c r="U108" s="96" t="s">
        <v>947</v>
      </c>
      <c r="V108" s="167" t="e">
        <f>C$108/SUM(C$108:C$111)</f>
        <v>#DIV/0!</v>
      </c>
      <c r="W108" s="167" t="e">
        <f>D$108/SUM(D$108:D$111)</f>
        <v>#DIV/0!</v>
      </c>
      <c r="X108" s="167" t="e">
        <f t="shared" ref="X108:AK108" si="8">E$108/SUM(E$108:E$111)</f>
        <v>#DIV/0!</v>
      </c>
      <c r="Y108" s="167" t="e">
        <f t="shared" si="8"/>
        <v>#DIV/0!</v>
      </c>
      <c r="Z108" s="167" t="e">
        <f t="shared" si="8"/>
        <v>#DIV/0!</v>
      </c>
      <c r="AA108" s="167" t="e">
        <f t="shared" si="8"/>
        <v>#DIV/0!</v>
      </c>
      <c r="AB108" s="167" t="e">
        <f t="shared" si="8"/>
        <v>#DIV/0!</v>
      </c>
      <c r="AC108" s="167" t="e">
        <f t="shared" si="8"/>
        <v>#DIV/0!</v>
      </c>
      <c r="AD108" s="167" t="e">
        <f t="shared" si="8"/>
        <v>#DIV/0!</v>
      </c>
      <c r="AE108" s="167" t="e">
        <f t="shared" si="8"/>
        <v>#DIV/0!</v>
      </c>
      <c r="AF108" s="167" t="e">
        <f t="shared" si="8"/>
        <v>#DIV/0!</v>
      </c>
      <c r="AG108" s="167" t="e">
        <f t="shared" si="8"/>
        <v>#DIV/0!</v>
      </c>
      <c r="AH108" s="167" t="e">
        <f t="shared" si="8"/>
        <v>#DIV/0!</v>
      </c>
      <c r="AI108" s="167" t="e">
        <f t="shared" si="8"/>
        <v>#DIV/0!</v>
      </c>
      <c r="AJ108" s="167" t="e">
        <f t="shared" si="8"/>
        <v>#DIV/0!</v>
      </c>
      <c r="AK108" s="167" t="e">
        <f t="shared" si="8"/>
        <v>#DIV/0!</v>
      </c>
    </row>
    <row r="109" spans="2:37" x14ac:dyDescent="0.15">
      <c r="B109" s="97" t="s">
        <v>952</v>
      </c>
      <c r="C109" s="94">
        <f>SUMIFS('caseload data'!E:E,'caseload data'!$D:$D,"PSO",'caseload data'!$A:$A,'divisional &amp; regional overview'!$B$99,'caseload data'!$B:$B,"licence")</f>
        <v>0</v>
      </c>
      <c r="D109" s="94">
        <f>SUMIFS('caseload data'!F:F,'caseload data'!$D:$D,"PSO",'caseload data'!$A:$A,'divisional &amp; regional overview'!$B$99,'caseload data'!$B:$B,"licence")</f>
        <v>0</v>
      </c>
      <c r="E109" s="94">
        <f>SUMIFS('caseload data'!G:G,'caseload data'!$D:$D,"PSO",'caseload data'!$A:$A,'divisional &amp; regional overview'!$B$99,'caseload data'!$B:$B,"licence")</f>
        <v>0</v>
      </c>
      <c r="F109" s="94">
        <f>SUMIFS('caseload data'!H:H,'caseload data'!$D:$D,"PSO",'caseload data'!$A:$A,'divisional &amp; regional overview'!$B$99,'caseload data'!$B:$B,"licence")</f>
        <v>0</v>
      </c>
      <c r="G109" s="94">
        <f>SUMIFS('caseload data'!I:I,'caseload data'!$D:$D,"PSO",'caseload data'!$A:$A,'divisional &amp; regional overview'!$B$99,'caseload data'!$B:$B,"licence")</f>
        <v>0</v>
      </c>
      <c r="H109" s="94">
        <f>SUMIFS('caseload data'!J:J,'caseload data'!$D:$D,"PSO",'caseload data'!$A:$A,'divisional &amp; regional overview'!$B$99,'caseload data'!$B:$B,"licence")</f>
        <v>0</v>
      </c>
      <c r="I109" s="94">
        <f>SUMIFS('caseload data'!K:K,'caseload data'!$D:$D,"PSO",'caseload data'!$A:$A,'divisional &amp; regional overview'!$B$99,'caseload data'!$B:$B,"licence")</f>
        <v>0</v>
      </c>
      <c r="J109" s="94">
        <f>SUMIFS('caseload data'!L:L,'caseload data'!$D:$D,"PSO",'caseload data'!$A:$A,'divisional &amp; regional overview'!$B$99,'caseload data'!$B:$B,"licence")</f>
        <v>0</v>
      </c>
      <c r="K109" s="94">
        <f>SUMIFS('caseload data'!M:M,'caseload data'!$D:$D,"PSO",'caseload data'!$A:$A,'divisional &amp; regional overview'!$B$99,'caseload data'!$B:$B,"licence")</f>
        <v>0</v>
      </c>
      <c r="L109" s="94">
        <f>SUMIFS('caseload data'!N:N,'caseload data'!$D:$D,"PSO",'caseload data'!$A:$A,'divisional &amp; regional overview'!$B$99,'caseload data'!$B:$B,"licence")</f>
        <v>0</v>
      </c>
      <c r="M109" s="94">
        <f>SUMIFS('caseload data'!O:O,'caseload data'!$D:$D,"PSO",'caseload data'!$A:$A,'divisional &amp; regional overview'!$B$99,'caseload data'!$B:$B,"licence")</f>
        <v>0</v>
      </c>
      <c r="N109" s="94">
        <f>SUMIFS('caseload data'!P:P,'caseload data'!$D:$D,"PSO",'caseload data'!$A:$A,'divisional &amp; regional overview'!$B$99,'caseload data'!$B:$B,"licence")</f>
        <v>0</v>
      </c>
      <c r="O109" s="94">
        <f>SUMIFS('caseload data'!Q:Q,'caseload data'!$D:$D,"PSO",'caseload data'!$A:$A,'divisional &amp; regional overview'!$B$99,'caseload data'!$B:$B,"licence")</f>
        <v>0</v>
      </c>
      <c r="P109" s="94">
        <f>SUMIFS('caseload data'!R:R,'caseload data'!$D:$D,"PSO",'caseload data'!$A:$A,'divisional &amp; regional overview'!$B$99,'caseload data'!$B:$B,"licence")</f>
        <v>0</v>
      </c>
      <c r="Q109" s="94">
        <f>SUMIFS('caseload data'!S:S,'caseload data'!$D:$D,"PSO",'caseload data'!$A:$A,'divisional &amp; regional overview'!$B$99,'caseload data'!$B:$B,"licence")</f>
        <v>0</v>
      </c>
      <c r="R109" s="94">
        <f>SUMIFS('caseload data'!T:T,'caseload data'!$D:$D,"PSO",'caseload data'!$A:$A,'divisional &amp; regional overview'!$B$99,'caseload data'!$B:$B,"licence")</f>
        <v>0</v>
      </c>
      <c r="U109" s="97" t="s">
        <v>952</v>
      </c>
      <c r="V109" s="167" t="e">
        <f>C$109/SUM(C$108:C$111)</f>
        <v>#DIV/0!</v>
      </c>
      <c r="W109" s="167" t="e">
        <f>D$109/SUM(D$108:D$111)</f>
        <v>#DIV/0!</v>
      </c>
      <c r="X109" s="167" t="e">
        <f t="shared" ref="X109:AK109" si="9">E$109/SUM(E$108:E$111)</f>
        <v>#DIV/0!</v>
      </c>
      <c r="Y109" s="167" t="e">
        <f t="shared" si="9"/>
        <v>#DIV/0!</v>
      </c>
      <c r="Z109" s="167" t="e">
        <f t="shared" si="9"/>
        <v>#DIV/0!</v>
      </c>
      <c r="AA109" s="167" t="e">
        <f t="shared" si="9"/>
        <v>#DIV/0!</v>
      </c>
      <c r="AB109" s="167" t="e">
        <f t="shared" si="9"/>
        <v>#DIV/0!</v>
      </c>
      <c r="AC109" s="167" t="e">
        <f t="shared" si="9"/>
        <v>#DIV/0!</v>
      </c>
      <c r="AD109" s="167" t="e">
        <f t="shared" si="9"/>
        <v>#DIV/0!</v>
      </c>
      <c r="AE109" s="167" t="e">
        <f t="shared" si="9"/>
        <v>#DIV/0!</v>
      </c>
      <c r="AF109" s="167" t="e">
        <f t="shared" si="9"/>
        <v>#DIV/0!</v>
      </c>
      <c r="AG109" s="167" t="e">
        <f t="shared" si="9"/>
        <v>#DIV/0!</v>
      </c>
      <c r="AH109" s="167" t="e">
        <f t="shared" si="9"/>
        <v>#DIV/0!</v>
      </c>
      <c r="AI109" s="167" t="e">
        <f t="shared" si="9"/>
        <v>#DIV/0!</v>
      </c>
      <c r="AJ109" s="167" t="e">
        <f t="shared" si="9"/>
        <v>#DIV/0!</v>
      </c>
      <c r="AK109" s="167" t="e">
        <f t="shared" si="9"/>
        <v>#DIV/0!</v>
      </c>
    </row>
    <row r="110" spans="2:37" x14ac:dyDescent="0.15">
      <c r="B110" s="97" t="s">
        <v>953</v>
      </c>
      <c r="C110" s="94">
        <f>SUMIFS('caseload data'!E:E,'caseload data'!$D:$D,"TPO",'caseload data'!$A:$A,'divisional &amp; regional overview'!$B$99,'caseload data'!$B:$B,"licence")</f>
        <v>0</v>
      </c>
      <c r="D110" s="94">
        <f>SUMIFS('caseload data'!F:F,'caseload data'!$D:$D,"TPO",'caseload data'!$A:$A,'divisional &amp; regional overview'!$B$99,'caseload data'!$B:$B,"licence")</f>
        <v>0</v>
      </c>
      <c r="E110" s="94">
        <f>SUMIFS('caseload data'!G:G,'caseload data'!$D:$D,"TPO",'caseload data'!$A:$A,'divisional &amp; regional overview'!$B$99,'caseload data'!$B:$B,"licence")</f>
        <v>0</v>
      </c>
      <c r="F110" s="94">
        <f>SUMIFS('caseload data'!H:H,'caseload data'!$D:$D,"TPO",'caseload data'!$A:$A,'divisional &amp; regional overview'!$B$99,'caseload data'!$B:$B,"licence")</f>
        <v>0</v>
      </c>
      <c r="G110" s="94">
        <f>SUMIFS('caseload data'!I:I,'caseload data'!$D:$D,"TPO",'caseload data'!$A:$A,'divisional &amp; regional overview'!$B$99,'caseload data'!$B:$B,"licence")</f>
        <v>0</v>
      </c>
      <c r="H110" s="94">
        <f>SUMIFS('caseload data'!J:J,'caseload data'!$D:$D,"TPO",'caseload data'!$A:$A,'divisional &amp; regional overview'!$B$99,'caseload data'!$B:$B,"licence")</f>
        <v>0</v>
      </c>
      <c r="I110" s="94">
        <f>SUMIFS('caseload data'!K:K,'caseload data'!$D:$D,"TPO",'caseload data'!$A:$A,'divisional &amp; regional overview'!$B$99,'caseload data'!$B:$B,"licence")</f>
        <v>0</v>
      </c>
      <c r="J110" s="94">
        <f>SUMIFS('caseload data'!L:L,'caseload data'!$D:$D,"TPO",'caseload data'!$A:$A,'divisional &amp; regional overview'!$B$99,'caseload data'!$B:$B,"licence")</f>
        <v>0</v>
      </c>
      <c r="K110" s="94">
        <f>SUMIFS('caseload data'!M:M,'caseload data'!$D:$D,"TPO",'caseload data'!$A:$A,'divisional &amp; regional overview'!$B$99,'caseload data'!$B:$B,"licence")</f>
        <v>0</v>
      </c>
      <c r="L110" s="94">
        <f>SUMIFS('caseload data'!N:N,'caseload data'!$D:$D,"TPO",'caseload data'!$A:$A,'divisional &amp; regional overview'!$B$99,'caseload data'!$B:$B,"licence")</f>
        <v>0</v>
      </c>
      <c r="M110" s="94">
        <f>SUMIFS('caseload data'!O:O,'caseload data'!$D:$D,"TPO",'caseload data'!$A:$A,'divisional &amp; regional overview'!$B$99,'caseload data'!$B:$B,"licence")</f>
        <v>0</v>
      </c>
      <c r="N110" s="94">
        <f>SUMIFS('caseload data'!P:P,'caseload data'!$D:$D,"TPO",'caseload data'!$A:$A,'divisional &amp; regional overview'!$B$99,'caseload data'!$B:$B,"licence")</f>
        <v>0</v>
      </c>
      <c r="O110" s="94">
        <f>SUMIFS('caseload data'!Q:Q,'caseload data'!$D:$D,"TPO",'caseload data'!$A:$A,'divisional &amp; regional overview'!$B$99,'caseload data'!$B:$B,"licence")</f>
        <v>0</v>
      </c>
      <c r="P110" s="94">
        <f>SUMIFS('caseload data'!R:R,'caseload data'!$D:$D,"TPO",'caseload data'!$A:$A,'divisional &amp; regional overview'!$B$99,'caseload data'!$B:$B,"licence")</f>
        <v>0</v>
      </c>
      <c r="Q110" s="94">
        <f>SUMIFS('caseload data'!S:S,'caseload data'!$D:$D,"TPO",'caseload data'!$A:$A,'divisional &amp; regional overview'!$B$99,'caseload data'!$B:$B,"licence")</f>
        <v>0</v>
      </c>
      <c r="R110" s="94">
        <f>SUMIFS('caseload data'!T:T,'caseload data'!$D:$D,"TPO",'caseload data'!$A:$A,'divisional &amp; regional overview'!$B$99,'caseload data'!$B:$B,"licence")</f>
        <v>0</v>
      </c>
      <c r="U110" s="97" t="s">
        <v>953</v>
      </c>
      <c r="V110" s="167" t="e">
        <f>C$110/SUM(C$108:C$111)</f>
        <v>#DIV/0!</v>
      </c>
      <c r="W110" s="167" t="e">
        <f>D$110/SUM(D$108:D$111)</f>
        <v>#DIV/0!</v>
      </c>
      <c r="X110" s="167" t="e">
        <f t="shared" ref="X110:AK110" si="10">E$110/SUM(E$108:E$111)</f>
        <v>#DIV/0!</v>
      </c>
      <c r="Y110" s="167" t="e">
        <f t="shared" si="10"/>
        <v>#DIV/0!</v>
      </c>
      <c r="Z110" s="167" t="e">
        <f t="shared" si="10"/>
        <v>#DIV/0!</v>
      </c>
      <c r="AA110" s="167" t="e">
        <f t="shared" si="10"/>
        <v>#DIV/0!</v>
      </c>
      <c r="AB110" s="167" t="e">
        <f t="shared" si="10"/>
        <v>#DIV/0!</v>
      </c>
      <c r="AC110" s="167" t="e">
        <f t="shared" si="10"/>
        <v>#DIV/0!</v>
      </c>
      <c r="AD110" s="167" t="e">
        <f t="shared" si="10"/>
        <v>#DIV/0!</v>
      </c>
      <c r="AE110" s="167" t="e">
        <f t="shared" si="10"/>
        <v>#DIV/0!</v>
      </c>
      <c r="AF110" s="167" t="e">
        <f t="shared" si="10"/>
        <v>#DIV/0!</v>
      </c>
      <c r="AG110" s="167" t="e">
        <f t="shared" si="10"/>
        <v>#DIV/0!</v>
      </c>
      <c r="AH110" s="167" t="e">
        <f t="shared" si="10"/>
        <v>#DIV/0!</v>
      </c>
      <c r="AI110" s="167" t="e">
        <f t="shared" si="10"/>
        <v>#DIV/0!</v>
      </c>
      <c r="AJ110" s="167" t="e">
        <f t="shared" si="10"/>
        <v>#DIV/0!</v>
      </c>
      <c r="AK110" s="167" t="e">
        <f t="shared" si="10"/>
        <v>#DIV/0!</v>
      </c>
    </row>
    <row r="111" spans="2:37" x14ac:dyDescent="0.15">
      <c r="B111" s="98" t="s">
        <v>954</v>
      </c>
      <c r="C111" s="94">
        <f>SUMIFS('caseload data'!E:E,'caseload data'!$D:$D,"SPO",'caseload data'!$A:$A,'divisional &amp; regional overview'!$B$99,'caseload data'!$B:$B,"licence")</f>
        <v>0</v>
      </c>
      <c r="D111" s="94">
        <f>SUMIFS('caseload data'!F:F,'caseload data'!$D:$D,"SPO",'caseload data'!$A:$A,'divisional &amp; regional overview'!$B$99,'caseload data'!$B:$B,"licence")</f>
        <v>0</v>
      </c>
      <c r="E111" s="94">
        <f>SUMIFS('caseload data'!G:G,'caseload data'!$D:$D,"SPO",'caseload data'!$A:$A,'divisional &amp; regional overview'!$B$99,'caseload data'!$B:$B,"licence")</f>
        <v>0</v>
      </c>
      <c r="F111" s="94">
        <f>SUMIFS('caseload data'!H:H,'caseload data'!$D:$D,"SPO",'caseload data'!$A:$A,'divisional &amp; regional overview'!$B$99,'caseload data'!$B:$B,"licence")</f>
        <v>0</v>
      </c>
      <c r="G111" s="94">
        <f>SUMIFS('caseload data'!I:I,'caseload data'!$D:$D,"SPO",'caseload data'!$A:$A,'divisional &amp; regional overview'!$B$99,'caseload data'!$B:$B,"licence")</f>
        <v>0</v>
      </c>
      <c r="H111" s="94">
        <f>SUMIFS('caseload data'!J:J,'caseload data'!$D:$D,"SPO",'caseload data'!$A:$A,'divisional &amp; regional overview'!$B$99,'caseload data'!$B:$B,"licence")</f>
        <v>0</v>
      </c>
      <c r="I111" s="94">
        <f>SUMIFS('caseload data'!K:K,'caseload data'!$D:$D,"SPO",'caseload data'!$A:$A,'divisional &amp; regional overview'!$B$99,'caseload data'!$B:$B,"licence")</f>
        <v>0</v>
      </c>
      <c r="J111" s="94">
        <f>SUMIFS('caseload data'!L:L,'caseload data'!$D:$D,"SPO",'caseload data'!$A:$A,'divisional &amp; regional overview'!$B$99,'caseload data'!$B:$B,"licence")</f>
        <v>0</v>
      </c>
      <c r="K111" s="94">
        <f>SUMIFS('caseload data'!M:M,'caseload data'!$D:$D,"SPO",'caseload data'!$A:$A,'divisional &amp; regional overview'!$B$99,'caseload data'!$B:$B,"licence")</f>
        <v>0</v>
      </c>
      <c r="L111" s="94">
        <f>SUMIFS('caseload data'!N:N,'caseload data'!$D:$D,"SPO",'caseload data'!$A:$A,'divisional &amp; regional overview'!$B$99,'caseload data'!$B:$B,"licence")</f>
        <v>0</v>
      </c>
      <c r="M111" s="94">
        <f>SUMIFS('caseload data'!O:O,'caseload data'!$D:$D,"SPO",'caseload data'!$A:$A,'divisional &amp; regional overview'!$B$99,'caseload data'!$B:$B,"licence")</f>
        <v>0</v>
      </c>
      <c r="N111" s="94">
        <f>SUMIFS('caseload data'!P:P,'caseload data'!$D:$D,"SPO",'caseload data'!$A:$A,'divisional &amp; regional overview'!$B$99,'caseload data'!$B:$B,"licence")</f>
        <v>0</v>
      </c>
      <c r="O111" s="94">
        <f>SUMIFS('caseload data'!Q:Q,'caseload data'!$D:$D,"SPO",'caseload data'!$A:$A,'divisional &amp; regional overview'!$B$99,'caseload data'!$B:$B,"licence")</f>
        <v>0</v>
      </c>
      <c r="P111" s="94">
        <f>SUMIFS('caseload data'!R:R,'caseload data'!$D:$D,"SPO",'caseload data'!$A:$A,'divisional &amp; regional overview'!$B$99,'caseload data'!$B:$B,"licence")</f>
        <v>0</v>
      </c>
      <c r="Q111" s="94">
        <f>SUMIFS('caseload data'!S:S,'caseload data'!$D:$D,"SPO",'caseload data'!$A:$A,'divisional &amp; regional overview'!$B$99,'caseload data'!$B:$B,"licence")</f>
        <v>0</v>
      </c>
      <c r="R111" s="94">
        <f>SUMIFS('caseload data'!T:T,'caseload data'!$D:$D,"SPO",'caseload data'!$A:$A,'divisional &amp; regional overview'!$B$99,'caseload data'!$B:$B,"licence")</f>
        <v>0</v>
      </c>
      <c r="U111" s="98" t="s">
        <v>954</v>
      </c>
      <c r="V111" s="167" t="e">
        <f>C$111/SUM(C$108:C$111)</f>
        <v>#DIV/0!</v>
      </c>
      <c r="W111" s="167" t="e">
        <f>D$111/SUM(D$108:D$111)</f>
        <v>#DIV/0!</v>
      </c>
      <c r="X111" s="167" t="e">
        <f t="shared" ref="X111:AK111" si="11">E$111/SUM(E$108:E$111)</f>
        <v>#DIV/0!</v>
      </c>
      <c r="Y111" s="167" t="e">
        <f t="shared" si="11"/>
        <v>#DIV/0!</v>
      </c>
      <c r="Z111" s="167" t="e">
        <f t="shared" si="11"/>
        <v>#DIV/0!</v>
      </c>
      <c r="AA111" s="167" t="e">
        <f t="shared" si="11"/>
        <v>#DIV/0!</v>
      </c>
      <c r="AB111" s="167" t="e">
        <f t="shared" si="11"/>
        <v>#DIV/0!</v>
      </c>
      <c r="AC111" s="167" t="e">
        <f t="shared" si="11"/>
        <v>#DIV/0!</v>
      </c>
      <c r="AD111" s="167" t="e">
        <f t="shared" si="11"/>
        <v>#DIV/0!</v>
      </c>
      <c r="AE111" s="167" t="e">
        <f t="shared" si="11"/>
        <v>#DIV/0!</v>
      </c>
      <c r="AF111" s="167" t="e">
        <f t="shared" si="11"/>
        <v>#DIV/0!</v>
      </c>
      <c r="AG111" s="167" t="e">
        <f t="shared" si="11"/>
        <v>#DIV/0!</v>
      </c>
      <c r="AH111" s="167" t="e">
        <f t="shared" si="11"/>
        <v>#DIV/0!</v>
      </c>
      <c r="AI111" s="167" t="e">
        <f t="shared" si="11"/>
        <v>#DIV/0!</v>
      </c>
      <c r="AJ111" s="167" t="e">
        <f t="shared" si="11"/>
        <v>#DIV/0!</v>
      </c>
      <c r="AK111" s="167" t="e">
        <f t="shared" si="11"/>
        <v>#DIV/0!</v>
      </c>
    </row>
    <row r="112" spans="2:37" x14ac:dyDescent="0.15">
      <c r="B112" s="21"/>
    </row>
    <row r="113" spans="2:37" ht="25.5" customHeight="1" x14ac:dyDescent="0.2">
      <c r="B113" s="52" t="str">
        <f>B5</f>
        <v>Yorkshire and The Humber</v>
      </c>
      <c r="C113" s="457" t="s">
        <v>956</v>
      </c>
      <c r="D113" s="458"/>
      <c r="E113" s="458"/>
      <c r="F113" s="458"/>
      <c r="G113" s="458"/>
      <c r="H113" s="458"/>
      <c r="I113" s="458"/>
      <c r="J113" s="458"/>
      <c r="K113" s="458"/>
      <c r="L113" s="458"/>
      <c r="M113" s="458"/>
      <c r="N113" s="458"/>
      <c r="O113" s="458"/>
      <c r="P113" s="458"/>
      <c r="Q113" s="458"/>
      <c r="R113" s="458"/>
      <c r="U113" s="52" t="str">
        <f>B5</f>
        <v>Yorkshire and The Humber</v>
      </c>
      <c r="V113" s="443" t="s">
        <v>949</v>
      </c>
      <c r="W113" s="444"/>
      <c r="X113" s="444"/>
      <c r="Y113" s="444"/>
      <c r="Z113" s="444"/>
      <c r="AA113" s="444"/>
      <c r="AB113" s="444"/>
      <c r="AC113" s="444"/>
      <c r="AD113" s="444"/>
      <c r="AE113" s="444"/>
      <c r="AF113" s="444"/>
      <c r="AG113" s="444"/>
      <c r="AH113" s="444"/>
      <c r="AI113" s="444"/>
      <c r="AJ113" s="444"/>
      <c r="AK113" s="444"/>
    </row>
    <row r="114" spans="2:37" ht="18" x14ac:dyDescent="0.2">
      <c r="B114" s="282" t="s">
        <v>950</v>
      </c>
      <c r="C114" s="38" t="s">
        <v>814</v>
      </c>
      <c r="D114" s="38" t="s">
        <v>815</v>
      </c>
      <c r="E114" s="38" t="s">
        <v>816</v>
      </c>
      <c r="F114" s="38" t="s">
        <v>817</v>
      </c>
      <c r="G114" s="38" t="s">
        <v>818</v>
      </c>
      <c r="H114" s="38" t="s">
        <v>819</v>
      </c>
      <c r="I114" s="38" t="s">
        <v>820</v>
      </c>
      <c r="J114" s="38" t="s">
        <v>821</v>
      </c>
      <c r="K114" s="38" t="s">
        <v>822</v>
      </c>
      <c r="L114" s="38" t="s">
        <v>823</v>
      </c>
      <c r="M114" s="38" t="s">
        <v>824</v>
      </c>
      <c r="N114" s="38" t="s">
        <v>825</v>
      </c>
      <c r="O114" s="38" t="s">
        <v>826</v>
      </c>
      <c r="P114" s="38" t="s">
        <v>827</v>
      </c>
      <c r="Q114" s="38" t="s">
        <v>828</v>
      </c>
      <c r="R114" s="38" t="s">
        <v>829</v>
      </c>
      <c r="U114" s="95" t="s">
        <v>951</v>
      </c>
      <c r="V114" s="38" t="s">
        <v>814</v>
      </c>
      <c r="W114" s="38" t="s">
        <v>815</v>
      </c>
      <c r="X114" s="38" t="s">
        <v>816</v>
      </c>
      <c r="Y114" s="38" t="s">
        <v>817</v>
      </c>
      <c r="Z114" s="38" t="s">
        <v>818</v>
      </c>
      <c r="AA114" s="38" t="s">
        <v>819</v>
      </c>
      <c r="AB114" s="38" t="s">
        <v>820</v>
      </c>
      <c r="AC114" s="38" t="s">
        <v>821</v>
      </c>
      <c r="AD114" s="38" t="s">
        <v>822</v>
      </c>
      <c r="AE114" s="38" t="s">
        <v>823</v>
      </c>
      <c r="AF114" s="38" t="s">
        <v>824</v>
      </c>
      <c r="AG114" s="38" t="s">
        <v>825</v>
      </c>
      <c r="AH114" s="38" t="s">
        <v>826</v>
      </c>
      <c r="AI114" s="38" t="s">
        <v>827</v>
      </c>
      <c r="AJ114" s="38" t="s">
        <v>828</v>
      </c>
      <c r="AK114" s="38" t="s">
        <v>829</v>
      </c>
    </row>
    <row r="115" spans="2:37" x14ac:dyDescent="0.15">
      <c r="B115" s="96" t="s">
        <v>947</v>
      </c>
      <c r="C115" s="94">
        <f>SUMIFS('caseload data'!E:E,'caseload data'!$D:$D,"PO",'caseload data'!$A:$A,'divisional &amp; regional overview'!$B$99,'caseload data'!$B:$B,"custody")</f>
        <v>0</v>
      </c>
      <c r="D115" s="94">
        <f>SUMIFS('caseload data'!F:F,'caseload data'!$D:$D,"PO",'caseload data'!$A:$A,'divisional &amp; regional overview'!$B$99,'caseload data'!$B:$B,"custody")</f>
        <v>0</v>
      </c>
      <c r="E115" s="94">
        <f>SUMIFS('caseload data'!G:G,'caseload data'!$D:$D,"PO",'caseload data'!$A:$A,'divisional &amp; regional overview'!$B$99,'caseload data'!$B:$B,"custody")</f>
        <v>0</v>
      </c>
      <c r="F115" s="94">
        <f>SUMIFS('caseload data'!H:H,'caseload data'!$D:$D,"PO",'caseload data'!$A:$A,'divisional &amp; regional overview'!$B$99,'caseload data'!$B:$B,"custody")</f>
        <v>0</v>
      </c>
      <c r="G115" s="94">
        <f>SUMIFS('caseload data'!I:I,'caseload data'!$D:$D,"PO",'caseload data'!$A:$A,'divisional &amp; regional overview'!$B$99,'caseload data'!$B:$B,"custody")</f>
        <v>0</v>
      </c>
      <c r="H115" s="94">
        <f>SUMIFS('caseload data'!J:J,'caseload data'!$D:$D,"PO",'caseload data'!$A:$A,'divisional &amp; regional overview'!$B$99,'caseload data'!$B:$B,"custody")</f>
        <v>0</v>
      </c>
      <c r="I115" s="94">
        <f>SUMIFS('caseload data'!K:K,'caseload data'!$D:$D,"PO",'caseload data'!$A:$A,'divisional &amp; regional overview'!$B$99,'caseload data'!$B:$B,"custody")</f>
        <v>0</v>
      </c>
      <c r="J115" s="94">
        <f>SUMIFS('caseload data'!L:L,'caseload data'!$D:$D,"PO",'caseload data'!$A:$A,'divisional &amp; regional overview'!$B$99,'caseload data'!$B:$B,"custody")</f>
        <v>0</v>
      </c>
      <c r="K115" s="94">
        <f>SUMIFS('caseload data'!M:M,'caseload data'!$D:$D,"PO",'caseload data'!$A:$A,'divisional &amp; regional overview'!$B$99,'caseload data'!$B:$B,"custody")</f>
        <v>0</v>
      </c>
      <c r="L115" s="94">
        <f>SUMIFS('caseload data'!N:N,'caseload data'!$D:$D,"PO",'caseload data'!$A:$A,'divisional &amp; regional overview'!$B$99,'caseload data'!$B:$B,"custody")</f>
        <v>0</v>
      </c>
      <c r="M115" s="94">
        <f>SUMIFS('caseload data'!O:O,'caseload data'!$D:$D,"PO",'caseload data'!$A:$A,'divisional &amp; regional overview'!$B$99,'caseload data'!$B:$B,"custody")</f>
        <v>0</v>
      </c>
      <c r="N115" s="94">
        <f>SUMIFS('caseload data'!P:P,'caseload data'!$D:$D,"PO",'caseload data'!$A:$A,'divisional &amp; regional overview'!$B$99,'caseload data'!$B:$B,"custody")</f>
        <v>0</v>
      </c>
      <c r="O115" s="94">
        <f>SUMIFS('caseload data'!Q:Q,'caseload data'!$D:$D,"PO",'caseload data'!$A:$A,'divisional &amp; regional overview'!$B$99,'caseload data'!$B:$B,"custody")</f>
        <v>0</v>
      </c>
      <c r="P115" s="94">
        <f>SUMIFS('caseload data'!R:R,'caseload data'!$D:$D,"PO",'caseload data'!$A:$A,'divisional &amp; regional overview'!$B$99,'caseload data'!$B:$B,"custody")</f>
        <v>0</v>
      </c>
      <c r="Q115" s="94">
        <f>SUMIFS('caseload data'!S:S,'caseload data'!$D:$D,"PO",'caseload data'!$A:$A,'divisional &amp; regional overview'!$B$99,'caseload data'!$B:$B,"custody")</f>
        <v>0</v>
      </c>
      <c r="R115" s="94">
        <f>SUMIFS('caseload data'!T:T,'caseload data'!$D:$D,"PO",'caseload data'!$A:$A,'divisional &amp; regional overview'!$B$99,'caseload data'!$B:$B,"custody")</f>
        <v>0</v>
      </c>
      <c r="U115" s="96" t="s">
        <v>947</v>
      </c>
      <c r="V115" s="167" t="e">
        <f>C$115/SUM(C$115:C$118)</f>
        <v>#DIV/0!</v>
      </c>
      <c r="W115" s="167" t="e">
        <f>D$115/SUM(D$115:D$118)</f>
        <v>#DIV/0!</v>
      </c>
      <c r="X115" s="167" t="e">
        <f t="shared" ref="X115:AK115" si="12">E$115/SUM(E$115:E$118)</f>
        <v>#DIV/0!</v>
      </c>
      <c r="Y115" s="167" t="e">
        <f t="shared" si="12"/>
        <v>#DIV/0!</v>
      </c>
      <c r="Z115" s="167" t="e">
        <f t="shared" si="12"/>
        <v>#DIV/0!</v>
      </c>
      <c r="AA115" s="167" t="e">
        <f t="shared" si="12"/>
        <v>#DIV/0!</v>
      </c>
      <c r="AB115" s="167" t="e">
        <f t="shared" si="12"/>
        <v>#DIV/0!</v>
      </c>
      <c r="AC115" s="167" t="e">
        <f t="shared" si="12"/>
        <v>#DIV/0!</v>
      </c>
      <c r="AD115" s="167" t="e">
        <f t="shared" si="12"/>
        <v>#DIV/0!</v>
      </c>
      <c r="AE115" s="167" t="e">
        <f t="shared" si="12"/>
        <v>#DIV/0!</v>
      </c>
      <c r="AF115" s="167" t="e">
        <f t="shared" si="12"/>
        <v>#DIV/0!</v>
      </c>
      <c r="AG115" s="167" t="e">
        <f t="shared" si="12"/>
        <v>#DIV/0!</v>
      </c>
      <c r="AH115" s="167" t="e">
        <f t="shared" si="12"/>
        <v>#DIV/0!</v>
      </c>
      <c r="AI115" s="167" t="e">
        <f t="shared" si="12"/>
        <v>#DIV/0!</v>
      </c>
      <c r="AJ115" s="167" t="e">
        <f t="shared" si="12"/>
        <v>#DIV/0!</v>
      </c>
      <c r="AK115" s="167" t="e">
        <f t="shared" si="12"/>
        <v>#DIV/0!</v>
      </c>
    </row>
    <row r="116" spans="2:37" x14ac:dyDescent="0.15">
      <c r="B116" s="97" t="s">
        <v>952</v>
      </c>
      <c r="C116" s="94">
        <f>SUMIFS('caseload data'!E:E,'caseload data'!$D:$D,"PSO",'caseload data'!$A:$A,'divisional &amp; regional overview'!$B$99,'caseload data'!$B:$B,"custody")</f>
        <v>0</v>
      </c>
      <c r="D116" s="94">
        <f>SUMIFS('caseload data'!F:F,'caseload data'!$D:$D,"PSO",'caseload data'!$A:$A,'divisional &amp; regional overview'!$B$99,'caseload data'!$B:$B,"custody")</f>
        <v>0</v>
      </c>
      <c r="E116" s="94">
        <f>SUMIFS('caseload data'!G:G,'caseload data'!$D:$D,"PSO",'caseload data'!$A:$A,'divisional &amp; regional overview'!$B$99,'caseload data'!$B:$B,"custody")</f>
        <v>0</v>
      </c>
      <c r="F116" s="94">
        <f>SUMIFS('caseload data'!H:H,'caseload data'!$D:$D,"PSO",'caseload data'!$A:$A,'divisional &amp; regional overview'!$B$99,'caseload data'!$B:$B,"custody")</f>
        <v>0</v>
      </c>
      <c r="G116" s="94">
        <f>SUMIFS('caseload data'!I:I,'caseload data'!$D:$D,"PSO",'caseload data'!$A:$A,'divisional &amp; regional overview'!$B$99,'caseload data'!$B:$B,"custody")</f>
        <v>0</v>
      </c>
      <c r="H116" s="94">
        <f>SUMIFS('caseload data'!J:J,'caseload data'!$D:$D,"PSO",'caseload data'!$A:$A,'divisional &amp; regional overview'!$B$99,'caseload data'!$B:$B,"custody")</f>
        <v>0</v>
      </c>
      <c r="I116" s="94">
        <f>SUMIFS('caseload data'!K:K,'caseload data'!$D:$D,"PSO",'caseload data'!$A:$A,'divisional &amp; regional overview'!$B$99,'caseload data'!$B:$B,"custody")</f>
        <v>0</v>
      </c>
      <c r="J116" s="94">
        <f>SUMIFS('caseload data'!L:L,'caseload data'!$D:$D,"PSO",'caseload data'!$A:$A,'divisional &amp; regional overview'!$B$99,'caseload data'!$B:$B,"custody")</f>
        <v>0</v>
      </c>
      <c r="K116" s="94">
        <f>SUMIFS('caseload data'!M:M,'caseload data'!$D:$D,"PSO",'caseload data'!$A:$A,'divisional &amp; regional overview'!$B$99,'caseload data'!$B:$B,"custody")</f>
        <v>0</v>
      </c>
      <c r="L116" s="94">
        <f>SUMIFS('caseload data'!N:N,'caseload data'!$D:$D,"PSO",'caseload data'!$A:$A,'divisional &amp; regional overview'!$B$99,'caseload data'!$B:$B,"custody")</f>
        <v>0</v>
      </c>
      <c r="M116" s="94">
        <f>SUMIFS('caseload data'!O:O,'caseload data'!$D:$D,"PSO",'caseload data'!$A:$A,'divisional &amp; regional overview'!$B$99,'caseload data'!$B:$B,"custody")</f>
        <v>0</v>
      </c>
      <c r="N116" s="94">
        <f>SUMIFS('caseload data'!P:P,'caseload data'!$D:$D,"PSO",'caseload data'!$A:$A,'divisional &amp; regional overview'!$B$99,'caseload data'!$B:$B,"custody")</f>
        <v>0</v>
      </c>
      <c r="O116" s="94">
        <f>SUMIFS('caseload data'!Q:Q,'caseload data'!$D:$D,"PSO",'caseload data'!$A:$A,'divisional &amp; regional overview'!$B$99,'caseload data'!$B:$B,"custody")</f>
        <v>0</v>
      </c>
      <c r="P116" s="94">
        <f>SUMIFS('caseload data'!R:R,'caseload data'!$D:$D,"PSO",'caseload data'!$A:$A,'divisional &amp; regional overview'!$B$99,'caseload data'!$B:$B,"custody")</f>
        <v>0</v>
      </c>
      <c r="Q116" s="94">
        <f>SUMIFS('caseload data'!S:S,'caseload data'!$D:$D,"PSO",'caseload data'!$A:$A,'divisional &amp; regional overview'!$B$99,'caseload data'!$B:$B,"custody")</f>
        <v>0</v>
      </c>
      <c r="R116" s="94">
        <f>SUMIFS('caseload data'!T:T,'caseload data'!$D:$D,"PSO",'caseload data'!$A:$A,'divisional &amp; regional overview'!$B$99,'caseload data'!$B:$B,"custody")</f>
        <v>0</v>
      </c>
      <c r="U116" s="97" t="s">
        <v>952</v>
      </c>
      <c r="V116" s="167" t="e">
        <f>C$116/SUM(C$115:C$118)</f>
        <v>#DIV/0!</v>
      </c>
      <c r="W116" s="167" t="e">
        <f>D$116/SUM(D$115:D$118)</f>
        <v>#DIV/0!</v>
      </c>
      <c r="X116" s="167" t="e">
        <f t="shared" ref="X116:AK116" si="13">E$116/SUM(E$115:E$118)</f>
        <v>#DIV/0!</v>
      </c>
      <c r="Y116" s="167" t="e">
        <f t="shared" si="13"/>
        <v>#DIV/0!</v>
      </c>
      <c r="Z116" s="167" t="e">
        <f t="shared" si="13"/>
        <v>#DIV/0!</v>
      </c>
      <c r="AA116" s="167" t="e">
        <f t="shared" si="13"/>
        <v>#DIV/0!</v>
      </c>
      <c r="AB116" s="167" t="e">
        <f t="shared" si="13"/>
        <v>#DIV/0!</v>
      </c>
      <c r="AC116" s="167" t="e">
        <f t="shared" si="13"/>
        <v>#DIV/0!</v>
      </c>
      <c r="AD116" s="167" t="e">
        <f t="shared" si="13"/>
        <v>#DIV/0!</v>
      </c>
      <c r="AE116" s="167" t="e">
        <f t="shared" si="13"/>
        <v>#DIV/0!</v>
      </c>
      <c r="AF116" s="167" t="e">
        <f t="shared" si="13"/>
        <v>#DIV/0!</v>
      </c>
      <c r="AG116" s="167" t="e">
        <f t="shared" si="13"/>
        <v>#DIV/0!</v>
      </c>
      <c r="AH116" s="167" t="e">
        <f t="shared" si="13"/>
        <v>#DIV/0!</v>
      </c>
      <c r="AI116" s="167" t="e">
        <f t="shared" si="13"/>
        <v>#DIV/0!</v>
      </c>
      <c r="AJ116" s="167" t="e">
        <f t="shared" si="13"/>
        <v>#DIV/0!</v>
      </c>
      <c r="AK116" s="167" t="e">
        <f t="shared" si="13"/>
        <v>#DIV/0!</v>
      </c>
    </row>
    <row r="117" spans="2:37" x14ac:dyDescent="0.15">
      <c r="B117" s="97" t="s">
        <v>953</v>
      </c>
      <c r="C117" s="94">
        <f>SUMIFS('caseload data'!E:E,'caseload data'!$D:$D,"TPO",'caseload data'!$A:$A,'divisional &amp; regional overview'!$B$99,'caseload data'!$B:$B,"custody")</f>
        <v>0</v>
      </c>
      <c r="D117" s="94">
        <f>SUMIFS('caseload data'!F:F,'caseload data'!$D:$D,"TPO",'caseload data'!$A:$A,'divisional &amp; regional overview'!$B$99,'caseload data'!$B:$B,"custody")</f>
        <v>0</v>
      </c>
      <c r="E117" s="94">
        <f>SUMIFS('caseload data'!G:G,'caseload data'!$D:$D,"TPO",'caseload data'!$A:$A,'divisional &amp; regional overview'!$B$99,'caseload data'!$B:$B,"custody")</f>
        <v>0</v>
      </c>
      <c r="F117" s="94">
        <f>SUMIFS('caseload data'!H:H,'caseload data'!$D:$D,"TPO",'caseload data'!$A:$A,'divisional &amp; regional overview'!$B$99,'caseload data'!$B:$B,"custody")</f>
        <v>0</v>
      </c>
      <c r="G117" s="94">
        <f>SUMIFS('caseload data'!I:I,'caseload data'!$D:$D,"TPO",'caseload data'!$A:$A,'divisional &amp; regional overview'!$B$99,'caseload data'!$B:$B,"custody")</f>
        <v>0</v>
      </c>
      <c r="H117" s="94">
        <f>SUMIFS('caseload data'!J:J,'caseload data'!$D:$D,"TPO",'caseload data'!$A:$A,'divisional &amp; regional overview'!$B$99,'caseload data'!$B:$B,"custody")</f>
        <v>0</v>
      </c>
      <c r="I117" s="94">
        <f>SUMIFS('caseload data'!K:K,'caseload data'!$D:$D,"TPO",'caseload data'!$A:$A,'divisional &amp; regional overview'!$B$99,'caseload data'!$B:$B,"custody")</f>
        <v>0</v>
      </c>
      <c r="J117" s="94">
        <f>SUMIFS('caseload data'!L:L,'caseload data'!$D:$D,"TPO",'caseload data'!$A:$A,'divisional &amp; regional overview'!$B$99,'caseload data'!$B:$B,"custody")</f>
        <v>0</v>
      </c>
      <c r="K117" s="94">
        <f>SUMIFS('caseload data'!M:M,'caseload data'!$D:$D,"TPO",'caseload data'!$A:$A,'divisional &amp; regional overview'!$B$99,'caseload data'!$B:$B,"custody")</f>
        <v>0</v>
      </c>
      <c r="L117" s="94">
        <f>SUMIFS('caseload data'!N:N,'caseload data'!$D:$D,"TPO",'caseload data'!$A:$A,'divisional &amp; regional overview'!$B$99,'caseload data'!$B:$B,"custody")</f>
        <v>0</v>
      </c>
      <c r="M117" s="94">
        <f>SUMIFS('caseload data'!O:O,'caseload data'!$D:$D,"TPO",'caseload data'!$A:$A,'divisional &amp; regional overview'!$B$99,'caseload data'!$B:$B,"custody")</f>
        <v>0</v>
      </c>
      <c r="N117" s="94">
        <f>SUMIFS('caseload data'!P:P,'caseload data'!$D:$D,"TPO",'caseload data'!$A:$A,'divisional &amp; regional overview'!$B$99,'caseload data'!$B:$B,"custody")</f>
        <v>0</v>
      </c>
      <c r="O117" s="94">
        <f>SUMIFS('caseload data'!Q:Q,'caseload data'!$D:$D,"TPO",'caseload data'!$A:$A,'divisional &amp; regional overview'!$B$99,'caseload data'!$B:$B,"custody")</f>
        <v>0</v>
      </c>
      <c r="P117" s="94">
        <f>SUMIFS('caseload data'!R:R,'caseload data'!$D:$D,"TPO",'caseload data'!$A:$A,'divisional &amp; regional overview'!$B$99,'caseload data'!$B:$B,"custody")</f>
        <v>0</v>
      </c>
      <c r="Q117" s="94">
        <f>SUMIFS('caseload data'!S:S,'caseload data'!$D:$D,"TPO",'caseload data'!$A:$A,'divisional &amp; regional overview'!$B$99,'caseload data'!$B:$B,"custody")</f>
        <v>0</v>
      </c>
      <c r="R117" s="94">
        <f>SUMIFS('caseload data'!T:T,'caseload data'!$D:$D,"TPO",'caseload data'!$A:$A,'divisional &amp; regional overview'!$B$99,'caseload data'!$B:$B,"custody")</f>
        <v>0</v>
      </c>
      <c r="U117" s="97" t="s">
        <v>953</v>
      </c>
      <c r="V117" s="167" t="e">
        <f>C$117/SUM(C$115:C$118)</f>
        <v>#DIV/0!</v>
      </c>
      <c r="W117" s="167" t="e">
        <f>D$117/SUM(D$115:D$118)</f>
        <v>#DIV/0!</v>
      </c>
      <c r="X117" s="167" t="e">
        <f t="shared" ref="X117:AK117" si="14">E$117/SUM(E$115:E$118)</f>
        <v>#DIV/0!</v>
      </c>
      <c r="Y117" s="167" t="e">
        <f t="shared" si="14"/>
        <v>#DIV/0!</v>
      </c>
      <c r="Z117" s="167" t="e">
        <f t="shared" si="14"/>
        <v>#DIV/0!</v>
      </c>
      <c r="AA117" s="167" t="e">
        <f t="shared" si="14"/>
        <v>#DIV/0!</v>
      </c>
      <c r="AB117" s="167" t="e">
        <f t="shared" si="14"/>
        <v>#DIV/0!</v>
      </c>
      <c r="AC117" s="167" t="e">
        <f t="shared" si="14"/>
        <v>#DIV/0!</v>
      </c>
      <c r="AD117" s="167" t="e">
        <f t="shared" si="14"/>
        <v>#DIV/0!</v>
      </c>
      <c r="AE117" s="167" t="e">
        <f t="shared" si="14"/>
        <v>#DIV/0!</v>
      </c>
      <c r="AF117" s="167" t="e">
        <f t="shared" si="14"/>
        <v>#DIV/0!</v>
      </c>
      <c r="AG117" s="167" t="e">
        <f t="shared" si="14"/>
        <v>#DIV/0!</v>
      </c>
      <c r="AH117" s="167" t="e">
        <f t="shared" si="14"/>
        <v>#DIV/0!</v>
      </c>
      <c r="AI117" s="167" t="e">
        <f t="shared" si="14"/>
        <v>#DIV/0!</v>
      </c>
      <c r="AJ117" s="167" t="e">
        <f t="shared" si="14"/>
        <v>#DIV/0!</v>
      </c>
      <c r="AK117" s="167" t="e">
        <f t="shared" si="14"/>
        <v>#DIV/0!</v>
      </c>
    </row>
    <row r="118" spans="2:37" x14ac:dyDescent="0.15">
      <c r="B118" s="98" t="s">
        <v>954</v>
      </c>
      <c r="C118" s="94">
        <f>SUMIFS('caseload data'!E:E,'caseload data'!$D:$D,"SPO",'caseload data'!$A:$A,'divisional &amp; regional overview'!$B$99,'caseload data'!$B:$B,"custody")</f>
        <v>0</v>
      </c>
      <c r="D118" s="94">
        <f>SUMIFS('caseload data'!F:F,'caseload data'!$D:$D,"SPO",'caseload data'!$A:$A,'divisional &amp; regional overview'!$B$99,'caseload data'!$B:$B,"custody")</f>
        <v>0</v>
      </c>
      <c r="E118" s="94">
        <f>SUMIFS('caseload data'!G:G,'caseload data'!$D:$D,"SPO",'caseload data'!$A:$A,'divisional &amp; regional overview'!$B$99,'caseload data'!$B:$B,"custody")</f>
        <v>0</v>
      </c>
      <c r="F118" s="94">
        <f>SUMIFS('caseload data'!H:H,'caseload data'!$D:$D,"SPO",'caseload data'!$A:$A,'divisional &amp; regional overview'!$B$99,'caseload data'!$B:$B,"custody")</f>
        <v>0</v>
      </c>
      <c r="G118" s="94">
        <f>SUMIFS('caseload data'!I:I,'caseload data'!$D:$D,"SPO",'caseload data'!$A:$A,'divisional &amp; regional overview'!$B$99,'caseload data'!$B:$B,"custody")</f>
        <v>0</v>
      </c>
      <c r="H118" s="94">
        <f>SUMIFS('caseload data'!J:J,'caseload data'!$D:$D,"SPO",'caseload data'!$A:$A,'divisional &amp; regional overview'!$B$99,'caseload data'!$B:$B,"custody")</f>
        <v>0</v>
      </c>
      <c r="I118" s="94">
        <f>SUMIFS('caseload data'!K:K,'caseload data'!$D:$D,"SPO",'caseload data'!$A:$A,'divisional &amp; regional overview'!$B$99,'caseload data'!$B:$B,"custody")</f>
        <v>0</v>
      </c>
      <c r="J118" s="94">
        <f>SUMIFS('caseload data'!L:L,'caseload data'!$D:$D,"SPO",'caseload data'!$A:$A,'divisional &amp; regional overview'!$B$99,'caseload data'!$B:$B,"custody")</f>
        <v>0</v>
      </c>
      <c r="K118" s="94">
        <f>SUMIFS('caseload data'!M:M,'caseload data'!$D:$D,"SPO",'caseload data'!$A:$A,'divisional &amp; regional overview'!$B$99,'caseload data'!$B:$B,"custody")</f>
        <v>0</v>
      </c>
      <c r="L118" s="94">
        <f>SUMIFS('caseload data'!N:N,'caseload data'!$D:$D,"SPO",'caseload data'!$A:$A,'divisional &amp; regional overview'!$B$99,'caseload data'!$B:$B,"custody")</f>
        <v>0</v>
      </c>
      <c r="M118" s="94">
        <f>SUMIFS('caseload data'!O:O,'caseload data'!$D:$D,"SPO",'caseload data'!$A:$A,'divisional &amp; regional overview'!$B$99,'caseload data'!$B:$B,"custody")</f>
        <v>0</v>
      </c>
      <c r="N118" s="94">
        <f>SUMIFS('caseload data'!P:P,'caseload data'!$D:$D,"SPO",'caseload data'!$A:$A,'divisional &amp; regional overview'!$B$99,'caseload data'!$B:$B,"custody")</f>
        <v>0</v>
      </c>
      <c r="O118" s="94">
        <f>SUMIFS('caseload data'!Q:Q,'caseload data'!$D:$D,"SPO",'caseload data'!$A:$A,'divisional &amp; regional overview'!$B$99,'caseload data'!$B:$B,"custody")</f>
        <v>0</v>
      </c>
      <c r="P118" s="94">
        <f>SUMIFS('caseload data'!R:R,'caseload data'!$D:$D,"SPO",'caseload data'!$A:$A,'divisional &amp; regional overview'!$B$99,'caseload data'!$B:$B,"custody")</f>
        <v>0</v>
      </c>
      <c r="Q118" s="94">
        <f>SUMIFS('caseload data'!S:S,'caseload data'!$D:$D,"SPO",'caseload data'!$A:$A,'divisional &amp; regional overview'!$B$99,'caseload data'!$B:$B,"custody")</f>
        <v>0</v>
      </c>
      <c r="R118" s="94">
        <f>SUMIFS('caseload data'!T:T,'caseload data'!$D:$D,"SPO",'caseload data'!$A:$A,'divisional &amp; regional overview'!$B$99,'caseload data'!$B:$B,"custody")</f>
        <v>0</v>
      </c>
      <c r="U118" s="98" t="s">
        <v>954</v>
      </c>
      <c r="V118" s="167" t="e">
        <f>C$118/SUM(C$115:C$118)</f>
        <v>#DIV/0!</v>
      </c>
      <c r="W118" s="167" t="e">
        <f>D$118/SUM(D$115:D$118)</f>
        <v>#DIV/0!</v>
      </c>
      <c r="X118" s="167" t="e">
        <f t="shared" ref="X118:AK118" si="15">E$118/SUM(E$115:E$118)</f>
        <v>#DIV/0!</v>
      </c>
      <c r="Y118" s="167" t="e">
        <f t="shared" si="15"/>
        <v>#DIV/0!</v>
      </c>
      <c r="Z118" s="167" t="e">
        <f t="shared" si="15"/>
        <v>#DIV/0!</v>
      </c>
      <c r="AA118" s="167" t="e">
        <f t="shared" si="15"/>
        <v>#DIV/0!</v>
      </c>
      <c r="AB118" s="167" t="e">
        <f t="shared" si="15"/>
        <v>#DIV/0!</v>
      </c>
      <c r="AC118" s="167" t="e">
        <f t="shared" si="15"/>
        <v>#DIV/0!</v>
      </c>
      <c r="AD118" s="167" t="e">
        <f t="shared" si="15"/>
        <v>#DIV/0!</v>
      </c>
      <c r="AE118" s="167" t="e">
        <f t="shared" si="15"/>
        <v>#DIV/0!</v>
      </c>
      <c r="AF118" s="167" t="e">
        <f t="shared" si="15"/>
        <v>#DIV/0!</v>
      </c>
      <c r="AG118" s="167" t="e">
        <f t="shared" si="15"/>
        <v>#DIV/0!</v>
      </c>
      <c r="AH118" s="167" t="e">
        <f t="shared" si="15"/>
        <v>#DIV/0!</v>
      </c>
      <c r="AI118" s="167" t="e">
        <f t="shared" si="15"/>
        <v>#DIV/0!</v>
      </c>
      <c r="AJ118" s="167" t="e">
        <f t="shared" si="15"/>
        <v>#DIV/0!</v>
      </c>
      <c r="AK118" s="167" t="e">
        <f t="shared" si="15"/>
        <v>#DIV/0!</v>
      </c>
    </row>
    <row r="119" spans="2:37" x14ac:dyDescent="0.15">
      <c r="B119" s="21"/>
    </row>
    <row r="120" spans="2:37" ht="21.75" customHeight="1" x14ac:dyDescent="0.2">
      <c r="B120" s="52" t="str">
        <f>B5</f>
        <v>Yorkshire and The Humber</v>
      </c>
      <c r="C120" s="457" t="s">
        <v>957</v>
      </c>
      <c r="D120" s="458"/>
      <c r="E120" s="458"/>
      <c r="F120" s="458"/>
      <c r="G120" s="458"/>
      <c r="H120" s="458"/>
      <c r="I120" s="458"/>
      <c r="J120" s="458"/>
      <c r="K120" s="458"/>
      <c r="L120" s="458"/>
      <c r="M120" s="458"/>
      <c r="N120" s="458"/>
      <c r="O120" s="458"/>
      <c r="P120" s="458"/>
      <c r="Q120" s="458"/>
      <c r="R120" s="458"/>
      <c r="U120" s="52" t="str">
        <f>B5</f>
        <v>Yorkshire and The Humber</v>
      </c>
      <c r="V120" s="443" t="s">
        <v>949</v>
      </c>
      <c r="W120" s="444"/>
      <c r="X120" s="444"/>
      <c r="Y120" s="444"/>
      <c r="Z120" s="444"/>
      <c r="AA120" s="444"/>
      <c r="AB120" s="444"/>
      <c r="AC120" s="444"/>
      <c r="AD120" s="444"/>
      <c r="AE120" s="444"/>
      <c r="AF120" s="444"/>
      <c r="AG120" s="444"/>
      <c r="AH120" s="444"/>
      <c r="AI120" s="444"/>
      <c r="AJ120" s="444"/>
      <c r="AK120" s="444"/>
    </row>
    <row r="121" spans="2:37" ht="18" x14ac:dyDescent="0.2">
      <c r="B121" s="282" t="s">
        <v>950</v>
      </c>
      <c r="C121" s="38" t="s">
        <v>814</v>
      </c>
      <c r="D121" s="38" t="s">
        <v>815</v>
      </c>
      <c r="E121" s="38" t="s">
        <v>816</v>
      </c>
      <c r="F121" s="38" t="s">
        <v>817</v>
      </c>
      <c r="G121" s="38" t="s">
        <v>818</v>
      </c>
      <c r="H121" s="38" t="s">
        <v>819</v>
      </c>
      <c r="I121" s="38" t="s">
        <v>820</v>
      </c>
      <c r="J121" s="38" t="s">
        <v>821</v>
      </c>
      <c r="K121" s="38" t="s">
        <v>822</v>
      </c>
      <c r="L121" s="38" t="s">
        <v>823</v>
      </c>
      <c r="M121" s="38" t="s">
        <v>824</v>
      </c>
      <c r="N121" s="38" t="s">
        <v>825</v>
      </c>
      <c r="O121" s="38" t="s">
        <v>826</v>
      </c>
      <c r="P121" s="38" t="s">
        <v>827</v>
      </c>
      <c r="Q121" s="38" t="s">
        <v>828</v>
      </c>
      <c r="R121" s="38" t="s">
        <v>829</v>
      </c>
      <c r="U121" s="95" t="s">
        <v>951</v>
      </c>
      <c r="V121" s="38" t="s">
        <v>814</v>
      </c>
      <c r="W121" s="38" t="s">
        <v>815</v>
      </c>
      <c r="X121" s="38" t="s">
        <v>816</v>
      </c>
      <c r="Y121" s="38" t="s">
        <v>817</v>
      </c>
      <c r="Z121" s="38" t="s">
        <v>818</v>
      </c>
      <c r="AA121" s="38" t="s">
        <v>819</v>
      </c>
      <c r="AB121" s="38" t="s">
        <v>820</v>
      </c>
      <c r="AC121" s="38" t="s">
        <v>821</v>
      </c>
      <c r="AD121" s="38" t="s">
        <v>822</v>
      </c>
      <c r="AE121" s="38" t="s">
        <v>823</v>
      </c>
      <c r="AF121" s="38" t="s">
        <v>824</v>
      </c>
      <c r="AG121" s="38" t="s">
        <v>825</v>
      </c>
      <c r="AH121" s="38" t="s">
        <v>826</v>
      </c>
      <c r="AI121" s="38" t="s">
        <v>827</v>
      </c>
      <c r="AJ121" s="38" t="s">
        <v>828</v>
      </c>
      <c r="AK121" s="38" t="s">
        <v>829</v>
      </c>
    </row>
    <row r="122" spans="2:37" x14ac:dyDescent="0.15">
      <c r="B122" s="96" t="s">
        <v>947</v>
      </c>
      <c r="C122" s="94">
        <f>SUMIFS('caseload data'!E:E,'caseload data'!$D:$D,"PO",'caseload data'!$A:$A,'divisional &amp; regional overview'!$B$106)</f>
        <v>0</v>
      </c>
      <c r="D122" s="94">
        <f>SUMIFS('caseload data'!F:F,'caseload data'!$D:$D,"PO",'caseload data'!$A:$A,'divisional &amp; regional overview'!$B$106)</f>
        <v>0</v>
      </c>
      <c r="E122" s="94">
        <f>SUMIFS('caseload data'!G:G,'caseload data'!$D:$D,"PO",'caseload data'!$A:$A,'divisional &amp; regional overview'!$B$106)</f>
        <v>0</v>
      </c>
      <c r="F122" s="94">
        <f>SUMIFS('caseload data'!H:H,'caseload data'!$D:$D,"PO",'caseload data'!$A:$A,'divisional &amp; regional overview'!$B$106)</f>
        <v>0</v>
      </c>
      <c r="G122" s="94">
        <f>SUMIFS('caseload data'!I:I,'caseload data'!$D:$D,"PO",'caseload data'!$A:$A,'divisional &amp; regional overview'!$B$106)</f>
        <v>0</v>
      </c>
      <c r="H122" s="94">
        <f>SUMIFS('caseload data'!J:J,'caseload data'!$D:$D,"PO",'caseload data'!$A:$A,'divisional &amp; regional overview'!$B$106)</f>
        <v>0</v>
      </c>
      <c r="I122" s="94">
        <f>SUMIFS('caseload data'!K:K,'caseload data'!$D:$D,"PO",'caseload data'!$A:$A,'divisional &amp; regional overview'!$B$106)</f>
        <v>0</v>
      </c>
      <c r="J122" s="94">
        <f>SUMIFS('caseload data'!L:L,'caseload data'!$D:$D,"PO",'caseload data'!$A:$A,'divisional &amp; regional overview'!$B$106)</f>
        <v>0</v>
      </c>
      <c r="K122" s="94">
        <f>SUMIFS('caseload data'!M:M,'caseload data'!$D:$D,"PO",'caseload data'!$A:$A,'divisional &amp; regional overview'!$B$106)</f>
        <v>0</v>
      </c>
      <c r="L122" s="94">
        <f>SUMIFS('caseload data'!N:N,'caseload data'!$D:$D,"PO",'caseload data'!$A:$A,'divisional &amp; regional overview'!$B$106)</f>
        <v>0</v>
      </c>
      <c r="M122" s="94">
        <f>SUMIFS('caseload data'!O:O,'caseload data'!$D:$D,"PO",'caseload data'!$A:$A,'divisional &amp; regional overview'!$B$106)</f>
        <v>0</v>
      </c>
      <c r="N122" s="94">
        <f>SUMIFS('caseload data'!P:P,'caseload data'!$D:$D,"PO",'caseload data'!$A:$A,'divisional &amp; regional overview'!$B$106)</f>
        <v>0</v>
      </c>
      <c r="O122" s="94">
        <f>SUMIFS('caseload data'!Q:Q,'caseload data'!$D:$D,"PO",'caseload data'!$A:$A,'divisional &amp; regional overview'!$B$106)</f>
        <v>0</v>
      </c>
      <c r="P122" s="94">
        <f>SUMIFS('caseload data'!R:R,'caseload data'!$D:$D,"PO",'caseload data'!$A:$A,'divisional &amp; regional overview'!$B$106)</f>
        <v>0</v>
      </c>
      <c r="Q122" s="94">
        <f>SUMIFS('caseload data'!S:S,'caseload data'!$D:$D,"PO",'caseload data'!$A:$A,'divisional &amp; regional overview'!$B$106)</f>
        <v>0</v>
      </c>
      <c r="R122" s="94">
        <f>SUMIFS('caseload data'!T:T,'caseload data'!$D:$D,"PO",'caseload data'!$A:$A,'divisional &amp; regional overview'!$B$106)</f>
        <v>0</v>
      </c>
      <c r="U122" s="96" t="s">
        <v>947</v>
      </c>
      <c r="V122" s="167" t="e">
        <f>C$122/SUM(C$122:C$125)</f>
        <v>#DIV/0!</v>
      </c>
      <c r="W122" s="167" t="e">
        <f>D$122/SUM(D$122:D$125)</f>
        <v>#DIV/0!</v>
      </c>
      <c r="X122" s="167" t="e">
        <f t="shared" ref="X122:AK122" si="16">E$122/SUM(E$122:E$125)</f>
        <v>#DIV/0!</v>
      </c>
      <c r="Y122" s="167" t="e">
        <f t="shared" si="16"/>
        <v>#DIV/0!</v>
      </c>
      <c r="Z122" s="167" t="e">
        <f t="shared" si="16"/>
        <v>#DIV/0!</v>
      </c>
      <c r="AA122" s="167" t="e">
        <f t="shared" si="16"/>
        <v>#DIV/0!</v>
      </c>
      <c r="AB122" s="167" t="e">
        <f t="shared" si="16"/>
        <v>#DIV/0!</v>
      </c>
      <c r="AC122" s="167" t="e">
        <f t="shared" si="16"/>
        <v>#DIV/0!</v>
      </c>
      <c r="AD122" s="167" t="e">
        <f t="shared" si="16"/>
        <v>#DIV/0!</v>
      </c>
      <c r="AE122" s="167" t="e">
        <f t="shared" si="16"/>
        <v>#DIV/0!</v>
      </c>
      <c r="AF122" s="167" t="e">
        <f t="shared" si="16"/>
        <v>#DIV/0!</v>
      </c>
      <c r="AG122" s="167" t="e">
        <f t="shared" si="16"/>
        <v>#DIV/0!</v>
      </c>
      <c r="AH122" s="167" t="e">
        <f t="shared" si="16"/>
        <v>#DIV/0!</v>
      </c>
      <c r="AI122" s="167" t="e">
        <f t="shared" si="16"/>
        <v>#DIV/0!</v>
      </c>
      <c r="AJ122" s="167" t="e">
        <f t="shared" si="16"/>
        <v>#DIV/0!</v>
      </c>
      <c r="AK122" s="167" t="e">
        <f t="shared" si="16"/>
        <v>#DIV/0!</v>
      </c>
    </row>
    <row r="123" spans="2:37" x14ac:dyDescent="0.15">
      <c r="B123" s="97" t="s">
        <v>952</v>
      </c>
      <c r="C123" s="94">
        <f>SUMIFS('caseload data'!E:E,'caseload data'!$D:$D,"PSO",'caseload data'!$A:$A,'divisional &amp; regional overview'!$B$106)</f>
        <v>0</v>
      </c>
      <c r="D123" s="94">
        <f>SUMIFS('caseload data'!F:F,'caseload data'!$D:$D,"PSO",'caseload data'!$A:$A,'divisional &amp; regional overview'!$B$106)</f>
        <v>0</v>
      </c>
      <c r="E123" s="94">
        <f>SUMIFS('caseload data'!G:G,'caseload data'!$D:$D,"PSO",'caseload data'!$A:$A,'divisional &amp; regional overview'!$B$106)</f>
        <v>0</v>
      </c>
      <c r="F123" s="94">
        <f>SUMIFS('caseload data'!H:H,'caseload data'!$D:$D,"PSO",'caseload data'!$A:$A,'divisional &amp; regional overview'!$B$106)</f>
        <v>0</v>
      </c>
      <c r="G123" s="94">
        <f>SUMIFS('caseload data'!I:I,'caseload data'!$D:$D,"PSO",'caseload data'!$A:$A,'divisional &amp; regional overview'!$B$106)</f>
        <v>0</v>
      </c>
      <c r="H123" s="94">
        <f>SUMIFS('caseload data'!J:J,'caseload data'!$D:$D,"PSO",'caseload data'!$A:$A,'divisional &amp; regional overview'!$B$106)</f>
        <v>0</v>
      </c>
      <c r="I123" s="94">
        <f>SUMIFS('caseload data'!K:K,'caseload data'!$D:$D,"PSO",'caseload data'!$A:$A,'divisional &amp; regional overview'!$B$106)</f>
        <v>0</v>
      </c>
      <c r="J123" s="94">
        <f>SUMIFS('caseload data'!L:L,'caseload data'!$D:$D,"PSO",'caseload data'!$A:$A,'divisional &amp; regional overview'!$B$106)</f>
        <v>0</v>
      </c>
      <c r="K123" s="94">
        <f>SUMIFS('caseload data'!M:M,'caseload data'!$D:$D,"PSO",'caseload data'!$A:$A,'divisional &amp; regional overview'!$B$106)</f>
        <v>0</v>
      </c>
      <c r="L123" s="94">
        <f>SUMIFS('caseload data'!N:N,'caseload data'!$D:$D,"PSO",'caseload data'!$A:$A,'divisional &amp; regional overview'!$B$106)</f>
        <v>0</v>
      </c>
      <c r="M123" s="94">
        <f>SUMIFS('caseload data'!O:O,'caseload data'!$D:$D,"PSO",'caseload data'!$A:$A,'divisional &amp; regional overview'!$B$106)</f>
        <v>0</v>
      </c>
      <c r="N123" s="94">
        <f>SUMIFS('caseload data'!P:P,'caseload data'!$D:$D,"PSO",'caseload data'!$A:$A,'divisional &amp; regional overview'!$B$106)</f>
        <v>0</v>
      </c>
      <c r="O123" s="94">
        <f>SUMIFS('caseload data'!Q:Q,'caseload data'!$D:$D,"PSO",'caseload data'!$A:$A,'divisional &amp; regional overview'!$B$106)</f>
        <v>0</v>
      </c>
      <c r="P123" s="94">
        <f>SUMIFS('caseload data'!R:R,'caseload data'!$D:$D,"PSO",'caseload data'!$A:$A,'divisional &amp; regional overview'!$B$106)</f>
        <v>0</v>
      </c>
      <c r="Q123" s="94">
        <f>SUMIFS('caseload data'!S:S,'caseload data'!$D:$D,"PSO",'caseload data'!$A:$A,'divisional &amp; regional overview'!$B$106)</f>
        <v>0</v>
      </c>
      <c r="R123" s="94">
        <f>SUMIFS('caseload data'!T:T,'caseload data'!$D:$D,"PSO",'caseload data'!$A:$A,'divisional &amp; regional overview'!$B$106)</f>
        <v>0</v>
      </c>
      <c r="U123" s="97" t="s">
        <v>952</v>
      </c>
      <c r="V123" s="167" t="e">
        <f>C$123/SUM(C$122:C$125)</f>
        <v>#DIV/0!</v>
      </c>
      <c r="W123" s="167" t="e">
        <f>D$123/SUM(D$122:D$125)</f>
        <v>#DIV/0!</v>
      </c>
      <c r="X123" s="167" t="e">
        <f t="shared" ref="X123:AK123" si="17">E$123/SUM(E$122:E$125)</f>
        <v>#DIV/0!</v>
      </c>
      <c r="Y123" s="167" t="e">
        <f t="shared" si="17"/>
        <v>#DIV/0!</v>
      </c>
      <c r="Z123" s="167" t="e">
        <f t="shared" si="17"/>
        <v>#DIV/0!</v>
      </c>
      <c r="AA123" s="167" t="e">
        <f t="shared" si="17"/>
        <v>#DIV/0!</v>
      </c>
      <c r="AB123" s="167" t="e">
        <f t="shared" si="17"/>
        <v>#DIV/0!</v>
      </c>
      <c r="AC123" s="167" t="e">
        <f t="shared" si="17"/>
        <v>#DIV/0!</v>
      </c>
      <c r="AD123" s="167" t="e">
        <f t="shared" si="17"/>
        <v>#DIV/0!</v>
      </c>
      <c r="AE123" s="167" t="e">
        <f t="shared" si="17"/>
        <v>#DIV/0!</v>
      </c>
      <c r="AF123" s="167" t="e">
        <f t="shared" si="17"/>
        <v>#DIV/0!</v>
      </c>
      <c r="AG123" s="167" t="e">
        <f t="shared" si="17"/>
        <v>#DIV/0!</v>
      </c>
      <c r="AH123" s="167" t="e">
        <f t="shared" si="17"/>
        <v>#DIV/0!</v>
      </c>
      <c r="AI123" s="167" t="e">
        <f t="shared" si="17"/>
        <v>#DIV/0!</v>
      </c>
      <c r="AJ123" s="167" t="e">
        <f t="shared" si="17"/>
        <v>#DIV/0!</v>
      </c>
      <c r="AK123" s="167" t="e">
        <f t="shared" si="17"/>
        <v>#DIV/0!</v>
      </c>
    </row>
    <row r="124" spans="2:37" x14ac:dyDescent="0.15">
      <c r="B124" s="97" t="s">
        <v>953</v>
      </c>
      <c r="C124" s="94">
        <f>SUMIFS('caseload data'!E:E,'caseload data'!$D:$D,"TPO",'caseload data'!$A:$A,'divisional &amp; regional overview'!$B$106)</f>
        <v>0</v>
      </c>
      <c r="D124" s="94">
        <f>SUMIFS('caseload data'!F:F,'caseload data'!$D:$D,"TPO",'caseload data'!$A:$A,'divisional &amp; regional overview'!$B$106)</f>
        <v>0</v>
      </c>
      <c r="E124" s="94">
        <f>SUMIFS('caseload data'!G:G,'caseload data'!$D:$D,"TPO",'caseload data'!$A:$A,'divisional &amp; regional overview'!$B$106)</f>
        <v>0</v>
      </c>
      <c r="F124" s="94">
        <f>SUMIFS('caseload data'!H:H,'caseload data'!$D:$D,"TPO",'caseload data'!$A:$A,'divisional &amp; regional overview'!$B$106)</f>
        <v>0</v>
      </c>
      <c r="G124" s="94">
        <f>SUMIFS('caseload data'!I:I,'caseload data'!$D:$D,"TPO",'caseload data'!$A:$A,'divisional &amp; regional overview'!$B$106)</f>
        <v>0</v>
      </c>
      <c r="H124" s="94">
        <f>SUMIFS('caseload data'!J:J,'caseload data'!$D:$D,"TPO",'caseload data'!$A:$A,'divisional &amp; regional overview'!$B$106)</f>
        <v>0</v>
      </c>
      <c r="I124" s="94">
        <f>SUMIFS('caseload data'!K:K,'caseload data'!$D:$D,"TPO",'caseload data'!$A:$A,'divisional &amp; regional overview'!$B$106)</f>
        <v>0</v>
      </c>
      <c r="J124" s="94">
        <f>SUMIFS('caseload data'!L:L,'caseload data'!$D:$D,"TPO",'caseload data'!$A:$A,'divisional &amp; regional overview'!$B$106)</f>
        <v>0</v>
      </c>
      <c r="K124" s="94">
        <f>SUMIFS('caseload data'!M:M,'caseload data'!$D:$D,"TPO",'caseload data'!$A:$A,'divisional &amp; regional overview'!$B$106)</f>
        <v>0</v>
      </c>
      <c r="L124" s="94">
        <f>SUMIFS('caseload data'!N:N,'caseload data'!$D:$D,"TPO",'caseload data'!$A:$A,'divisional &amp; regional overview'!$B$106)</f>
        <v>0</v>
      </c>
      <c r="M124" s="94">
        <f>SUMIFS('caseload data'!O:O,'caseload data'!$D:$D,"TPO",'caseload data'!$A:$A,'divisional &amp; regional overview'!$B$106)</f>
        <v>0</v>
      </c>
      <c r="N124" s="94">
        <f>SUMIFS('caseload data'!P:P,'caseload data'!$D:$D,"TPO",'caseload data'!$A:$A,'divisional &amp; regional overview'!$B$106)</f>
        <v>0</v>
      </c>
      <c r="O124" s="94">
        <f>SUMIFS('caseload data'!Q:Q,'caseload data'!$D:$D,"TPO",'caseload data'!$A:$A,'divisional &amp; regional overview'!$B$106)</f>
        <v>0</v>
      </c>
      <c r="P124" s="94">
        <f>SUMIFS('caseload data'!R:R,'caseload data'!$D:$D,"TPO",'caseload data'!$A:$A,'divisional &amp; regional overview'!$B$106)</f>
        <v>0</v>
      </c>
      <c r="Q124" s="94">
        <f>SUMIFS('caseload data'!S:S,'caseload data'!$D:$D,"TPO",'caseload data'!$A:$A,'divisional &amp; regional overview'!$B$106)</f>
        <v>0</v>
      </c>
      <c r="R124" s="94">
        <f>SUMIFS('caseload data'!T:T,'caseload data'!$D:$D,"TPO",'caseload data'!$A:$A,'divisional &amp; regional overview'!$B$106)</f>
        <v>0</v>
      </c>
      <c r="U124" s="97" t="s">
        <v>953</v>
      </c>
      <c r="V124" s="167" t="e">
        <f>C$124/SUM(C$122:C$125)</f>
        <v>#DIV/0!</v>
      </c>
      <c r="W124" s="167" t="e">
        <f>D$124/SUM(D$122:D$125)</f>
        <v>#DIV/0!</v>
      </c>
      <c r="X124" s="167" t="e">
        <f t="shared" ref="X124:AK124" si="18">E$124/SUM(E$122:E$125)</f>
        <v>#DIV/0!</v>
      </c>
      <c r="Y124" s="167" t="e">
        <f t="shared" si="18"/>
        <v>#DIV/0!</v>
      </c>
      <c r="Z124" s="167" t="e">
        <f t="shared" si="18"/>
        <v>#DIV/0!</v>
      </c>
      <c r="AA124" s="167" t="e">
        <f t="shared" si="18"/>
        <v>#DIV/0!</v>
      </c>
      <c r="AB124" s="167" t="e">
        <f t="shared" si="18"/>
        <v>#DIV/0!</v>
      </c>
      <c r="AC124" s="167" t="e">
        <f t="shared" si="18"/>
        <v>#DIV/0!</v>
      </c>
      <c r="AD124" s="167" t="e">
        <f t="shared" si="18"/>
        <v>#DIV/0!</v>
      </c>
      <c r="AE124" s="167" t="e">
        <f t="shared" si="18"/>
        <v>#DIV/0!</v>
      </c>
      <c r="AF124" s="167" t="e">
        <f t="shared" si="18"/>
        <v>#DIV/0!</v>
      </c>
      <c r="AG124" s="167" t="e">
        <f t="shared" si="18"/>
        <v>#DIV/0!</v>
      </c>
      <c r="AH124" s="167" t="e">
        <f t="shared" si="18"/>
        <v>#DIV/0!</v>
      </c>
      <c r="AI124" s="167" t="e">
        <f t="shared" si="18"/>
        <v>#DIV/0!</v>
      </c>
      <c r="AJ124" s="167" t="e">
        <f t="shared" si="18"/>
        <v>#DIV/0!</v>
      </c>
      <c r="AK124" s="167" t="e">
        <f t="shared" si="18"/>
        <v>#DIV/0!</v>
      </c>
    </row>
    <row r="125" spans="2:37" x14ac:dyDescent="0.15">
      <c r="B125" s="98" t="s">
        <v>954</v>
      </c>
      <c r="C125" s="94">
        <f>SUMIFS('caseload data'!E:E,'caseload data'!$D:$D,"SPO",'caseload data'!$A:$A,$B$99)</f>
        <v>0</v>
      </c>
      <c r="D125" s="94">
        <f>SUMIFS('caseload data'!F:F,'caseload data'!$D:$D,"SPO",'caseload data'!$A:$A,$B$99)</f>
        <v>0</v>
      </c>
      <c r="E125" s="94">
        <f>SUMIFS('caseload data'!G:G,'caseload data'!$D:$D,"SPO",'caseload data'!$A:$A,$B$99)</f>
        <v>0</v>
      </c>
      <c r="F125" s="94">
        <f>SUMIFS('caseload data'!H:H,'caseload data'!$D:$D,"SPO",'caseload data'!$A:$A,$B$99)</f>
        <v>0</v>
      </c>
      <c r="G125" s="94">
        <f>SUMIFS('caseload data'!I:I,'caseload data'!$D:$D,"SPO",'caseload data'!$A:$A,$B$99)</f>
        <v>0</v>
      </c>
      <c r="H125" s="94">
        <f>SUMIFS('caseload data'!J:J,'caseload data'!$D:$D,"SPO",'caseload data'!$A:$A,$B$99)</f>
        <v>0</v>
      </c>
      <c r="I125" s="94">
        <f>SUMIFS('caseload data'!K:K,'caseload data'!$D:$D,"SPO",'caseload data'!$A:$A,$B$99)</f>
        <v>0</v>
      </c>
      <c r="J125" s="94">
        <f>SUMIFS('caseload data'!L:L,'caseload data'!$D:$D,"SPO",'caseload data'!$A:$A,$B$99)</f>
        <v>0</v>
      </c>
      <c r="K125" s="94">
        <f>SUMIFS('caseload data'!M:M,'caseload data'!$D:$D,"SPO",'caseload data'!$A:$A,$B$99)</f>
        <v>0</v>
      </c>
      <c r="L125" s="94">
        <f>SUMIFS('caseload data'!N:N,'caseload data'!$D:$D,"SPO",'caseload data'!$A:$A,$B$99)</f>
        <v>0</v>
      </c>
      <c r="M125" s="94">
        <f>SUMIFS('caseload data'!O:O,'caseload data'!$D:$D,"SPO",'caseload data'!$A:$A,$B$99)</f>
        <v>0</v>
      </c>
      <c r="N125" s="94">
        <f>SUMIFS('caseload data'!P:P,'caseload data'!$D:$D,"SPO",'caseload data'!$A:$A,$B$99)</f>
        <v>0</v>
      </c>
      <c r="O125" s="94">
        <f>SUMIFS('caseload data'!Q:Q,'caseload data'!$D:$D,"SPO",'caseload data'!$A:$A,$B$99)</f>
        <v>0</v>
      </c>
      <c r="P125" s="94">
        <f>SUMIFS('caseload data'!R:R,'caseload data'!$D:$D,"SPO",'caseload data'!$A:$A,$B$99)</f>
        <v>0</v>
      </c>
      <c r="Q125" s="94">
        <f>SUMIFS('caseload data'!S:S,'caseload data'!$D:$D,"SPO",'caseload data'!$A:$A,$B$99)</f>
        <v>0</v>
      </c>
      <c r="R125" s="94">
        <f>SUMIFS('caseload data'!T:T,'caseload data'!$D:$D,"SPO",'caseload data'!$A:$A,$B$99)</f>
        <v>0</v>
      </c>
      <c r="U125" s="98" t="s">
        <v>954</v>
      </c>
      <c r="V125" s="167" t="e">
        <f>C$125/SUM(C$122:C$125)</f>
        <v>#DIV/0!</v>
      </c>
      <c r="W125" s="167" t="e">
        <f>D$125/SUM(D$122:D$125)</f>
        <v>#DIV/0!</v>
      </c>
      <c r="X125" s="167" t="e">
        <f t="shared" ref="X125:AK125" si="19">E$125/SUM(E$122:E$125)</f>
        <v>#DIV/0!</v>
      </c>
      <c r="Y125" s="167" t="e">
        <f t="shared" si="19"/>
        <v>#DIV/0!</v>
      </c>
      <c r="Z125" s="167" t="e">
        <f t="shared" si="19"/>
        <v>#DIV/0!</v>
      </c>
      <c r="AA125" s="167" t="e">
        <f t="shared" si="19"/>
        <v>#DIV/0!</v>
      </c>
      <c r="AB125" s="167" t="e">
        <f t="shared" si="19"/>
        <v>#DIV/0!</v>
      </c>
      <c r="AC125" s="167" t="e">
        <f t="shared" si="19"/>
        <v>#DIV/0!</v>
      </c>
      <c r="AD125" s="167" t="e">
        <f t="shared" si="19"/>
        <v>#DIV/0!</v>
      </c>
      <c r="AE125" s="167" t="e">
        <f t="shared" si="19"/>
        <v>#DIV/0!</v>
      </c>
      <c r="AF125" s="167" t="e">
        <f t="shared" si="19"/>
        <v>#DIV/0!</v>
      </c>
      <c r="AG125" s="167" t="e">
        <f t="shared" si="19"/>
        <v>#DIV/0!</v>
      </c>
      <c r="AH125" s="167" t="e">
        <f t="shared" si="19"/>
        <v>#DIV/0!</v>
      </c>
      <c r="AI125" s="167" t="e">
        <f t="shared" si="19"/>
        <v>#DIV/0!</v>
      </c>
      <c r="AJ125" s="167" t="e">
        <f t="shared" si="19"/>
        <v>#DIV/0!</v>
      </c>
      <c r="AK125" s="167" t="e">
        <f t="shared" si="19"/>
        <v>#DIV/0!</v>
      </c>
    </row>
  </sheetData>
  <sortState xmlns:xlrd2="http://schemas.microsoft.com/office/spreadsheetml/2017/richdata2" ref="B34:D82">
    <sortCondition ref="B34:B82"/>
  </sortState>
  <mergeCells count="19">
    <mergeCell ref="C120:R120"/>
    <mergeCell ref="C113:R113"/>
    <mergeCell ref="C106:R106"/>
    <mergeCell ref="V113:AK113"/>
    <mergeCell ref="V120:AK120"/>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7"/>
  <sheetViews>
    <sheetView showGridLines="0" zoomScale="85" zoomScaleNormal="85" workbookViewId="0">
      <selection activeCell="D5" sqref="D5"/>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24.5" customWidth="1"/>
    <col min="9" max="9" width="20.5" customWidth="1"/>
    <col min="10" max="10" width="18" customWidth="1"/>
    <col min="11" max="11" width="20.33203125" customWidth="1"/>
    <col min="12" max="12" width="16.33203125" customWidth="1"/>
    <col min="13" max="13" width="21.33203125" customWidth="1"/>
    <col min="14" max="14" width="23.8320312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459" t="s">
        <v>958</v>
      </c>
      <c r="B1" s="459"/>
      <c r="C1" s="459"/>
      <c r="D1" s="459"/>
      <c r="E1" s="459"/>
      <c r="F1" s="459"/>
      <c r="G1" s="459"/>
      <c r="H1" s="459"/>
      <c r="I1" s="459"/>
      <c r="J1" s="459"/>
      <c r="K1" s="459"/>
      <c r="L1" s="459"/>
      <c r="M1" s="244"/>
      <c r="N1" s="244"/>
      <c r="O1" s="244"/>
      <c r="P1" s="244"/>
      <c r="Q1" s="244"/>
      <c r="R1" s="244"/>
      <c r="S1" s="244"/>
    </row>
    <row r="2" spans="1:26" ht="28.5" customHeight="1" x14ac:dyDescent="0.15">
      <c r="A2" s="460" t="s">
        <v>1363</v>
      </c>
      <c r="B2" s="454"/>
      <c r="C2" s="454"/>
      <c r="D2" s="454"/>
      <c r="E2" s="454"/>
      <c r="F2" s="454"/>
      <c r="G2" s="454"/>
      <c r="H2" s="454"/>
      <c r="I2" s="454"/>
      <c r="J2" s="454"/>
      <c r="K2" s="454"/>
      <c r="L2" s="454"/>
      <c r="M2" s="241"/>
      <c r="N2" s="241"/>
      <c r="O2" s="241"/>
      <c r="P2" s="241"/>
      <c r="Q2" s="241"/>
      <c r="R2" s="241"/>
      <c r="S2" s="241"/>
    </row>
    <row r="4" spans="1:26" ht="36" customHeight="1" x14ac:dyDescent="0.15">
      <c r="B4" s="36" t="s">
        <v>885</v>
      </c>
      <c r="H4" s="36"/>
      <c r="S4" s="315"/>
      <c r="V4" s="307" t="s">
        <v>1189</v>
      </c>
      <c r="W4" s="307" cm="1">
        <f t="array" ref="W4">SUM(SUMIFS('capacity data'!K:K,'capacity data'!A:A,B5,'capacity data'!E:E,{"PO","PSO"}))</f>
        <v>0</v>
      </c>
      <c r="X4" s="314"/>
      <c r="Y4" s="307" t="s">
        <v>1192</v>
      </c>
      <c r="Z4" s="307" cm="1">
        <f t="array" ref="Z4">SUM(SUMIFS('capacity data'!K:K,'capacity data'!E:E,{"PO","PSO"}))</f>
        <v>0</v>
      </c>
    </row>
    <row r="5" spans="1:26" ht="38.25" customHeight="1" x14ac:dyDescent="0.15">
      <c r="B5" s="242" t="s">
        <v>28</v>
      </c>
      <c r="C5" s="40"/>
      <c r="H5" s="40"/>
      <c r="I5" s="40"/>
      <c r="S5" s="315"/>
      <c r="V5" s="308" t="s">
        <v>1190</v>
      </c>
      <c r="W5" s="307" cm="1">
        <f t="array" ref="W5">SUM(SUMIFS('capacity data'!I:I,'capacity data'!A:A,B5,'capacity data'!E:E,{"PO","PSO"}))-SUM((SUMIFS('capacity data'!J:J,'capacity data'!A:A,B5,'capacity data'!E:E,{"PO","PSO"})))</f>
        <v>0</v>
      </c>
      <c r="X5" s="314"/>
      <c r="Y5" s="308" t="s">
        <v>1193</v>
      </c>
      <c r="Z5" s="307" cm="1">
        <f t="array" ref="Z5">SUM(SUMIFS('capacity data'!I:I,'capacity data'!E:E,{"PO","PSO"}))-SUM((SUMIFS('capacity data'!J:J,'capacity data'!E:E,{"PO","PSO"})))</f>
        <v>0</v>
      </c>
    </row>
    <row r="6" spans="1:26" ht="38.25" customHeight="1" x14ac:dyDescent="0.15">
      <c r="C6" s="40"/>
      <c r="S6" s="315"/>
      <c r="V6" s="307" t="s">
        <v>1191</v>
      </c>
      <c r="W6" s="307">
        <f>W5/37</f>
        <v>0</v>
      </c>
      <c r="X6" s="314"/>
      <c r="Y6" s="307" t="s">
        <v>1191</v>
      </c>
      <c r="Z6" s="307">
        <f>Z5/37</f>
        <v>0</v>
      </c>
    </row>
    <row r="7" spans="1:26" ht="28" customHeight="1" x14ac:dyDescent="0.15">
      <c r="B7" s="296" t="s">
        <v>959</v>
      </c>
      <c r="C7" s="280"/>
      <c r="D7" s="280"/>
      <c r="E7" s="280"/>
      <c r="F7" s="279"/>
      <c r="H7" s="463" t="s">
        <v>960</v>
      </c>
      <c r="I7" s="464"/>
      <c r="J7" s="464"/>
      <c r="K7" s="464"/>
      <c r="L7" s="464"/>
      <c r="M7" s="464"/>
      <c r="N7" s="464"/>
      <c r="O7" s="315"/>
      <c r="P7" s="315"/>
      <c r="Q7" s="315"/>
      <c r="R7" s="315"/>
      <c r="S7" s="315"/>
    </row>
    <row r="8" spans="1:26" ht="43.5" customHeight="1" x14ac:dyDescent="0.15">
      <c r="B8" s="62"/>
      <c r="C8" s="219" t="s">
        <v>961</v>
      </c>
      <c r="D8" s="219" t="s">
        <v>962</v>
      </c>
      <c r="E8" s="219" t="s">
        <v>963</v>
      </c>
      <c r="F8" s="219" t="s">
        <v>964</v>
      </c>
      <c r="G8" s="64"/>
      <c r="H8" s="62"/>
      <c r="I8" s="219" t="s">
        <v>965</v>
      </c>
      <c r="J8" s="63" t="s">
        <v>966</v>
      </c>
      <c r="K8" s="63" t="s">
        <v>967</v>
      </c>
      <c r="L8" s="63" t="s">
        <v>968</v>
      </c>
      <c r="M8" s="219" t="s">
        <v>969</v>
      </c>
      <c r="N8" s="219" t="s">
        <v>1188</v>
      </c>
      <c r="O8" s="64"/>
      <c r="P8" s="64"/>
      <c r="Q8" s="64"/>
      <c r="R8" s="64"/>
      <c r="S8" s="64"/>
      <c r="T8" s="64"/>
    </row>
    <row r="9" spans="1:26" ht="20.25" customHeight="1" x14ac:dyDescent="0.15">
      <c r="B9" s="304" t="str">
        <f>B5</f>
        <v>Yorkshire and The Humber</v>
      </c>
      <c r="C9" s="235" t="e">
        <f>SUMIFS('capacity data'!K:K,'capacity data'!A:A,B5,'capacity data'!E:E,"PO")/((SUMIFS('capacity data'!I:I,'capacity data'!A:A,B5,'capacity data'!E:E,"PO")-(SUMIFS('capacity data'!J:J,'capacity data'!A:A,B5,'capacity data'!E:E,"PO")))/37)</f>
        <v>#DIV/0!</v>
      </c>
      <c r="D9" s="236" t="e">
        <f>SUMIFS('capacity data'!K:K,'capacity data'!A:A,B5,'capacity data'!E:E,"PSO")/((SUMIFS('capacity data'!I:I,'capacity data'!A:A,B5,'capacity data'!E:E,"PSO")-(SUMIFS('capacity data'!J:J,'capacity data'!A:A,B5,'capacity data'!E:E,"PSO")))/37)</f>
        <v>#DIV/0!</v>
      </c>
      <c r="E9" s="236" t="e">
        <f>SUMIFS('capacity data'!K:K,'capacity data'!A:A,B5,'capacity data'!E:E,"TPO")/((SUMIFS('capacity data'!I:I,'capacity data'!A:A,B5,'capacity data'!E:E,"TPO")-(SUMIFS('capacity data'!J:J,'capacity data'!A:A,B5,'capacity data'!E:E,"TPO")))/37)</f>
        <v>#DIV/0!</v>
      </c>
      <c r="F9" s="236" t="e">
        <f>SUMIFS('capacity data'!K:K,'capacity data'!A:A,B5,'capacity data'!E:E,"&lt;&gt;DMY")/((SUMIFS('capacity data'!I:I,'capacity data'!A:A,B5,'capacity data'!E:E,"&lt;&gt;DMY")-(SUMIFS('capacity data'!J:J,'capacity data'!A:A,B5,'capacity data'!E:E,"&lt;&gt;DMY")))/37)</f>
        <v>#DIV/0!</v>
      </c>
      <c r="G9" s="64"/>
      <c r="H9" s="304" t="str">
        <f>B5</f>
        <v>Yorkshire and The Humber</v>
      </c>
      <c r="I9" s="82" t="e">
        <f>SUMIFS('capacity data'!F:F, 'capacity data'!E:E, "PO",'capacity data'!F:F, "&lt;&gt;0", 'capacity data'!A:A, B5) / COUNTIFS('capacity data'!E:E, "PO",'capacity data'!F:F, "&lt;&gt;0",'capacity data'!A:A, B5)</f>
        <v>#DIV/0!</v>
      </c>
      <c r="J9" s="82" t="e">
        <f>SUMIFS('capacity data'!F:F, 'capacity data'!E:E, "PSO",'capacity data'!F:F, "&lt;&gt;0", 'capacity data'!A:A, B5) / COUNTIFS('capacity data'!E:E, "PSO",'capacity data'!F:F, "&lt;&gt;0",'capacity data'!A:A, B5)</f>
        <v>#DIV/0!</v>
      </c>
      <c r="K9" s="82" t="e">
        <f>SUMIFS('capacity data'!F:F, 'capacity data'!E:E, "TPO",'capacity data'!F:F, "&lt;&gt;0", 'capacity data'!A:A, B5) / COUNTIFS('capacity data'!E:E, "TPO",'capacity data'!F:F, "&lt;&gt;0",'capacity data'!A:A, B5)</f>
        <v>#DIV/0!</v>
      </c>
      <c r="L9" s="82" t="e">
        <f>SUMIFS('capacity data'!F:F, 'capacity data'!E:E, "&lt;&gt;DMY",'capacity data'!F:F, "&lt;&gt;0", 'capacity data'!A:A, B5) / COUNTIFS('capacity data'!E:E, "&lt;&gt;DMY",'capacity data'!F:F, "&lt;&gt;0",'capacity data'!A:A, B5)</f>
        <v>#DIV/0!</v>
      </c>
      <c r="M9" s="292" t="e" cm="1">
        <f t="array" ref="M9">SUM(SUMIFS('capacity data'!F:F, 'capacity data'!E:E, {"PO","PSO"},'capacity data'!F:F, "&lt;&gt;0", 'capacity data'!A:A, B5)) / SUM(COUNTIFS('capacity data'!E:E, {"PO","PSO"},'capacity data'!F:F, "&lt;&gt;0",'capacity data'!A:A, B5))</f>
        <v>#DIV/0!</v>
      </c>
      <c r="N9" s="309" t="e">
        <f>W4/W6</f>
        <v>#DIV/0!</v>
      </c>
      <c r="O9" s="64"/>
      <c r="P9" s="64"/>
      <c r="Q9" s="64"/>
      <c r="R9" s="64"/>
      <c r="S9" s="64"/>
      <c r="T9" s="64"/>
    </row>
    <row r="10" spans="1:26" ht="18" customHeight="1" x14ac:dyDescent="0.15">
      <c r="B10" s="229" t="s">
        <v>970</v>
      </c>
      <c r="C10" s="235" t="e">
        <f>SUMIFS('capacity data'!K:K,'capacity data'!E:E,"PO")/((SUMIFS('capacity data'!I:I,'capacity data'!E:E,"PO")-(SUMIFS('capacity data'!J:J,'capacity data'!E:E,"PO")))/37)</f>
        <v>#DIV/0!</v>
      </c>
      <c r="D10" s="236" t="e">
        <f>SUMIFS('capacity data'!K:K,'capacity data'!E:E,"PSO")/((SUMIFS('capacity data'!I:I,'capacity data'!E:E,"PSO")-(SUMIFS('capacity data'!J:J,'capacity data'!E:E,"PSO")))/37)</f>
        <v>#DIV/0!</v>
      </c>
      <c r="E10" s="236" t="e">
        <f>SUMIFS('capacity data'!K:K,'capacity data'!E:E,"TPO")/((SUMIFS('capacity data'!I:I,'capacity data'!E:E,"TPO")-(SUMIFS('capacity data'!J:J,'capacity data'!E:E,"TPO")))/37)</f>
        <v>#DIV/0!</v>
      </c>
      <c r="F10" s="236" t="e">
        <f>SUMIFS('capacity data'!K:K,'capacity data'!E:E,"&lt;&gt;DMY")/((SUMIFS('capacity data'!I:I,'capacity data'!E:E,"&lt;&gt;DMY")-(SUMIFS('capacity data'!J:J,'capacity data'!E:E,"&lt;&gt;DMY")))/37)</f>
        <v>#DIV/0!</v>
      </c>
      <c r="G10" s="64"/>
      <c r="H10" s="229" t="s">
        <v>970</v>
      </c>
      <c r="I10" s="82" t="e">
        <f>SUMIFS('capacity data'!F:F, 'capacity data'!E:E, "PO",'capacity data'!F:F, "&lt;&gt;0") / COUNTIFS('capacity data'!E:E, "PO",'capacity data'!F:F, "&lt;&gt;0")</f>
        <v>#DIV/0!</v>
      </c>
      <c r="J10" s="82" t="e">
        <f>SUMIFS('capacity data'!F:F, 'capacity data'!E:E, "PSO",'capacity data'!F:F, "&lt;&gt;0") / COUNTIFS('capacity data'!E:E, "PSO",'capacity data'!F:F, "&lt;&gt;0")</f>
        <v>#DIV/0!</v>
      </c>
      <c r="K10" s="82" t="e">
        <f>SUMIFS('capacity data'!F:F, 'capacity data'!E:E, "TPO",'capacity data'!F:F, "&lt;&gt;0") / COUNTIFS('capacity data'!E:E, "TPO",'capacity data'!F:F, "&lt;&gt;0")</f>
        <v>#DIV/0!</v>
      </c>
      <c r="L10" s="82">
        <f>SUMIFS('capacity data'!F:F, 'capacity data'!E:E, "&lt;&gt;DMY",'capacity data'!F:F, "&lt;&gt;0") / COUNTIFS('capacity data'!E:E, "&lt;&gt;DMY",'capacity data'!F:F, "&lt;&gt;0", 'capacity data'!A:A, "&lt;&gt;")</f>
        <v>0</v>
      </c>
      <c r="M10" s="292" t="e" cm="1">
        <f t="array" ref="M10">SUM(SUMIFS('capacity data'!F:F,'capacity data'!E:E,{"PO","PSO"},'capacity data'!F:F,"&lt;&gt;0"))/SUM(COUNTIFS('capacity data'!E:E,{"PO","PSO"},'capacity data'!F:F,"&lt;&gt;0"))</f>
        <v>#DIV/0!</v>
      </c>
      <c r="N10" s="309" t="e">
        <f>Z4/Z6</f>
        <v>#DIV/0!</v>
      </c>
      <c r="O10" s="64"/>
      <c r="P10" s="64"/>
      <c r="Q10" s="64"/>
      <c r="R10" s="64"/>
      <c r="S10" s="64"/>
      <c r="T10" s="64"/>
    </row>
    <row r="11" spans="1:26" ht="17.25" customHeight="1" x14ac:dyDescent="0.15">
      <c r="B11" s="68" t="s">
        <v>896</v>
      </c>
      <c r="C11" s="235" t="e">
        <f>C9-C10</f>
        <v>#DIV/0!</v>
      </c>
      <c r="D11" s="235" t="e">
        <f t="shared" ref="D11:F11" si="0">D9-D10</f>
        <v>#DIV/0!</v>
      </c>
      <c r="E11" s="235" t="e">
        <f t="shared" si="0"/>
        <v>#DIV/0!</v>
      </c>
      <c r="F11" s="235" t="e">
        <f t="shared" si="0"/>
        <v>#DIV/0!</v>
      </c>
      <c r="G11" s="64"/>
      <c r="H11" s="68" t="s">
        <v>896</v>
      </c>
      <c r="I11" s="102" t="e">
        <f>I9-I10</f>
        <v>#DIV/0!</v>
      </c>
      <c r="J11" s="102" t="e">
        <f t="shared" ref="J11:K11" si="1">J9-J10</f>
        <v>#DIV/0!</v>
      </c>
      <c r="K11" s="102" t="e">
        <f t="shared" si="1"/>
        <v>#DIV/0!</v>
      </c>
      <c r="L11" s="102" t="e">
        <f>L9-L10</f>
        <v>#DIV/0!</v>
      </c>
      <c r="M11" s="102" t="e">
        <f>M9-M10</f>
        <v>#DIV/0!</v>
      </c>
      <c r="N11" s="310" t="e">
        <f>N9-N10</f>
        <v>#DIV/0!</v>
      </c>
      <c r="O11" s="64"/>
      <c r="P11" s="64"/>
      <c r="Q11" s="64"/>
      <c r="R11" s="64"/>
      <c r="S11" s="64"/>
      <c r="T11" s="64"/>
    </row>
    <row r="12" spans="1:26" ht="17.25" customHeight="1" x14ac:dyDescent="0.15">
      <c r="B12" s="64"/>
      <c r="C12" s="64"/>
      <c r="D12" s="238"/>
      <c r="E12" s="238"/>
      <c r="F12" s="238"/>
      <c r="G12" s="64"/>
      <c r="H12" s="64"/>
      <c r="I12" s="64"/>
      <c r="J12" s="64"/>
      <c r="K12" s="64"/>
      <c r="L12" s="64"/>
      <c r="M12" s="64"/>
      <c r="N12" s="64"/>
      <c r="O12" s="64"/>
      <c r="P12" s="64"/>
      <c r="Q12" s="64"/>
      <c r="R12" s="64"/>
      <c r="S12" s="238"/>
      <c r="T12" s="238"/>
      <c r="U12" s="238"/>
      <c r="V12" s="238"/>
    </row>
    <row r="13" spans="1:26" ht="17.25" customHeight="1" x14ac:dyDescent="0.15">
      <c r="B13" s="64"/>
      <c r="C13" s="64"/>
      <c r="D13" s="238"/>
      <c r="E13" s="238"/>
      <c r="F13" s="238"/>
      <c r="G13" s="64"/>
      <c r="H13" s="64"/>
      <c r="I13" s="64"/>
      <c r="J13" s="64"/>
      <c r="K13" s="64"/>
      <c r="L13" s="64"/>
      <c r="M13" s="64"/>
      <c r="N13" s="64"/>
      <c r="O13" s="64"/>
      <c r="P13" s="64"/>
      <c r="Q13" s="64"/>
      <c r="R13" s="64"/>
      <c r="S13" s="238"/>
      <c r="T13" s="238"/>
      <c r="U13" s="238"/>
      <c r="V13" s="238"/>
    </row>
    <row r="14" spans="1:26" ht="25" customHeight="1" x14ac:dyDescent="0.15">
      <c r="B14" s="296" t="s">
        <v>971</v>
      </c>
      <c r="C14" s="294"/>
      <c r="D14" s="294"/>
      <c r="E14" s="294"/>
      <c r="F14" s="293"/>
      <c r="G14" s="64"/>
      <c r="H14" s="64"/>
      <c r="I14" s="64"/>
      <c r="J14" s="238"/>
      <c r="K14" s="238"/>
      <c r="L14" s="238"/>
      <c r="M14" s="238"/>
      <c r="N14" s="238"/>
      <c r="O14" s="64"/>
      <c r="P14" s="64"/>
      <c r="Q14" s="64"/>
      <c r="R14" s="238"/>
      <c r="S14" s="238"/>
      <c r="T14" s="238"/>
      <c r="U14" s="238"/>
      <c r="V14" s="238"/>
    </row>
    <row r="15" spans="1:26" ht="39.75" customHeight="1" x14ac:dyDescent="0.15">
      <c r="B15" s="62"/>
      <c r="C15" s="219" t="s">
        <v>961</v>
      </c>
      <c r="D15" s="219" t="s">
        <v>962</v>
      </c>
      <c r="E15" s="219" t="s">
        <v>963</v>
      </c>
      <c r="F15" s="219" t="s">
        <v>964</v>
      </c>
      <c r="G15" s="64"/>
      <c r="H15" s="463" t="s">
        <v>1405</v>
      </c>
      <c r="I15" s="464"/>
      <c r="J15" s="464"/>
      <c r="K15" s="464"/>
      <c r="L15" s="464"/>
      <c r="M15" s="426"/>
      <c r="N15" s="238"/>
      <c r="O15" s="64"/>
      <c r="P15" s="64"/>
      <c r="Q15" s="64"/>
      <c r="R15" s="238"/>
      <c r="S15" s="238"/>
      <c r="T15" s="238"/>
      <c r="U15" s="238"/>
      <c r="V15" s="238"/>
    </row>
    <row r="16" spans="1:26" ht="17.25" customHeight="1" x14ac:dyDescent="0.15">
      <c r="B16" s="304" t="str">
        <f>B5</f>
        <v>Yorkshire and The Humber</v>
      </c>
      <c r="C16" s="235" t="e">
        <f>SUMIFS('caseload data'!V:V,'caseload data'!A:A, B5, 'caseload data'!D:D, "PO", 'caseload data'!B:B, "Community")/((SUMIFS('capacity data'!I:I,'capacity data'!A:A,B5,'capacity data'!E:E,"PO")-(SUMIFS('capacity data'!J:J,'capacity data'!A:A,B5,'capacity data'!E:E,"PO")))/37)</f>
        <v>#DIV/0!</v>
      </c>
      <c r="D16" s="235" t="e">
        <f>SUMIFS('caseload data'!V:V,'caseload data'!A:A, B5, 'caseload data'!D:D, "PSO", 'caseload data'!B:B, "Community")/((SUMIFS('capacity data'!I:I,'capacity data'!A:A,B5,'capacity data'!E:E,"PSO")-(SUMIFS('capacity data'!J:J,'capacity data'!A:A,B5,'capacity data'!E:E,"PSO")))/37)</f>
        <v>#DIV/0!</v>
      </c>
      <c r="E16" s="235" t="e">
        <f>SUMIFS('caseload data'!V:V,'caseload data'!A:A, B5, 'caseload data'!D:D, "TPO", 'caseload data'!B:B, "Community")/((SUMIFS('capacity data'!I:I,'capacity data'!A:A,B5,'capacity data'!E:E,"TPO")-(SUMIFS('capacity data'!J:J,'capacity data'!A:A,B5,'capacity data'!E:E,"TPO")))/37)</f>
        <v>#DIV/0!</v>
      </c>
      <c r="F16" s="235" t="e">
        <f>SUMIFS('caseload data'!V:V,'caseload data'!B:B, "Community", 'caseload data'!D:D, "&lt;&gt;DMY", 'caseload data'!A:A, B5) /((SUMIFS('capacity data'!I:I,'capacity data'!A:A,B5,'capacity data'!E:E,"&lt;&gt;DMY")-(SUMIFS('capacity data'!J:J,'capacity data'!A:A,B5,'capacity data'!E:E,"&lt;&gt;DMY")))/37)</f>
        <v>#DIV/0!</v>
      </c>
      <c r="G16" s="64"/>
      <c r="H16" s="305" t="str">
        <f>B5</f>
        <v>Yorkshire and The Humber</v>
      </c>
      <c r="I16" s="219" t="s">
        <v>943</v>
      </c>
      <c r="J16" s="219" t="s">
        <v>942</v>
      </c>
      <c r="K16" s="219" t="s">
        <v>941</v>
      </c>
      <c r="L16" s="219" t="s">
        <v>944</v>
      </c>
      <c r="M16" s="238"/>
      <c r="N16" s="238"/>
      <c r="O16" s="64"/>
      <c r="P16" s="64"/>
      <c r="Q16" s="64"/>
      <c r="R16" s="238"/>
      <c r="S16" s="238"/>
      <c r="T16" s="238"/>
      <c r="U16" s="238"/>
      <c r="V16" s="238"/>
    </row>
    <row r="17" spans="2:22" ht="17.25" customHeight="1" x14ac:dyDescent="0.15">
      <c r="B17" s="229" t="s">
        <v>970</v>
      </c>
      <c r="C17" s="235" t="e">
        <f>SUMIFS('caseload data'!V:V, 'caseload data'!D:D, "PO", 'caseload data'!B:B, "Community")/((SUMIFS('capacity data'!I:I,'capacity data'!E:E,"PO")-(SUMIFS('capacity data'!J:J,'capacity data'!E:E,"PO")))/37)</f>
        <v>#DIV/0!</v>
      </c>
      <c r="D17" s="235" t="e">
        <f>SUMIFS('caseload data'!V:V, 'caseload data'!D:D, "PSO", 'caseload data'!B:B, "Community")/((SUMIFS('capacity data'!I:I,'capacity data'!E:E,"PSO")-(SUMIFS('capacity data'!J:J,'capacity data'!E:E,"PSO")))/37)</f>
        <v>#DIV/0!</v>
      </c>
      <c r="E17" s="235" t="e">
        <f>SUMIFS('caseload data'!V:V, 'caseload data'!D:D, "TPO", 'caseload data'!B:B, "Community")/((SUMIFS('capacity data'!I:I,'capacity data'!E:E,"TPO")-(SUMIFS('capacity data'!J:J,'capacity data'!E:E,"TPO")))/37)</f>
        <v>#DIV/0!</v>
      </c>
      <c r="F17" s="235" t="e">
        <f>SUMIFS('caseload data'!V:V, 'caseload data'!D:D, "&lt;&gt;DMY", 'caseload data'!B:B, "Community")/((SUMIFS('capacity data'!I:I,'capacity data'!E:E,"&lt;&gt;DMY")-(SUMIFS('capacity data'!J:J,'capacity data'!E:E,"&lt;&gt;DMY")))/37)</f>
        <v>#DIV/0!</v>
      </c>
      <c r="G17" s="64"/>
      <c r="H17" s="65" t="s">
        <v>972</v>
      </c>
      <c r="I17" s="234">
        <f>SUM(T50)</f>
        <v>0</v>
      </c>
      <c r="J17" s="234">
        <f>SUM(T59)</f>
        <v>0</v>
      </c>
      <c r="K17" s="234">
        <f>SUM(T68)</f>
        <v>0</v>
      </c>
      <c r="L17" s="234">
        <f>SUM(I17:K17)</f>
        <v>0</v>
      </c>
      <c r="M17" s="64"/>
      <c r="N17" s="64"/>
      <c r="O17" s="64"/>
      <c r="P17" s="64"/>
      <c r="Q17" s="64"/>
      <c r="R17" s="238"/>
      <c r="S17" s="238"/>
      <c r="T17" s="238"/>
      <c r="U17" s="238"/>
      <c r="V17" s="238"/>
    </row>
    <row r="18" spans="2:22" ht="17.25" customHeight="1" x14ac:dyDescent="0.15">
      <c r="B18" s="68" t="s">
        <v>896</v>
      </c>
      <c r="C18" s="235" t="e">
        <f>C16-C17</f>
        <v>#DIV/0!</v>
      </c>
      <c r="D18" s="235" t="e">
        <f t="shared" ref="D18:F18" si="2">D16-D17</f>
        <v>#DIV/0!</v>
      </c>
      <c r="E18" s="235" t="e">
        <f t="shared" si="2"/>
        <v>#DIV/0!</v>
      </c>
      <c r="F18" s="235" t="e">
        <f t="shared" si="2"/>
        <v>#DIV/0!</v>
      </c>
      <c r="G18" s="64"/>
      <c r="H18" s="64"/>
      <c r="I18" s="64"/>
      <c r="J18" s="64"/>
      <c r="K18" s="64"/>
      <c r="L18" s="64"/>
      <c r="M18" s="64"/>
      <c r="N18" s="64"/>
      <c r="O18" s="64"/>
      <c r="P18" s="64"/>
      <c r="Q18" s="64"/>
      <c r="R18" s="238"/>
      <c r="S18" s="238"/>
      <c r="T18" s="238"/>
      <c r="U18" s="238"/>
      <c r="V18" s="238"/>
    </row>
    <row r="19" spans="2:22" ht="17.25" customHeight="1" x14ac:dyDescent="0.15">
      <c r="B19" s="64"/>
      <c r="C19" s="238"/>
      <c r="D19" s="64"/>
      <c r="E19" s="64"/>
      <c r="F19" s="64"/>
      <c r="G19" s="64"/>
      <c r="H19" s="64"/>
      <c r="I19" s="64"/>
      <c r="J19" s="64"/>
      <c r="K19" s="64"/>
      <c r="L19" s="64"/>
      <c r="M19" s="64"/>
      <c r="N19" s="64"/>
      <c r="O19" s="64"/>
      <c r="P19" s="64"/>
      <c r="Q19" s="64"/>
      <c r="R19" s="238"/>
      <c r="S19" s="238"/>
      <c r="T19" s="238"/>
      <c r="U19" s="238"/>
      <c r="V19" s="238"/>
    </row>
    <row r="20" spans="2:22" ht="32.25" customHeight="1" x14ac:dyDescent="0.15">
      <c r="B20" s="296" t="s">
        <v>973</v>
      </c>
      <c r="C20" s="294"/>
      <c r="D20" s="294"/>
      <c r="E20" s="294"/>
      <c r="F20" s="293"/>
      <c r="G20" s="64"/>
      <c r="H20" s="295"/>
      <c r="I20" s="64"/>
      <c r="J20" s="64"/>
      <c r="K20" s="64"/>
      <c r="L20" s="64"/>
      <c r="M20" s="64"/>
      <c r="N20" s="64"/>
      <c r="O20" s="64"/>
      <c r="P20" s="64"/>
      <c r="Q20" s="64"/>
      <c r="R20" s="64"/>
      <c r="S20" s="64"/>
      <c r="T20" s="64"/>
    </row>
    <row r="21" spans="2:22" ht="43.5" customHeight="1" x14ac:dyDescent="0.15">
      <c r="B21" s="62"/>
      <c r="C21" s="219" t="s">
        <v>961</v>
      </c>
      <c r="D21" s="219" t="s">
        <v>962</v>
      </c>
      <c r="E21" s="219" t="s">
        <v>963</v>
      </c>
      <c r="F21" s="219" t="s">
        <v>964</v>
      </c>
      <c r="G21" s="64"/>
      <c r="H21" s="64"/>
      <c r="I21" s="64"/>
      <c r="J21" s="64"/>
      <c r="K21" s="64"/>
      <c r="L21" s="64"/>
      <c r="M21" s="64"/>
      <c r="N21" s="64"/>
      <c r="O21" s="64"/>
      <c r="P21" s="64"/>
      <c r="Q21" s="64"/>
      <c r="R21" s="64"/>
      <c r="S21" s="64"/>
      <c r="T21" s="64"/>
    </row>
    <row r="22" spans="2:22" ht="15" customHeight="1" x14ac:dyDescent="0.15">
      <c r="B22" s="304" t="str">
        <f>B5</f>
        <v>Yorkshire and The Humber</v>
      </c>
      <c r="C22" s="235" t="e">
        <f>SUMIFS('caseload data'!V:V,'caseload data'!A:A, B5, 'caseload data'!D:D, "PO", 'caseload data'!B:B, "Licence")/((SUMIFS('capacity data'!I:I,'capacity data'!A:A,B5,'capacity data'!E:E,"PO")-(SUMIFS('capacity data'!J:J,'capacity data'!A:A,B5,'capacity data'!E:E,"PO")))/37)</f>
        <v>#DIV/0!</v>
      </c>
      <c r="D22" s="235" t="e">
        <f>SUMIFS('caseload data'!V:V,'caseload data'!A:A, B5, 'caseload data'!D:D, "PSO", 'caseload data'!B:B, "Licence")/((SUMIFS('capacity data'!I:I,'capacity data'!A:A,B5,'capacity data'!E:E,"PSO")-(SUMIFS('capacity data'!J:J,'capacity data'!A:A,B5,'capacity data'!E:E,"PSO")))/37)</f>
        <v>#DIV/0!</v>
      </c>
      <c r="E22" s="235" t="e">
        <f>SUMIFS('caseload data'!V:V,'caseload data'!A:A, B5, 'caseload data'!D:D, "TPO", 'caseload data'!B:B, "Licence")/((SUMIFS('capacity data'!I:I,'capacity data'!A:A,B5,'capacity data'!E:E,"TPO")-(SUMIFS('capacity data'!J:J,'capacity data'!A:A,B5,'capacity data'!E:E,"TPO")))/37)</f>
        <v>#DIV/0!</v>
      </c>
      <c r="F22" s="235" t="e">
        <f>SUMIFS('caseload data'!V:V,'caseload data'!B:B, "Licence", 'caseload data'!D:D, "&lt;&gt;DMY", 'caseload data'!A:A, B5) /((SUMIFS('capacity data'!I:I,'capacity data'!A:A,B5,'capacity data'!E:E,"&lt;&gt;DMY")-(SUMIFS('capacity data'!J:J,'capacity data'!A:A,B5,'capacity data'!E:E,"&lt;&gt;DMY")))/37)</f>
        <v>#DIV/0!</v>
      </c>
      <c r="G22" s="64"/>
      <c r="H22" s="64"/>
      <c r="I22" s="64"/>
      <c r="J22" s="238"/>
      <c r="K22" s="238"/>
      <c r="L22" s="238"/>
      <c r="M22" s="238"/>
      <c r="N22" s="238"/>
      <c r="O22" s="64"/>
      <c r="P22" s="64"/>
      <c r="Q22" s="64"/>
      <c r="R22" s="64"/>
      <c r="S22" s="64"/>
      <c r="T22" s="64"/>
    </row>
    <row r="23" spans="2:22" ht="15" customHeight="1" x14ac:dyDescent="0.15">
      <c r="B23" s="229" t="s">
        <v>970</v>
      </c>
      <c r="C23" s="235" t="e">
        <f>SUMIFS('caseload data'!V:V, 'caseload data'!D:D, "PO", 'caseload data'!B:B, "Licence")/((SUMIFS('capacity data'!I:I,'capacity data'!E:E,"PO")-(SUMIFS('capacity data'!J:J,'capacity data'!E:E,"PO")))/37)</f>
        <v>#DIV/0!</v>
      </c>
      <c r="D23" s="235" t="e">
        <f>SUMIFS('caseload data'!V:V, 'caseload data'!D:D, "PSO", 'caseload data'!B:B, "Licence")/((SUMIFS('capacity data'!I:I,'capacity data'!E:E,"PSO")-(SUMIFS('capacity data'!J:J,'capacity data'!E:E,"PSO")))/37)</f>
        <v>#DIV/0!</v>
      </c>
      <c r="E23" s="235" t="e">
        <f>SUMIFS('caseload data'!V:V, 'caseload data'!D:D, "TPO", 'caseload data'!B:B, "Licence")/((SUMIFS('capacity data'!I:I,'capacity data'!E:E,"TPO")-(SUMIFS('capacity data'!J:J,'capacity data'!E:E,"TPO")))/37)</f>
        <v>#DIV/0!</v>
      </c>
      <c r="F23" s="235" t="e">
        <f>SUMIFS('caseload data'!V:V, 'caseload data'!D:D, "&lt;&gt;DMY", 'caseload data'!B:B, "Licence")/((SUMIFS('capacity data'!I:I,'capacity data'!E:E,"&lt;&gt;DMY")-(SUMIFS('capacity data'!J:J,'capacity data'!E:E,"&lt;&gt;DMY")))/37)</f>
        <v>#DIV/0!</v>
      </c>
      <c r="G23" s="64"/>
      <c r="H23" s="64"/>
      <c r="I23" s="64"/>
      <c r="J23" s="238"/>
      <c r="K23" s="238"/>
      <c r="L23" s="238"/>
      <c r="M23" s="238"/>
      <c r="N23" s="238"/>
      <c r="O23" s="64"/>
      <c r="P23" s="64"/>
      <c r="Q23" s="64"/>
      <c r="R23" s="64"/>
      <c r="S23" s="64"/>
      <c r="T23" s="64"/>
    </row>
    <row r="24" spans="2:22" ht="15" customHeight="1" x14ac:dyDescent="0.15">
      <c r="B24" s="68" t="s">
        <v>896</v>
      </c>
      <c r="C24" s="235" t="e">
        <f>C22-C23</f>
        <v>#DIV/0!</v>
      </c>
      <c r="D24" s="235" t="e">
        <f t="shared" ref="D24:F24" si="3">D22-D23</f>
        <v>#DIV/0!</v>
      </c>
      <c r="E24" s="235" t="e">
        <f t="shared" si="3"/>
        <v>#DIV/0!</v>
      </c>
      <c r="F24" s="235" t="e">
        <f t="shared" si="3"/>
        <v>#DIV/0!</v>
      </c>
      <c r="G24" s="64"/>
      <c r="H24" s="64"/>
      <c r="I24" s="64"/>
      <c r="J24" s="238"/>
      <c r="K24" s="238"/>
      <c r="L24" s="238"/>
      <c r="M24" s="238"/>
      <c r="N24" s="238"/>
      <c r="O24" s="64"/>
      <c r="P24" s="64"/>
      <c r="Q24" s="64"/>
      <c r="R24" s="64"/>
      <c r="S24" s="64"/>
      <c r="T24" s="64"/>
    </row>
    <row r="25" spans="2:22" ht="15" customHeight="1" x14ac:dyDescent="0.15">
      <c r="B25" s="64"/>
      <c r="C25" s="64"/>
      <c r="D25" s="64"/>
      <c r="E25" s="64"/>
      <c r="F25" s="64"/>
      <c r="G25" s="64"/>
      <c r="H25" s="64"/>
      <c r="I25" s="64"/>
      <c r="J25" s="238"/>
      <c r="K25" s="238"/>
      <c r="L25" s="238"/>
      <c r="M25" s="238"/>
      <c r="N25" s="238"/>
      <c r="O25" s="64"/>
      <c r="P25" s="64"/>
      <c r="Q25" s="64"/>
      <c r="R25" s="64"/>
      <c r="S25" s="64"/>
      <c r="T25" s="64"/>
    </row>
    <row r="26" spans="2:22" ht="28.5" customHeight="1" x14ac:dyDescent="0.15">
      <c r="B26" s="296" t="s">
        <v>974</v>
      </c>
      <c r="C26" s="294"/>
      <c r="D26" s="294"/>
      <c r="E26" s="294"/>
      <c r="F26" s="293"/>
      <c r="G26" s="64"/>
      <c r="H26" s="64"/>
      <c r="I26" s="64"/>
      <c r="J26" s="238"/>
      <c r="K26" s="238"/>
      <c r="L26" s="238"/>
      <c r="M26" s="238"/>
      <c r="N26" s="238"/>
      <c r="O26" s="64"/>
      <c r="P26" s="64"/>
      <c r="Q26" s="64"/>
      <c r="R26" s="64"/>
      <c r="S26" s="64"/>
      <c r="T26" s="64"/>
    </row>
    <row r="27" spans="2:22" ht="49" customHeight="1" x14ac:dyDescent="0.15">
      <c r="B27" s="304" t="str">
        <f>B5</f>
        <v>Yorkshire and The Humber</v>
      </c>
      <c r="C27" s="219" t="s">
        <v>961</v>
      </c>
      <c r="D27" s="219" t="s">
        <v>962</v>
      </c>
      <c r="E27" s="219" t="s">
        <v>963</v>
      </c>
      <c r="F27" s="219" t="s">
        <v>964</v>
      </c>
      <c r="G27" s="64"/>
      <c r="H27" s="64"/>
      <c r="I27" s="64"/>
      <c r="J27" s="238"/>
      <c r="K27" s="238"/>
      <c r="L27" s="238"/>
      <c r="M27" s="238"/>
      <c r="N27" s="238"/>
      <c r="O27" s="64"/>
      <c r="P27" s="64"/>
      <c r="Q27" s="64"/>
      <c r="R27" s="64"/>
      <c r="S27" s="64"/>
      <c r="T27" s="64"/>
    </row>
    <row r="28" spans="2:22" ht="15" customHeight="1" x14ac:dyDescent="0.15">
      <c r="B28" s="65" t="str">
        <f>B11</f>
        <v>Variance</v>
      </c>
      <c r="C28" s="235" t="e">
        <f>SUMIFS('caseload data'!V:V,'caseload data'!A:A, B5, 'caseload data'!D:D, "PO", 'caseload data'!B:B, "Custody")/((SUMIFS('capacity data'!I:I,'capacity data'!A:A,B5,'capacity data'!E:E,"PO")-(SUMIFS('capacity data'!J:J,'capacity data'!A:A,B5,'capacity data'!E:E,"PO")))/37)</f>
        <v>#DIV/0!</v>
      </c>
      <c r="D28" s="235" t="e">
        <f>SUMIFS('caseload data'!V:V,'caseload data'!A:A, B5, 'caseload data'!D:D, "PSO", 'caseload data'!B:B, "Custody")/((SUMIFS('capacity data'!I:I,'capacity data'!A:A,B5,'capacity data'!E:E,"PSO")-(SUMIFS('capacity data'!J:J,'capacity data'!A:A,B5,'capacity data'!E:E,"PSO")))/37)</f>
        <v>#DIV/0!</v>
      </c>
      <c r="E28" s="235" t="e">
        <f>SUMIFS('caseload data'!V:V,'caseload data'!A:A, B5, 'caseload data'!D:D, "TPO", 'caseload data'!B:B, "Custody")/((SUMIFS('capacity data'!I:I,'capacity data'!A:A,B5,'capacity data'!E:E,"TPO")-(SUMIFS('capacity data'!J:J,'capacity data'!A:A,B5,'capacity data'!E:E,"TPO")))/37)</f>
        <v>#DIV/0!</v>
      </c>
      <c r="F28" s="235" t="e">
        <f>SUMIFS('caseload data'!V:V,'caseload data'!B:B, "Custody", 'caseload data'!D:D, "&lt;&gt;DMY", 'caseload data'!A:A, B5) /((SUMIFS('capacity data'!I:I,'capacity data'!A:A,B5,'capacity data'!E:E,"&lt;&gt;DMY")-(SUMIFS('capacity data'!J:J,'capacity data'!A:A,B5,'capacity data'!E:E,"&lt;&gt;DMY")))/37)</f>
        <v>#DIV/0!</v>
      </c>
      <c r="G28" s="64"/>
      <c r="H28" s="64"/>
      <c r="I28" s="64"/>
      <c r="J28" s="238"/>
      <c r="K28" s="238"/>
      <c r="L28" s="238"/>
      <c r="M28" s="238"/>
      <c r="N28" s="238"/>
      <c r="O28" s="64"/>
      <c r="P28" s="64"/>
      <c r="Q28" s="64"/>
      <c r="R28" s="64"/>
      <c r="S28" s="64"/>
      <c r="T28" s="64"/>
    </row>
    <row r="29" spans="2:22" ht="15" customHeight="1" x14ac:dyDescent="0.15">
      <c r="B29" s="229" t="s">
        <v>970</v>
      </c>
      <c r="C29" s="235" t="e">
        <f>SUMIFS('caseload data'!V:V, 'caseload data'!D:D, "PO", 'caseload data'!B:B, "Custody")/((SUMIFS('capacity data'!I:I,'capacity data'!E:E,"PO")-(SUMIFS('capacity data'!J:J,'capacity data'!E:E,"PO")))/37)</f>
        <v>#DIV/0!</v>
      </c>
      <c r="D29" s="235" t="e">
        <f>SUMIFS('caseload data'!V:V, 'caseload data'!D:D, "PSO", 'caseload data'!B:B, "Custody")/((SUMIFS('capacity data'!I:I,'capacity data'!E:E,"PSO")-(SUMIFS('capacity data'!J:J,'capacity data'!E:E,"PSO")))/37)</f>
        <v>#DIV/0!</v>
      </c>
      <c r="E29" s="235" t="e">
        <f>SUMIFS('caseload data'!V:V, 'caseload data'!D:D, "TPO", 'caseload data'!B:B, "Custody")/((SUMIFS('capacity data'!I:I,'capacity data'!E:E,"TPO")-(SUMIFS('capacity data'!J:J,'capacity data'!E:E,"TPO")))/37)</f>
        <v>#DIV/0!</v>
      </c>
      <c r="F29" s="235" t="e">
        <f>SUMIFS('caseload data'!V:V, 'caseload data'!D:D, "&lt;&gt;DMY", 'caseload data'!B:B, "Custody")/((SUMIFS('capacity data'!I:I,'capacity data'!E:E,"&lt;&gt;DMY")-(SUMIFS('capacity data'!J:J,'capacity data'!E:E,"&lt;&gt;DMY")))/37)</f>
        <v>#DIV/0!</v>
      </c>
      <c r="G29" s="64"/>
      <c r="H29" s="64"/>
      <c r="I29" s="64"/>
      <c r="J29" s="238"/>
      <c r="K29" s="238"/>
      <c r="L29" s="238"/>
      <c r="M29" s="238"/>
      <c r="N29" s="238"/>
      <c r="O29" s="64"/>
      <c r="P29" s="64"/>
      <c r="Q29" s="64"/>
      <c r="R29" s="64"/>
      <c r="S29" s="64"/>
      <c r="T29" s="64"/>
    </row>
    <row r="30" spans="2:22" ht="15" customHeight="1" x14ac:dyDescent="0.15">
      <c r="B30" s="68" t="s">
        <v>896</v>
      </c>
      <c r="C30" s="235" t="e">
        <f>C28-C29</f>
        <v>#DIV/0!</v>
      </c>
      <c r="D30" s="235" t="e">
        <f t="shared" ref="D30:F30" si="4">D28-D29</f>
        <v>#DIV/0!</v>
      </c>
      <c r="E30" s="235" t="e">
        <f t="shared" si="4"/>
        <v>#DIV/0!</v>
      </c>
      <c r="F30" s="235" t="e">
        <f t="shared" si="4"/>
        <v>#DIV/0!</v>
      </c>
      <c r="G30" s="64"/>
      <c r="H30" s="64"/>
      <c r="I30" s="64"/>
      <c r="J30" s="238"/>
      <c r="K30" s="238"/>
      <c r="L30" s="238"/>
      <c r="M30" s="238"/>
      <c r="N30" s="238"/>
      <c r="O30" s="64"/>
      <c r="P30" s="64"/>
      <c r="Q30" s="64"/>
      <c r="R30" s="64"/>
      <c r="S30" s="64"/>
      <c r="T30" s="64"/>
    </row>
    <row r="31" spans="2:22" ht="15" customHeight="1" x14ac:dyDescent="0.15">
      <c r="B31" s="64"/>
      <c r="C31" s="64"/>
      <c r="D31" s="64"/>
      <c r="E31" s="64"/>
      <c r="F31" s="64"/>
      <c r="G31" s="64"/>
      <c r="H31" s="64"/>
      <c r="I31" s="64"/>
      <c r="J31" s="238"/>
      <c r="K31" s="238"/>
      <c r="L31" s="238"/>
      <c r="M31" s="238"/>
      <c r="N31" s="238"/>
      <c r="O31" s="64"/>
      <c r="P31" s="64"/>
      <c r="Q31" s="64"/>
      <c r="R31" s="64"/>
      <c r="S31" s="64"/>
      <c r="T31" s="64"/>
    </row>
    <row r="32" spans="2:22" ht="15" customHeight="1" x14ac:dyDescent="0.15">
      <c r="B32" s="64"/>
      <c r="C32" s="64"/>
      <c r="D32" s="64"/>
      <c r="E32" s="64"/>
      <c r="F32" s="64"/>
      <c r="G32" s="64"/>
      <c r="H32" s="64"/>
      <c r="I32" s="64"/>
      <c r="J32" s="238"/>
      <c r="K32" s="238"/>
      <c r="L32" s="238"/>
      <c r="M32" s="238"/>
      <c r="N32" s="238"/>
      <c r="O32" s="64"/>
      <c r="P32" s="64"/>
      <c r="Q32" s="64"/>
      <c r="R32" s="64"/>
      <c r="S32" s="64"/>
      <c r="T32" s="64"/>
    </row>
    <row r="33" spans="2:20" ht="15.75" customHeight="1" x14ac:dyDescent="0.15">
      <c r="B33" s="64"/>
      <c r="C33" s="64"/>
      <c r="D33" s="64"/>
      <c r="E33" s="64"/>
      <c r="F33" s="64"/>
      <c r="G33" s="64"/>
      <c r="H33" s="64"/>
      <c r="I33" s="64"/>
      <c r="J33" s="64"/>
      <c r="K33" s="64"/>
      <c r="L33" s="64"/>
      <c r="M33" s="64"/>
      <c r="N33" s="64"/>
      <c r="O33" s="64"/>
      <c r="P33" s="64"/>
      <c r="Q33" s="64"/>
      <c r="R33" s="64"/>
      <c r="S33" s="64"/>
      <c r="T33" s="64"/>
    </row>
    <row r="34" spans="2:20" ht="29.25" customHeight="1" x14ac:dyDescent="0.15">
      <c r="B34" s="365" t="str">
        <f>B5</f>
        <v>Yorkshire and The Humber</v>
      </c>
      <c r="C34" s="461" t="s">
        <v>957</v>
      </c>
      <c r="D34" s="462"/>
      <c r="E34" s="462"/>
      <c r="F34" s="462"/>
      <c r="G34" s="462"/>
      <c r="H34" s="462"/>
      <c r="I34" s="462"/>
      <c r="J34" s="462"/>
      <c r="K34" s="462"/>
      <c r="L34" s="462"/>
      <c r="M34" s="462"/>
      <c r="N34" s="462"/>
      <c r="O34" s="462"/>
      <c r="P34" s="462"/>
      <c r="Q34" s="462"/>
      <c r="R34" s="462"/>
      <c r="S34" s="462"/>
      <c r="T34" s="462"/>
    </row>
    <row r="35" spans="2:20" x14ac:dyDescent="0.15">
      <c r="B35" s="366" t="s">
        <v>951</v>
      </c>
      <c r="C35" s="287" t="s">
        <v>814</v>
      </c>
      <c r="D35" s="287" t="s">
        <v>815</v>
      </c>
      <c r="E35" s="287" t="s">
        <v>816</v>
      </c>
      <c r="F35" s="287" t="s">
        <v>817</v>
      </c>
      <c r="G35" s="287" t="s">
        <v>818</v>
      </c>
      <c r="H35" s="287" t="s">
        <v>819</v>
      </c>
      <c r="I35" s="287" t="s">
        <v>820</v>
      </c>
      <c r="J35" s="287" t="s">
        <v>821</v>
      </c>
      <c r="K35" s="287" t="s">
        <v>822</v>
      </c>
      <c r="L35" s="287" t="s">
        <v>823</v>
      </c>
      <c r="M35" s="287" t="s">
        <v>824</v>
      </c>
      <c r="N35" s="287" t="s">
        <v>825</v>
      </c>
      <c r="O35" s="287" t="s">
        <v>826</v>
      </c>
      <c r="P35" s="287" t="s">
        <v>827</v>
      </c>
      <c r="Q35" s="287" t="s">
        <v>828</v>
      </c>
      <c r="R35" s="287" t="s">
        <v>829</v>
      </c>
      <c r="S35" s="287" t="s">
        <v>975</v>
      </c>
      <c r="T35" s="287" t="s">
        <v>909</v>
      </c>
    </row>
    <row r="36" spans="2:20" x14ac:dyDescent="0.15">
      <c r="B36" s="363" t="s">
        <v>947</v>
      </c>
      <c r="C36" s="364">
        <f>SUMIFS('caseload data'!E:E,'caseload data'!$D:$D,"PO",'caseload data'!$A:$A,'HMIP caseload divisional'!$B$5)</f>
        <v>0</v>
      </c>
      <c r="D36" s="234">
        <f>SUMIFS('caseload data'!F:F,'caseload data'!$D:$D,"PO",'caseload data'!$A:$A,'HMIP caseload divisional'!$B$5)</f>
        <v>0</v>
      </c>
      <c r="E36" s="234">
        <f>SUMIFS('caseload data'!G:G,'caseload data'!$D:$D,"PO",'caseload data'!$A:$A,'HMIP caseload divisional'!$B$5)</f>
        <v>0</v>
      </c>
      <c r="F36" s="234">
        <f>SUMIFS('caseload data'!H:H,'caseload data'!$D:$D,"PO",'caseload data'!$A:$A,'HMIP caseload divisional'!$B$5)</f>
        <v>0</v>
      </c>
      <c r="G36" s="234">
        <f>SUMIFS('caseload data'!I:I,'caseload data'!$D:$D,"PO",'caseload data'!$A:$A,'HMIP caseload divisional'!$B$5)</f>
        <v>0</v>
      </c>
      <c r="H36" s="234">
        <f>SUMIFS('caseload data'!J:J,'caseload data'!$D:$D,"PO",'caseload data'!$A:$A,'HMIP caseload divisional'!$B$5)</f>
        <v>0</v>
      </c>
      <c r="I36" s="234">
        <f>SUMIFS('caseload data'!K:K,'caseload data'!$D:$D,"PO",'caseload data'!$A:$A,'HMIP caseload divisional'!$B$5)</f>
        <v>0</v>
      </c>
      <c r="J36" s="234">
        <f>SUMIFS('caseload data'!L:L,'caseload data'!$D:$D,"PO",'caseload data'!$A:$A,'HMIP caseload divisional'!$B$5)</f>
        <v>0</v>
      </c>
      <c r="K36" s="234">
        <f>SUMIFS('caseload data'!M:M,'caseload data'!$D:$D,"PO",'caseload data'!$A:$A,'HMIP caseload divisional'!$B$5)</f>
        <v>0</v>
      </c>
      <c r="L36" s="234">
        <f>SUMIFS('caseload data'!N:N,'caseload data'!$D:$D,"PO",'caseload data'!$A:$A,'HMIP caseload divisional'!$B$5)</f>
        <v>0</v>
      </c>
      <c r="M36" s="234">
        <f>SUMIFS('caseload data'!O:O,'caseload data'!$D:$D,"PO",'caseload data'!$A:$A,'HMIP caseload divisional'!$B$5)</f>
        <v>0</v>
      </c>
      <c r="N36" s="234">
        <f>SUMIFS('caseload data'!P:P,'caseload data'!$D:$D,"PO",'caseload data'!$A:$A,'HMIP caseload divisional'!$B$5)</f>
        <v>0</v>
      </c>
      <c r="O36" s="234">
        <f>SUMIFS('caseload data'!Q:Q,'caseload data'!$D:$D,"PO",'caseload data'!$A:$A,'HMIP caseload divisional'!$B$5)</f>
        <v>0</v>
      </c>
      <c r="P36" s="234">
        <f>SUMIFS('caseload data'!R:R,'caseload data'!$D:$D,"PO",'caseload data'!$A:$A,'HMIP caseload divisional'!$B$5)</f>
        <v>0</v>
      </c>
      <c r="Q36" s="234">
        <f>SUMIFS('caseload data'!S:S,'caseload data'!$D:$D,"PO",'caseload data'!$A:$A,'HMIP caseload divisional'!$B$5)</f>
        <v>0</v>
      </c>
      <c r="R36" s="234">
        <f>SUMIFS('caseload data'!T:T,'caseload data'!$D:$D,"PO",'caseload data'!$A:$A,'HMIP caseload divisional'!$B$5)</f>
        <v>0</v>
      </c>
      <c r="S36" s="234">
        <f>SUMIFS('caseload data'!U:U,'caseload data'!$D:$D,"PO",'caseload data'!$A:$A,'HMIP caseload divisional'!$B$5)</f>
        <v>0</v>
      </c>
      <c r="T36" s="234">
        <f>SUM(C36:S36)</f>
        <v>0</v>
      </c>
    </row>
    <row r="37" spans="2:20" x14ac:dyDescent="0.15">
      <c r="B37" s="363" t="s">
        <v>952</v>
      </c>
      <c r="C37" s="364">
        <f>SUMIFS('caseload data'!E:E,'caseload data'!$D:$D,"PSO",'caseload data'!$A:$A,'HMIP caseload divisional'!$B$5)</f>
        <v>0</v>
      </c>
      <c r="D37" s="234">
        <f>SUMIFS('caseload data'!F:F,'caseload data'!$D:$D,"PSO",'caseload data'!$A:$A,'HMIP caseload divisional'!$B$5)</f>
        <v>0</v>
      </c>
      <c r="E37" s="234">
        <f>SUMIFS('caseload data'!G:G,'caseload data'!$D:$D,"PSO",'caseload data'!$A:$A,'HMIP caseload divisional'!$B$5)</f>
        <v>0</v>
      </c>
      <c r="F37" s="234">
        <f>SUMIFS('caseload data'!H:H,'caseload data'!$D:$D,"PSO",'caseload data'!$A:$A,'HMIP caseload divisional'!$B$5)</f>
        <v>0</v>
      </c>
      <c r="G37" s="234">
        <f>SUMIFS('caseload data'!I:I,'caseload data'!$D:$D,"PSO",'caseload data'!$A:$A,'HMIP caseload divisional'!$B$5)</f>
        <v>0</v>
      </c>
      <c r="H37" s="234">
        <f>SUMIFS('caseload data'!J:J,'caseload data'!$D:$D,"PSO",'caseload data'!$A:$A,'HMIP caseload divisional'!$B$5)</f>
        <v>0</v>
      </c>
      <c r="I37" s="234">
        <f>SUMIFS('caseload data'!K:K,'caseload data'!$D:$D,"PSO",'caseload data'!$A:$A,'HMIP caseload divisional'!$B$5)</f>
        <v>0</v>
      </c>
      <c r="J37" s="234">
        <f>SUMIFS('caseload data'!L:L,'caseload data'!$D:$D,"PSO",'caseload data'!$A:$A,'HMIP caseload divisional'!$B$5)</f>
        <v>0</v>
      </c>
      <c r="K37" s="234">
        <f>SUMIFS('caseload data'!M:M,'caseload data'!$D:$D,"PSO",'caseload data'!$A:$A,'HMIP caseload divisional'!$B$5)</f>
        <v>0</v>
      </c>
      <c r="L37" s="234">
        <f>SUMIFS('caseload data'!N:N,'caseload data'!$D:$D,"PSO",'caseload data'!$A:$A,'HMIP caseload divisional'!$B$5)</f>
        <v>0</v>
      </c>
      <c r="M37" s="234">
        <f>SUMIFS('caseload data'!O:O,'caseload data'!$D:$D,"PSO",'caseload data'!$A:$A,'HMIP caseload divisional'!$B$5)</f>
        <v>0</v>
      </c>
      <c r="N37" s="234">
        <f>SUMIFS('caseload data'!P:P,'caseload data'!$D:$D,"PSO",'caseload data'!$A:$A,'HMIP caseload divisional'!$B$5)</f>
        <v>0</v>
      </c>
      <c r="O37" s="234">
        <f>SUMIFS('caseload data'!Q:Q,'caseload data'!$D:$D,"PSO",'caseload data'!$A:$A,'HMIP caseload divisional'!$B$5)</f>
        <v>0</v>
      </c>
      <c r="P37" s="234">
        <f>SUMIFS('caseload data'!R:R,'caseload data'!$D:$D,"PSO",'caseload data'!$A:$A,'HMIP caseload divisional'!$B$5)</f>
        <v>0</v>
      </c>
      <c r="Q37" s="234">
        <f>SUMIFS('caseload data'!S:S,'caseload data'!$D:$D,"PSO",'caseload data'!$A:$A,'HMIP caseload divisional'!$B$5)</f>
        <v>0</v>
      </c>
      <c r="R37" s="234">
        <f>SUMIFS('caseload data'!T:T,'caseload data'!$D:$D,"PSO",'caseload data'!$A:$A,'HMIP caseload divisional'!$B$5)</f>
        <v>0</v>
      </c>
      <c r="S37" s="234">
        <f>SUMIFS('caseload data'!U:U,'caseload data'!$D:$D,"PSO",'caseload data'!$A:$A,'HMIP caseload divisional'!$B$5)</f>
        <v>0</v>
      </c>
      <c r="T37" s="234">
        <f t="shared" ref="T37:T39" si="5">SUM(C37:S37)</f>
        <v>0</v>
      </c>
    </row>
    <row r="38" spans="2:20" x14ac:dyDescent="0.15">
      <c r="B38" s="363" t="s">
        <v>953</v>
      </c>
      <c r="C38" s="364">
        <f>SUMIFS('caseload data'!E:E,'caseload data'!$D:$D,"TPO",'caseload data'!$A:$A,'HMIP caseload divisional'!$B$5)</f>
        <v>0</v>
      </c>
      <c r="D38" s="234">
        <f>SUMIFS('caseload data'!F:F,'caseload data'!$D:$D,"TPO",'caseload data'!$A:$A,'HMIP caseload divisional'!$B$5)</f>
        <v>0</v>
      </c>
      <c r="E38" s="234">
        <f>SUMIFS('caseload data'!G:G,'caseload data'!$D:$D,"TPO",'caseload data'!$A:$A,'HMIP caseload divisional'!$B$5)</f>
        <v>0</v>
      </c>
      <c r="F38" s="234">
        <f>SUMIFS('caseload data'!H:H,'caseload data'!$D:$D,"TPO",'caseload data'!$A:$A,'HMIP caseload divisional'!$B$5)</f>
        <v>0</v>
      </c>
      <c r="G38" s="234">
        <f>SUMIFS('caseload data'!I:I,'caseload data'!$D:$D,"TPO",'caseload data'!$A:$A,'HMIP caseload divisional'!$B$5)</f>
        <v>0</v>
      </c>
      <c r="H38" s="234">
        <f>SUMIFS('caseload data'!J:J,'caseload data'!$D:$D,"TPO",'caseload data'!$A:$A,'HMIP caseload divisional'!$B$5)</f>
        <v>0</v>
      </c>
      <c r="I38" s="234">
        <f>SUMIFS('caseload data'!K:K,'caseload data'!$D:$D,"TPO",'caseload data'!$A:$A,'HMIP caseload divisional'!$B$5)</f>
        <v>0</v>
      </c>
      <c r="J38" s="234">
        <f>SUMIFS('caseload data'!L:L,'caseload data'!$D:$D,"TPO",'caseload data'!$A:$A,'HMIP caseload divisional'!$B$5)</f>
        <v>0</v>
      </c>
      <c r="K38" s="234">
        <f>SUMIFS('caseload data'!M:M,'caseload data'!$D:$D,"TPO",'caseload data'!$A:$A,'HMIP caseload divisional'!$B$5)</f>
        <v>0</v>
      </c>
      <c r="L38" s="234">
        <f>SUMIFS('caseload data'!N:N,'caseload data'!$D:$D,"TPO",'caseload data'!$A:$A,'HMIP caseload divisional'!$B$5)</f>
        <v>0</v>
      </c>
      <c r="M38" s="234">
        <f>SUMIFS('caseload data'!O:O,'caseload data'!$D:$D,"TPO",'caseload data'!$A:$A,'HMIP caseload divisional'!$B$5)</f>
        <v>0</v>
      </c>
      <c r="N38" s="234">
        <f>SUMIFS('caseload data'!P:P,'caseload data'!$D:$D,"TPO",'caseload data'!$A:$A,'HMIP caseload divisional'!$B$5)</f>
        <v>0</v>
      </c>
      <c r="O38" s="234">
        <f>SUMIFS('caseload data'!Q:Q,'caseload data'!$D:$D,"TPO",'caseload data'!$A:$A,'HMIP caseload divisional'!$B$5)</f>
        <v>0</v>
      </c>
      <c r="P38" s="234">
        <f>SUMIFS('caseload data'!R:R,'caseload data'!$D:$D,"TPO",'caseload data'!$A:$A,'HMIP caseload divisional'!$B$5)</f>
        <v>0</v>
      </c>
      <c r="Q38" s="234">
        <f>SUMIFS('caseload data'!S:S,'caseload data'!$D:$D,"TPO",'caseload data'!$A:$A,'HMIP caseload divisional'!$B$5)</f>
        <v>0</v>
      </c>
      <c r="R38" s="234">
        <f>SUMIFS('caseload data'!T:T,'caseload data'!$D:$D,"TPO",'caseload data'!$A:$A,'HMIP caseload divisional'!$B$5)</f>
        <v>0</v>
      </c>
      <c r="S38" s="234">
        <f>SUMIFS('caseload data'!U:U,'caseload data'!$D:$D,"TPO",'caseload data'!$A:$A,'HMIP caseload divisional'!$B$5)</f>
        <v>0</v>
      </c>
      <c r="T38" s="234">
        <f t="shared" si="5"/>
        <v>0</v>
      </c>
    </row>
    <row r="39" spans="2:20" x14ac:dyDescent="0.15">
      <c r="B39" s="363" t="s">
        <v>954</v>
      </c>
      <c r="C39" s="364">
        <f>SUMIFS('caseload data'!E:E,'caseload data'!$D:$D,"SPO",'caseload data'!$A:$A,$B$5)</f>
        <v>0</v>
      </c>
      <c r="D39" s="234">
        <f>SUMIFS('caseload data'!F:F,'caseload data'!$D:$D,"SPO",'caseload data'!$A:$A,$B$5)</f>
        <v>0</v>
      </c>
      <c r="E39" s="234">
        <f>SUMIFS('caseload data'!G:G,'caseload data'!$D:$D,"SPO",'caseload data'!$A:$A,$B$5)</f>
        <v>0</v>
      </c>
      <c r="F39" s="234">
        <f>SUMIFS('caseload data'!H:H,'caseload data'!$D:$D,"SPO",'caseload data'!$A:$A,$B$5)</f>
        <v>0</v>
      </c>
      <c r="G39" s="234">
        <f>SUMIFS('caseload data'!I:I,'caseload data'!$D:$D,"SPO",'caseload data'!$A:$A,$B$5)</f>
        <v>0</v>
      </c>
      <c r="H39" s="234">
        <f>SUMIFS('caseload data'!J:J,'caseload data'!$D:$D,"SPO",'caseload data'!$A:$A,$B$5)</f>
        <v>0</v>
      </c>
      <c r="I39" s="234">
        <f>SUMIFS('caseload data'!K:K,'caseload data'!$D:$D,"SPO",'caseload data'!$A:$A,$B$5)</f>
        <v>0</v>
      </c>
      <c r="J39" s="234">
        <f>SUMIFS('caseload data'!L:L,'caseload data'!$D:$D,"SPO",'caseload data'!$A:$A,$B$5)</f>
        <v>0</v>
      </c>
      <c r="K39" s="234">
        <f>SUMIFS('caseload data'!M:M,'caseload data'!$D:$D,"SPO",'caseload data'!$A:$A,$B$5)</f>
        <v>0</v>
      </c>
      <c r="L39" s="234">
        <f>SUMIFS('caseload data'!N:N,'caseload data'!$D:$D,"SPO",'caseload data'!$A:$A,$B$5)</f>
        <v>0</v>
      </c>
      <c r="M39" s="234">
        <f>SUMIFS('caseload data'!O:O,'caseload data'!$D:$D,"SPO",'caseload data'!$A:$A,$B$5)</f>
        <v>0</v>
      </c>
      <c r="N39" s="234">
        <f>SUMIFS('caseload data'!P:P,'caseload data'!$D:$D,"SPO",'caseload data'!$A:$A,$B$5)</f>
        <v>0</v>
      </c>
      <c r="O39" s="234">
        <f>SUMIFS('caseload data'!Q:Q,'caseload data'!$D:$D,"SPO",'caseload data'!$A:$A,$B$5)</f>
        <v>0</v>
      </c>
      <c r="P39" s="234">
        <f>SUMIFS('caseload data'!R:R,'caseload data'!$D:$D,"SPO",'caseload data'!$A:$A,$B$5)</f>
        <v>0</v>
      </c>
      <c r="Q39" s="234">
        <f>SUMIFS('caseload data'!S:S,'caseload data'!$D:$D,"SPO",'caseload data'!$A:$A,$B$5)</f>
        <v>0</v>
      </c>
      <c r="R39" s="234">
        <f>SUMIFS('caseload data'!T:T,'caseload data'!$D:$D,"SPO",'caseload data'!$A:$A,$B$5)</f>
        <v>0</v>
      </c>
      <c r="S39" s="234">
        <f>SUMIFS('caseload data'!U:U,'caseload data'!$D:$D,"SPO",'caseload data'!$A:$A,$B$5)</f>
        <v>0</v>
      </c>
      <c r="T39" s="234">
        <f t="shared" si="5"/>
        <v>0</v>
      </c>
    </row>
    <row r="40" spans="2:20" x14ac:dyDescent="0.15">
      <c r="B40" s="144" t="s">
        <v>1286</v>
      </c>
      <c r="C40" s="364">
        <f>SUMIFS('caseload data'!E:E,'caseload data'!$D:$D,"DMY",'caseload data'!$A:$A,'HMIP caseload divisional'!$B$5)</f>
        <v>0</v>
      </c>
      <c r="D40" s="234">
        <f>SUMIFS('caseload data'!F:F,'caseload data'!$D:$D,"DMY",'caseload data'!$A:$A,'HMIP caseload divisional'!$B$5)</f>
        <v>0</v>
      </c>
      <c r="E40" s="234">
        <f>SUMIFS('caseload data'!G:G,'caseload data'!$D:$D,"DMY",'caseload data'!$A:$A,'HMIP caseload divisional'!$B$5)</f>
        <v>0</v>
      </c>
      <c r="F40" s="234">
        <f>SUMIFS('caseload data'!H:H,'caseload data'!$D:$D,"DMY",'caseload data'!$A:$A,'HMIP caseload divisional'!$B$5)</f>
        <v>0</v>
      </c>
      <c r="G40" s="234">
        <f>SUMIFS('caseload data'!I:I,'caseload data'!$D:$D,"DMY",'caseload data'!$A:$A,'HMIP caseload divisional'!$B$5)</f>
        <v>0</v>
      </c>
      <c r="H40" s="234">
        <f>SUMIFS('caseload data'!J:J,'caseload data'!$D:$D,"DMY",'caseload data'!$A:$A,'HMIP caseload divisional'!$B$5)</f>
        <v>0</v>
      </c>
      <c r="I40" s="234">
        <f>SUMIFS('caseload data'!K:K,'caseload data'!$D:$D,"DMY",'caseload data'!$A:$A,'HMIP caseload divisional'!$B$5)</f>
        <v>0</v>
      </c>
      <c r="J40" s="234">
        <f>SUMIFS('caseload data'!L:L,'caseload data'!$D:$D,"DMY",'caseload data'!$A:$A,'HMIP caseload divisional'!$B$5)</f>
        <v>0</v>
      </c>
      <c r="K40" s="234">
        <f>SUMIFS('caseload data'!M:M,'caseload data'!$D:$D,"DMY",'caseload data'!$A:$A,'HMIP caseload divisional'!$B$5)</f>
        <v>0</v>
      </c>
      <c r="L40" s="234">
        <f>SUMIFS('caseload data'!N:N,'caseload data'!$D:$D,"DMY",'caseload data'!$A:$A,'HMIP caseload divisional'!$B$5)</f>
        <v>0</v>
      </c>
      <c r="M40" s="234">
        <f>SUMIFS('caseload data'!O:O,'caseload data'!$D:$D,"DMY",'caseload data'!$A:$A,'HMIP caseload divisional'!$B$5)</f>
        <v>0</v>
      </c>
      <c r="N40" s="234">
        <f>SUMIFS('caseload data'!P:P,'caseload data'!$D:$D,"DMY",'caseload data'!$A:$A,'HMIP caseload divisional'!$B$5)</f>
        <v>0</v>
      </c>
      <c r="O40" s="234">
        <f>SUMIFS('caseload data'!Q:Q,'caseload data'!$D:$D,"DMY",'caseload data'!$A:$A,'HMIP caseload divisional'!$B$5)</f>
        <v>0</v>
      </c>
      <c r="P40" s="234">
        <f>SUMIFS('caseload data'!R:R,'caseload data'!$D:$D,"DMY",'caseload data'!$A:$A,'HMIP caseload divisional'!$B$5)</f>
        <v>0</v>
      </c>
      <c r="Q40" s="234">
        <f>SUMIFS('caseload data'!S:S,'caseload data'!$D:$D,"DMY",'caseload data'!$A:$A,'HMIP caseload divisional'!$B$5)</f>
        <v>0</v>
      </c>
      <c r="R40" s="234">
        <f>SUMIFS('caseload data'!T:T,'caseload data'!$D:$D,"DMY",'caseload data'!$A:$A,'HMIP caseload divisional'!$B$5)</f>
        <v>0</v>
      </c>
      <c r="S40" s="234">
        <f>SUMIFS('caseload data'!U:U,'caseload data'!$D:$D,"DMY",'caseload data'!$A:$A,'HMIP caseload divisional'!$B$5)</f>
        <v>0</v>
      </c>
      <c r="T40" s="234">
        <f t="shared" ref="T40" si="6">SUM(C40:S40)</f>
        <v>0</v>
      </c>
    </row>
    <row r="41" spans="2:20" x14ac:dyDescent="0.15">
      <c r="B41" s="424" t="s">
        <v>909</v>
      </c>
      <c r="C41" s="425">
        <f>SUM(C36:C40)</f>
        <v>0</v>
      </c>
      <c r="D41" s="425">
        <f t="shared" ref="D41:S41" si="7">SUM(D36:D40)</f>
        <v>0</v>
      </c>
      <c r="E41" s="425">
        <f t="shared" si="7"/>
        <v>0</v>
      </c>
      <c r="F41" s="425">
        <f t="shared" si="7"/>
        <v>0</v>
      </c>
      <c r="G41" s="425">
        <f t="shared" si="7"/>
        <v>0</v>
      </c>
      <c r="H41" s="425">
        <f t="shared" si="7"/>
        <v>0</v>
      </c>
      <c r="I41" s="425">
        <f t="shared" si="7"/>
        <v>0</v>
      </c>
      <c r="J41" s="425">
        <f t="shared" si="7"/>
        <v>0</v>
      </c>
      <c r="K41" s="425">
        <f t="shared" si="7"/>
        <v>0</v>
      </c>
      <c r="L41" s="425">
        <f t="shared" si="7"/>
        <v>0</v>
      </c>
      <c r="M41" s="425">
        <f t="shared" si="7"/>
        <v>0</v>
      </c>
      <c r="N41" s="425">
        <f t="shared" si="7"/>
        <v>0</v>
      </c>
      <c r="O41" s="425">
        <f t="shared" si="7"/>
        <v>0</v>
      </c>
      <c r="P41" s="425">
        <f t="shared" si="7"/>
        <v>0</v>
      </c>
      <c r="Q41" s="425">
        <f t="shared" si="7"/>
        <v>0</v>
      </c>
      <c r="R41" s="425">
        <f t="shared" si="7"/>
        <v>0</v>
      </c>
      <c r="S41" s="425">
        <f t="shared" si="7"/>
        <v>0</v>
      </c>
      <c r="T41" s="425">
        <f>SUM(T36:T40)</f>
        <v>0</v>
      </c>
    </row>
    <row r="42" spans="2:20" x14ac:dyDescent="0.15">
      <c r="B42" s="171"/>
      <c r="C42" s="237"/>
      <c r="D42" s="237"/>
      <c r="E42" s="237"/>
      <c r="F42" s="237"/>
      <c r="G42" s="237"/>
      <c r="H42" s="237"/>
      <c r="I42" s="237"/>
      <c r="J42" s="237"/>
      <c r="K42" s="237"/>
      <c r="L42" s="237"/>
      <c r="M42" s="237"/>
      <c r="N42" s="237"/>
      <c r="O42" s="237"/>
      <c r="P42" s="237"/>
      <c r="Q42" s="237"/>
      <c r="R42" s="237"/>
      <c r="S42" s="237"/>
      <c r="T42" s="64"/>
    </row>
    <row r="43" spans="2:20" ht="29.25" customHeight="1" x14ac:dyDescent="0.15">
      <c r="B43" s="365" t="str">
        <f>B5</f>
        <v>Yorkshire and The Humber</v>
      </c>
      <c r="C43" s="461" t="s">
        <v>976</v>
      </c>
      <c r="D43" s="462"/>
      <c r="E43" s="462"/>
      <c r="F43" s="462"/>
      <c r="G43" s="462"/>
      <c r="H43" s="462"/>
      <c r="I43" s="462"/>
      <c r="J43" s="462"/>
      <c r="K43" s="462"/>
      <c r="L43" s="462"/>
      <c r="M43" s="462"/>
      <c r="N43" s="462"/>
      <c r="O43" s="462"/>
      <c r="P43" s="462"/>
      <c r="Q43" s="462"/>
      <c r="R43" s="462"/>
      <c r="S43" s="462"/>
      <c r="T43" s="462"/>
    </row>
    <row r="44" spans="2:20" x14ac:dyDescent="0.15">
      <c r="B44" s="366" t="s">
        <v>951</v>
      </c>
      <c r="C44" s="287" t="s">
        <v>814</v>
      </c>
      <c r="D44" s="287" t="s">
        <v>815</v>
      </c>
      <c r="E44" s="287" t="s">
        <v>816</v>
      </c>
      <c r="F44" s="287" t="s">
        <v>817</v>
      </c>
      <c r="G44" s="287" t="s">
        <v>818</v>
      </c>
      <c r="H44" s="287" t="s">
        <v>819</v>
      </c>
      <c r="I44" s="287" t="s">
        <v>820</v>
      </c>
      <c r="J44" s="287" t="s">
        <v>821</v>
      </c>
      <c r="K44" s="287" t="s">
        <v>822</v>
      </c>
      <c r="L44" s="287" t="s">
        <v>823</v>
      </c>
      <c r="M44" s="287" t="s">
        <v>824</v>
      </c>
      <c r="N44" s="287" t="s">
        <v>825</v>
      </c>
      <c r="O44" s="287" t="s">
        <v>826</v>
      </c>
      <c r="P44" s="287" t="s">
        <v>827</v>
      </c>
      <c r="Q44" s="287" t="s">
        <v>828</v>
      </c>
      <c r="R44" s="287" t="s">
        <v>829</v>
      </c>
      <c r="S44" s="287" t="s">
        <v>975</v>
      </c>
      <c r="T44" s="287" t="s">
        <v>909</v>
      </c>
    </row>
    <row r="45" spans="2:20" x14ac:dyDescent="0.15">
      <c r="B45" s="363" t="s">
        <v>947</v>
      </c>
      <c r="C45" s="364">
        <f>SUMIFS('caseload data'!E:E,'caseload data'!$D:$D,"PO",'caseload data'!$A:$A,'HMIP caseload divisional'!$B$5, 'caseload data'!$B:$B, "community")</f>
        <v>0</v>
      </c>
      <c r="D45" s="234">
        <f>SUMIFS('caseload data'!F:F,'caseload data'!$D:$D,"PO",'caseload data'!$A:$A,'HMIP caseload divisional'!$B$5, 'caseload data'!$B:$B, "community")</f>
        <v>0</v>
      </c>
      <c r="E45" s="234">
        <f>SUMIFS('caseload data'!G:G,'caseload data'!$D:$D,"PO",'caseload data'!$A:$A,'HMIP caseload divisional'!$B$5, 'caseload data'!$B:$B, "community")</f>
        <v>0</v>
      </c>
      <c r="F45" s="234">
        <f>SUMIFS('caseload data'!H:H,'caseload data'!$D:$D,"PO",'caseload data'!$A:$A,'HMIP caseload divisional'!$B$5, 'caseload data'!$B:$B, "community")</f>
        <v>0</v>
      </c>
      <c r="G45" s="234">
        <f>SUMIFS('caseload data'!I:I,'caseload data'!$D:$D,"PO",'caseload data'!$A:$A,'HMIP caseload divisional'!$B$5, 'caseload data'!$B:$B, "community")</f>
        <v>0</v>
      </c>
      <c r="H45" s="234">
        <f>SUMIFS('caseload data'!J:J,'caseload data'!$D:$D,"PO",'caseload data'!$A:$A,'HMIP caseload divisional'!$B$5, 'caseload data'!$B:$B, "community")</f>
        <v>0</v>
      </c>
      <c r="I45" s="234">
        <f>SUMIFS('caseload data'!K:K,'caseload data'!$D:$D,"PO",'caseload data'!$A:$A,'HMIP caseload divisional'!$B$5, 'caseload data'!$B:$B, "community")</f>
        <v>0</v>
      </c>
      <c r="J45" s="234">
        <f>SUMIFS('caseload data'!L:L,'caseload data'!$D:$D,"PO",'caseload data'!$A:$A,'HMIP caseload divisional'!$B$5, 'caseload data'!$B:$B, "community")</f>
        <v>0</v>
      </c>
      <c r="K45" s="234">
        <f>SUMIFS('caseload data'!M:M,'caseload data'!$D:$D,"PO",'caseload data'!$A:$A,'HMIP caseload divisional'!$B$5, 'caseload data'!$B:$B, "community")</f>
        <v>0</v>
      </c>
      <c r="L45" s="234">
        <f>SUMIFS('caseload data'!N:N,'caseload data'!$D:$D,"PO",'caseload data'!$A:$A,'HMIP caseload divisional'!$B$5, 'caseload data'!$B:$B, "community")</f>
        <v>0</v>
      </c>
      <c r="M45" s="234">
        <f>SUMIFS('caseload data'!O:O,'caseload data'!$D:$D,"PO",'caseload data'!$A:$A,'HMIP caseload divisional'!$B$5, 'caseload data'!$B:$B, "community")</f>
        <v>0</v>
      </c>
      <c r="N45" s="234">
        <f>SUMIFS('caseload data'!P:P,'caseload data'!$D:$D,"PO",'caseload data'!$A:$A,'HMIP caseload divisional'!$B$5, 'caseload data'!$B:$B, "community")</f>
        <v>0</v>
      </c>
      <c r="O45" s="234">
        <f>SUMIFS('caseload data'!Q:Q,'caseload data'!$D:$D,"PO",'caseload data'!$A:$A,'HMIP caseload divisional'!$B$5, 'caseload data'!$B:$B, "community")</f>
        <v>0</v>
      </c>
      <c r="P45" s="234">
        <f>SUMIFS('caseload data'!R:R,'caseload data'!$D:$D,"PO",'caseload data'!$A:$A,'HMIP caseload divisional'!$B$5, 'caseload data'!$B:$B, "community")</f>
        <v>0</v>
      </c>
      <c r="Q45" s="234">
        <f>SUMIFS('caseload data'!S:S,'caseload data'!$D:$D,"PO",'caseload data'!$A:$A,'HMIP caseload divisional'!$B$5, 'caseload data'!$B:$B, "community")</f>
        <v>0</v>
      </c>
      <c r="R45" s="234">
        <f>SUMIFS('caseload data'!T:T,'caseload data'!$D:$D,"PO",'caseload data'!$A:$A,'HMIP caseload divisional'!$B$5, 'caseload data'!$B:$B, "community")</f>
        <v>0</v>
      </c>
      <c r="S45" s="234">
        <f>SUMIFS('caseload data'!U:U,'caseload data'!$D:$D,"PO",'caseload data'!$A:$A,'HMIP caseload divisional'!$B$5, 'caseload data'!$B:$B, "community")</f>
        <v>0</v>
      </c>
      <c r="T45" s="234">
        <f>SUM(C45:S45)</f>
        <v>0</v>
      </c>
    </row>
    <row r="46" spans="2:20" x14ac:dyDescent="0.15">
      <c r="B46" s="363" t="s">
        <v>952</v>
      </c>
      <c r="C46" s="364">
        <f>SUMIFS('caseload data'!E:E,'caseload data'!$D:$D,"PSO",'caseload data'!$A:$A,'HMIP caseload divisional'!$B$5, 'caseload data'!$B:$B, "community")</f>
        <v>0</v>
      </c>
      <c r="D46" s="234">
        <f>SUMIFS('caseload data'!F:F,'caseload data'!$D:$D,"PSO",'caseload data'!$A:$A,'HMIP caseload divisional'!$B$5, 'caseload data'!$B:$B, "community")</f>
        <v>0</v>
      </c>
      <c r="E46" s="234">
        <f>SUMIFS('caseload data'!G:G,'caseload data'!$D:$D,"PSO",'caseload data'!$A:$A,'HMIP caseload divisional'!$B$5, 'caseload data'!$B:$B, "community")</f>
        <v>0</v>
      </c>
      <c r="F46" s="234">
        <f>SUMIFS('caseload data'!H:H,'caseload data'!$D:$D,"PSO",'caseload data'!$A:$A,'HMIP caseload divisional'!$B$5, 'caseload data'!$B:$B, "community")</f>
        <v>0</v>
      </c>
      <c r="G46" s="234">
        <f>SUMIFS('caseload data'!I:I,'caseload data'!$D:$D,"PSO",'caseload data'!$A:$A,'HMIP caseload divisional'!$B$5, 'caseload data'!$B:$B, "community")</f>
        <v>0</v>
      </c>
      <c r="H46" s="234">
        <f>SUMIFS('caseload data'!J:J,'caseload data'!$D:$D,"PSO",'caseload data'!$A:$A,'HMIP caseload divisional'!$B$5, 'caseload data'!$B:$B, "community")</f>
        <v>0</v>
      </c>
      <c r="I46" s="234">
        <f>SUMIFS('caseload data'!K:K,'caseload data'!$D:$D,"PSO",'caseload data'!$A:$A,'HMIP caseload divisional'!$B$5, 'caseload data'!$B:$B, "community")</f>
        <v>0</v>
      </c>
      <c r="J46" s="234">
        <f>SUMIFS('caseload data'!L:L,'caseload data'!$D:$D,"PSO",'caseload data'!$A:$A,'HMIP caseload divisional'!$B$5, 'caseload data'!$B:$B, "community")</f>
        <v>0</v>
      </c>
      <c r="K46" s="234">
        <f>SUMIFS('caseload data'!M:M,'caseload data'!$D:$D,"PSO",'caseload data'!$A:$A,'HMIP caseload divisional'!$B$5, 'caseload data'!$B:$B, "community")</f>
        <v>0</v>
      </c>
      <c r="L46" s="234">
        <f>SUMIFS('caseload data'!N:N,'caseload data'!$D:$D,"PSO",'caseload data'!$A:$A,'HMIP caseload divisional'!$B$5, 'caseload data'!$B:$B, "community")</f>
        <v>0</v>
      </c>
      <c r="M46" s="234">
        <f>SUMIFS('caseload data'!O:O,'caseload data'!$D:$D,"PSO",'caseload data'!$A:$A,'HMIP caseload divisional'!$B$5, 'caseload data'!$B:$B, "community")</f>
        <v>0</v>
      </c>
      <c r="N46" s="234">
        <f>SUMIFS('caseload data'!P:P,'caseload data'!$D:$D,"PSO",'caseload data'!$A:$A,'HMIP caseload divisional'!$B$5, 'caseload data'!$B:$B, "community")</f>
        <v>0</v>
      </c>
      <c r="O46" s="234">
        <f>SUMIFS('caseload data'!Q:Q,'caseload data'!$D:$D,"PSO",'caseload data'!$A:$A,'HMIP caseload divisional'!$B$5, 'caseload data'!$B:$B, "community")</f>
        <v>0</v>
      </c>
      <c r="P46" s="234">
        <f>SUMIFS('caseload data'!R:R,'caseload data'!$D:$D,"PSO",'caseload data'!$A:$A,'HMIP caseload divisional'!$B$5, 'caseload data'!$B:$B, "community")</f>
        <v>0</v>
      </c>
      <c r="Q46" s="234">
        <f>SUMIFS('caseload data'!S:S,'caseload data'!$D:$D,"PSO",'caseload data'!$A:$A,'HMIP caseload divisional'!$B$5, 'caseload data'!$B:$B, "community")</f>
        <v>0</v>
      </c>
      <c r="R46" s="234">
        <f>SUMIFS('caseload data'!T:T,'caseload data'!$D:$D,"PSO",'caseload data'!$A:$A,'HMIP caseload divisional'!$B$5, 'caseload data'!$B:$B, "community")</f>
        <v>0</v>
      </c>
      <c r="S46" s="234">
        <f>SUMIFS('caseload data'!U:U,'caseload data'!$D:$D,"PSO",'caseload data'!$A:$A,'HMIP caseload divisional'!$B$5, 'caseload data'!$B:$B, "community")</f>
        <v>0</v>
      </c>
      <c r="T46" s="234">
        <f t="shared" ref="T46:T48" si="8">SUM(C46:S46)</f>
        <v>0</v>
      </c>
    </row>
    <row r="47" spans="2:20" x14ac:dyDescent="0.15">
      <c r="B47" s="363" t="s">
        <v>953</v>
      </c>
      <c r="C47" s="364">
        <f>SUMIFS('caseload data'!E:E,'caseload data'!$D:$D,"TPO",'caseload data'!$A:$A,'HMIP caseload divisional'!$B$5, 'caseload data'!$B:$B, "community")</f>
        <v>0</v>
      </c>
      <c r="D47" s="234">
        <f>SUMIFS('caseload data'!F:F,'caseload data'!$D:$D,"TPO",'caseload data'!$A:$A,'HMIP caseload divisional'!$B$5, 'caseload data'!$B:$B, "community")</f>
        <v>0</v>
      </c>
      <c r="E47" s="234">
        <f>SUMIFS('caseload data'!G:G,'caseload data'!$D:$D,"TPO",'caseload data'!$A:$A,'HMIP caseload divisional'!$B$5, 'caseload data'!$B:$B, "community")</f>
        <v>0</v>
      </c>
      <c r="F47" s="234">
        <f>SUMIFS('caseload data'!H:H,'caseload data'!$D:$D,"TPO",'caseload data'!$A:$A,'HMIP caseload divisional'!$B$5, 'caseload data'!$B:$B, "community")</f>
        <v>0</v>
      </c>
      <c r="G47" s="234">
        <f>SUMIFS('caseload data'!I:I,'caseload data'!$D:$D,"TPO",'caseload data'!$A:$A,'HMIP caseload divisional'!$B$5, 'caseload data'!$B:$B, "community")</f>
        <v>0</v>
      </c>
      <c r="H47" s="234">
        <f>SUMIFS('caseload data'!J:J,'caseload data'!$D:$D,"TPO",'caseload data'!$A:$A,'HMIP caseload divisional'!$B$5, 'caseload data'!$B:$B, "community")</f>
        <v>0</v>
      </c>
      <c r="I47" s="234">
        <f>SUMIFS('caseload data'!K:K,'caseload data'!$D:$D,"TPO",'caseload data'!$A:$A,'HMIP caseload divisional'!$B$5, 'caseload data'!$B:$B, "community")</f>
        <v>0</v>
      </c>
      <c r="J47" s="234">
        <f>SUMIFS('caseload data'!L:L,'caseload data'!$D:$D,"TPO",'caseload data'!$A:$A,'HMIP caseload divisional'!$B$5, 'caseload data'!$B:$B, "community")</f>
        <v>0</v>
      </c>
      <c r="K47" s="234">
        <f>SUMIFS('caseload data'!M:M,'caseload data'!$D:$D,"TPO",'caseload data'!$A:$A,'HMIP caseload divisional'!$B$5, 'caseload data'!$B:$B, "community")</f>
        <v>0</v>
      </c>
      <c r="L47" s="234">
        <f>SUMIFS('caseload data'!N:N,'caseload data'!$D:$D,"TPO",'caseload data'!$A:$A,'HMIP caseload divisional'!$B$5, 'caseload data'!$B:$B, "community")</f>
        <v>0</v>
      </c>
      <c r="M47" s="234">
        <f>SUMIFS('caseload data'!O:O,'caseload data'!$D:$D,"TPO",'caseload data'!$A:$A,'HMIP caseload divisional'!$B$5, 'caseload data'!$B:$B, "community")</f>
        <v>0</v>
      </c>
      <c r="N47" s="234">
        <f>SUMIFS('caseload data'!P:P,'caseload data'!$D:$D,"TPO",'caseload data'!$A:$A,'HMIP caseload divisional'!$B$5, 'caseload data'!$B:$B, "community")</f>
        <v>0</v>
      </c>
      <c r="O47" s="234">
        <f>SUMIFS('caseload data'!Q:Q,'caseload data'!$D:$D,"TPO",'caseload data'!$A:$A,'HMIP caseload divisional'!$B$5, 'caseload data'!$B:$B, "community")</f>
        <v>0</v>
      </c>
      <c r="P47" s="234">
        <f>SUMIFS('caseload data'!R:R,'caseload data'!$D:$D,"TPO",'caseload data'!$A:$A,'HMIP caseload divisional'!$B$5, 'caseload data'!$B:$B, "community")</f>
        <v>0</v>
      </c>
      <c r="Q47" s="234">
        <f>SUMIFS('caseload data'!S:S,'caseload data'!$D:$D,"TPO",'caseload data'!$A:$A,'HMIP caseload divisional'!$B$5, 'caseload data'!$B:$B, "community")</f>
        <v>0</v>
      </c>
      <c r="R47" s="234">
        <f>SUMIFS('caseload data'!T:T,'caseload data'!$D:$D,"TPO",'caseload data'!$A:$A,'HMIP caseload divisional'!$B$5, 'caseload data'!$B:$B, "community")</f>
        <v>0</v>
      </c>
      <c r="S47" s="234">
        <f>SUMIFS('caseload data'!U:U,'caseload data'!$D:$D,"TPO",'caseload data'!$A:$A,'HMIP caseload divisional'!$B$5, 'caseload data'!$B:$B, "community")</f>
        <v>0</v>
      </c>
      <c r="T47" s="234">
        <f t="shared" si="8"/>
        <v>0</v>
      </c>
    </row>
    <row r="48" spans="2:20" x14ac:dyDescent="0.15">
      <c r="B48" s="363" t="s">
        <v>954</v>
      </c>
      <c r="C48" s="364">
        <f>SUMIFS('caseload data'!E:E,'caseload data'!$D:$D,"SPO",'caseload data'!$A:$A,$B$5, 'caseload data'!$B:$B, "community")</f>
        <v>0</v>
      </c>
      <c r="D48" s="234">
        <f>SUMIFS('caseload data'!F:F,'caseload data'!$D:$D,"SPO",'caseload data'!$A:$A,$B$5, 'caseload data'!$B:$B, "community")</f>
        <v>0</v>
      </c>
      <c r="E48" s="234">
        <f>SUMIFS('caseload data'!G:G,'caseload data'!$D:$D,"SPO",'caseload data'!$A:$A,$B$5, 'caseload data'!$B:$B, "community")</f>
        <v>0</v>
      </c>
      <c r="F48" s="234">
        <f>SUMIFS('caseload data'!H:H,'caseload data'!$D:$D,"SPO",'caseload data'!$A:$A,$B$5, 'caseload data'!$B:$B, "community")</f>
        <v>0</v>
      </c>
      <c r="G48" s="234">
        <f>SUMIFS('caseload data'!I:I,'caseload data'!$D:$D,"SPO",'caseload data'!$A:$A,$B$5, 'caseload data'!$B:$B, "community")</f>
        <v>0</v>
      </c>
      <c r="H48" s="234">
        <f>SUMIFS('caseload data'!J:J,'caseload data'!$D:$D,"SPO",'caseload data'!$A:$A,$B$5, 'caseload data'!$B:$B, "community")</f>
        <v>0</v>
      </c>
      <c r="I48" s="234">
        <f>SUMIFS('caseload data'!K:K,'caseload data'!$D:$D,"SPO",'caseload data'!$A:$A,$B$5, 'caseload data'!$B:$B, "community")</f>
        <v>0</v>
      </c>
      <c r="J48" s="234">
        <f>SUMIFS('caseload data'!L:L,'caseload data'!$D:$D,"SPO",'caseload data'!$A:$A,$B$5, 'caseload data'!$B:$B, "community")</f>
        <v>0</v>
      </c>
      <c r="K48" s="234">
        <f>SUMIFS('caseload data'!M:M,'caseload data'!$D:$D,"SPO",'caseload data'!$A:$A,$B$5, 'caseload data'!$B:$B, "community")</f>
        <v>0</v>
      </c>
      <c r="L48" s="234">
        <f>SUMIFS('caseload data'!N:N,'caseload data'!$D:$D,"SPO",'caseload data'!$A:$A,$B$5, 'caseload data'!$B:$B, "community")</f>
        <v>0</v>
      </c>
      <c r="M48" s="234">
        <f>SUMIFS('caseload data'!O:O,'caseload data'!$D:$D,"SPO",'caseload data'!$A:$A,$B$5, 'caseload data'!$B:$B, "community")</f>
        <v>0</v>
      </c>
      <c r="N48" s="234">
        <f>SUMIFS('caseload data'!P:P,'caseload data'!$D:$D,"SPO",'caseload data'!$A:$A,$B$5, 'caseload data'!$B:$B, "community")</f>
        <v>0</v>
      </c>
      <c r="O48" s="234">
        <f>SUMIFS('caseload data'!Q:Q,'caseload data'!$D:$D,"SPO",'caseload data'!$A:$A,$B$5, 'caseload data'!$B:$B, "community")</f>
        <v>0</v>
      </c>
      <c r="P48" s="234">
        <f>SUMIFS('caseload data'!R:R,'caseload data'!$D:$D,"SPO",'caseload data'!$A:$A,$B$5, 'caseload data'!$B:$B, "community")</f>
        <v>0</v>
      </c>
      <c r="Q48" s="234">
        <f>SUMIFS('caseload data'!S:S,'caseload data'!$D:$D,"SPO",'caseload data'!$A:$A,$B$5, 'caseload data'!$B:$B, "community")</f>
        <v>0</v>
      </c>
      <c r="R48" s="234">
        <f>SUMIFS('caseload data'!T:T,'caseload data'!$D:$D,"SPO",'caseload data'!$A:$A,$B$5, 'caseload data'!$B:$B, "community")</f>
        <v>0</v>
      </c>
      <c r="S48" s="234">
        <f>SUMIFS('caseload data'!U:U,'caseload data'!$D:$D,"SPO",'caseload data'!$A:$A,$B$5, 'caseload data'!$B:$B, "community")</f>
        <v>0</v>
      </c>
      <c r="T48" s="234">
        <f t="shared" si="8"/>
        <v>0</v>
      </c>
    </row>
    <row r="49" spans="2:20" x14ac:dyDescent="0.15">
      <c r="B49" s="144" t="s">
        <v>1286</v>
      </c>
      <c r="C49" s="364">
        <f>SUMIFS('caseload data'!E:E,'caseload data'!$D:$D,"DMY",'caseload data'!$A:$A,'HMIP caseload divisional'!$B$5, 'caseload data'!$B:$B, "community")</f>
        <v>0</v>
      </c>
      <c r="D49" s="234">
        <f>SUMIFS('caseload data'!F:F,'caseload data'!$D:$D,"DMY",'caseload data'!$A:$A,'HMIP caseload divisional'!$B$5, 'caseload data'!$B:$B, "community")</f>
        <v>0</v>
      </c>
      <c r="E49" s="234">
        <f>SUMIFS('caseload data'!G:G,'caseload data'!$D:$D,"DMY",'caseload data'!$A:$A,'HMIP caseload divisional'!$B$5, 'caseload data'!$B:$B, "community")</f>
        <v>0</v>
      </c>
      <c r="F49" s="234">
        <f>SUMIFS('caseload data'!H:H,'caseload data'!$D:$D,"DMY",'caseload data'!$A:$A,'HMIP caseload divisional'!$B$5, 'caseload data'!$B:$B, "community")</f>
        <v>0</v>
      </c>
      <c r="G49" s="234">
        <f>SUMIFS('caseload data'!I:I,'caseload data'!$D:$D,"DMY",'caseload data'!$A:$A,'HMIP caseload divisional'!$B$5, 'caseload data'!$B:$B, "community")</f>
        <v>0</v>
      </c>
      <c r="H49" s="234">
        <f>SUMIFS('caseload data'!J:J,'caseload data'!$D:$D,"DMY",'caseload data'!$A:$A,'HMIP caseload divisional'!$B$5, 'caseload data'!$B:$B, "community")</f>
        <v>0</v>
      </c>
      <c r="I49" s="234">
        <f>SUMIFS('caseload data'!K:K,'caseload data'!$D:$D,"DMY",'caseload data'!$A:$A,'HMIP caseload divisional'!$B$5, 'caseload data'!$B:$B, "community")</f>
        <v>0</v>
      </c>
      <c r="J49" s="234">
        <f>SUMIFS('caseload data'!L:L,'caseload data'!$D:$D,"DMY",'caseload data'!$A:$A,'HMIP caseload divisional'!$B$5, 'caseload data'!$B:$B, "community")</f>
        <v>0</v>
      </c>
      <c r="K49" s="234">
        <f>SUMIFS('caseload data'!M:M,'caseload data'!$D:$D,"DMY",'caseload data'!$A:$A,'HMIP caseload divisional'!$B$5, 'caseload data'!$B:$B, "community")</f>
        <v>0</v>
      </c>
      <c r="L49" s="234">
        <f>SUMIFS('caseload data'!N:N,'caseload data'!$D:$D,"DMY",'caseload data'!$A:$A,'HMIP caseload divisional'!$B$5, 'caseload data'!$B:$B, "community")</f>
        <v>0</v>
      </c>
      <c r="M49" s="234">
        <f>SUMIFS('caseload data'!O:O,'caseload data'!$D:$D,"DMY",'caseload data'!$A:$A,'HMIP caseload divisional'!$B$5, 'caseload data'!$B:$B, "community")</f>
        <v>0</v>
      </c>
      <c r="N49" s="234">
        <f>SUMIFS('caseload data'!P:P,'caseload data'!$D:$D,"DMY",'caseload data'!$A:$A,'HMIP caseload divisional'!$B$5, 'caseload data'!$B:$B, "community")</f>
        <v>0</v>
      </c>
      <c r="O49" s="234">
        <f>SUMIFS('caseload data'!Q:Q,'caseload data'!$D:$D,"DMY",'caseload data'!$A:$A,'HMIP caseload divisional'!$B$5, 'caseload data'!$B:$B, "community")</f>
        <v>0</v>
      </c>
      <c r="P49" s="234">
        <f>SUMIFS('caseload data'!R:R,'caseload data'!$D:$D,"DMY",'caseload data'!$A:$A,'HMIP caseload divisional'!$B$5, 'caseload data'!$B:$B, "community")</f>
        <v>0</v>
      </c>
      <c r="Q49" s="234">
        <f>SUMIFS('caseload data'!S:S,'caseload data'!$D:$D,"DMY",'caseload data'!$A:$A,'HMIP caseload divisional'!$B$5, 'caseload data'!$B:$B, "community")</f>
        <v>0</v>
      </c>
      <c r="R49" s="234">
        <f>SUMIFS('caseload data'!T:T,'caseload data'!$D:$D,"DMY",'caseload data'!$A:$A,'HMIP caseload divisional'!$B$5, 'caseload data'!$B:$B, "community")</f>
        <v>0</v>
      </c>
      <c r="S49" s="234">
        <f>SUMIFS('caseload data'!U:U,'caseload data'!$D:$D,"DMY",'caseload data'!$A:$A,'HMIP caseload divisional'!$B$5, 'caseload data'!$B:$B, "community")</f>
        <v>0</v>
      </c>
      <c r="T49" s="234">
        <f t="shared" ref="T49" si="9">SUM(C49:S49)</f>
        <v>0</v>
      </c>
    </row>
    <row r="50" spans="2:20" x14ac:dyDescent="0.15">
      <c r="B50" s="424" t="s">
        <v>909</v>
      </c>
      <c r="C50" s="425">
        <f>SUM(C45:C49)</f>
        <v>0</v>
      </c>
      <c r="D50" s="425">
        <f t="shared" ref="D50:S50" si="10">SUM(D45:D49)</f>
        <v>0</v>
      </c>
      <c r="E50" s="425">
        <f t="shared" si="10"/>
        <v>0</v>
      </c>
      <c r="F50" s="425">
        <f t="shared" si="10"/>
        <v>0</v>
      </c>
      <c r="G50" s="425">
        <f t="shared" si="10"/>
        <v>0</v>
      </c>
      <c r="H50" s="425">
        <f t="shared" si="10"/>
        <v>0</v>
      </c>
      <c r="I50" s="425">
        <f t="shared" si="10"/>
        <v>0</v>
      </c>
      <c r="J50" s="425">
        <f t="shared" si="10"/>
        <v>0</v>
      </c>
      <c r="K50" s="425">
        <f t="shared" si="10"/>
        <v>0</v>
      </c>
      <c r="L50" s="425">
        <f t="shared" si="10"/>
        <v>0</v>
      </c>
      <c r="M50" s="425">
        <f t="shared" si="10"/>
        <v>0</v>
      </c>
      <c r="N50" s="425">
        <f t="shared" si="10"/>
        <v>0</v>
      </c>
      <c r="O50" s="425">
        <f t="shared" si="10"/>
        <v>0</v>
      </c>
      <c r="P50" s="425">
        <f t="shared" si="10"/>
        <v>0</v>
      </c>
      <c r="Q50" s="425">
        <f t="shared" si="10"/>
        <v>0</v>
      </c>
      <c r="R50" s="425">
        <f t="shared" si="10"/>
        <v>0</v>
      </c>
      <c r="S50" s="425">
        <f t="shared" si="10"/>
        <v>0</v>
      </c>
      <c r="T50" s="425">
        <f>SUM(T45:T49)</f>
        <v>0</v>
      </c>
    </row>
    <row r="51" spans="2:20" x14ac:dyDescent="0.15">
      <c r="B51" s="171"/>
      <c r="C51" s="237"/>
      <c r="D51" s="237"/>
      <c r="E51" s="237"/>
      <c r="F51" s="237"/>
      <c r="G51" s="237"/>
      <c r="H51" s="237"/>
      <c r="I51" s="237"/>
      <c r="J51" s="237"/>
      <c r="K51" s="237"/>
      <c r="L51" s="237"/>
      <c r="M51" s="237"/>
      <c r="N51" s="237"/>
      <c r="O51" s="237"/>
      <c r="P51" s="237"/>
      <c r="Q51" s="237"/>
      <c r="R51" s="237"/>
      <c r="S51" s="237"/>
      <c r="T51" s="64"/>
    </row>
    <row r="52" spans="2:20" ht="27.75" customHeight="1" x14ac:dyDescent="0.15">
      <c r="B52" s="297" t="str">
        <f>B5</f>
        <v>Yorkshire and The Humber</v>
      </c>
      <c r="C52" s="461" t="s">
        <v>977</v>
      </c>
      <c r="D52" s="462"/>
      <c r="E52" s="462"/>
      <c r="F52" s="462"/>
      <c r="G52" s="462"/>
      <c r="H52" s="462"/>
      <c r="I52" s="462"/>
      <c r="J52" s="462"/>
      <c r="K52" s="462"/>
      <c r="L52" s="462"/>
      <c r="M52" s="462"/>
      <c r="N52" s="462"/>
      <c r="O52" s="462"/>
      <c r="P52" s="462"/>
      <c r="Q52" s="462"/>
      <c r="R52" s="462"/>
      <c r="S52" s="462"/>
      <c r="T52" s="462"/>
    </row>
    <row r="53" spans="2:20" x14ac:dyDescent="0.15">
      <c r="B53" s="95" t="s">
        <v>951</v>
      </c>
      <c r="C53" s="287" t="s">
        <v>814</v>
      </c>
      <c r="D53" s="287" t="s">
        <v>815</v>
      </c>
      <c r="E53" s="287" t="s">
        <v>816</v>
      </c>
      <c r="F53" s="287" t="s">
        <v>817</v>
      </c>
      <c r="G53" s="287" t="s">
        <v>818</v>
      </c>
      <c r="H53" s="287" t="s">
        <v>819</v>
      </c>
      <c r="I53" s="287" t="s">
        <v>820</v>
      </c>
      <c r="J53" s="287" t="s">
        <v>821</v>
      </c>
      <c r="K53" s="287" t="s">
        <v>822</v>
      </c>
      <c r="L53" s="287" t="s">
        <v>823</v>
      </c>
      <c r="M53" s="287" t="s">
        <v>824</v>
      </c>
      <c r="N53" s="287" t="s">
        <v>825</v>
      </c>
      <c r="O53" s="287" t="s">
        <v>826</v>
      </c>
      <c r="P53" s="287" t="s">
        <v>827</v>
      </c>
      <c r="Q53" s="287" t="s">
        <v>828</v>
      </c>
      <c r="R53" s="287" t="s">
        <v>829</v>
      </c>
      <c r="S53" s="287" t="s">
        <v>975</v>
      </c>
      <c r="T53" s="287" t="s">
        <v>909</v>
      </c>
    </row>
    <row r="54" spans="2:20" x14ac:dyDescent="0.15">
      <c r="B54" s="363" t="s">
        <v>947</v>
      </c>
      <c r="C54" s="364">
        <f>SUMIFS('caseload data'!E:E,'caseload data'!$D:$D,"PO",'caseload data'!$A:$A,'HMIP caseload divisional'!$B$5, 'caseload data'!$B:$B, "licence")</f>
        <v>0</v>
      </c>
      <c r="D54" s="234">
        <f>SUMIFS('caseload data'!F:F,'caseload data'!$D:$D,"PO",'caseload data'!$A:$A,'HMIP caseload divisional'!$B$5, 'caseload data'!$B:$B, "licence")</f>
        <v>0</v>
      </c>
      <c r="E54" s="234">
        <f>SUMIFS('caseload data'!G:G,'caseload data'!$D:$D,"PO",'caseload data'!$A:$A,'HMIP caseload divisional'!$B$5, 'caseload data'!$B:$B, "licence")</f>
        <v>0</v>
      </c>
      <c r="F54" s="234">
        <f>SUMIFS('caseload data'!H:H,'caseload data'!$D:$D,"PO",'caseload data'!$A:$A,'HMIP caseload divisional'!$B$5, 'caseload data'!$B:$B, "licence")</f>
        <v>0</v>
      </c>
      <c r="G54" s="234">
        <f>SUMIFS('caseload data'!I:I,'caseload data'!$D:$D,"PO",'caseload data'!$A:$A,'HMIP caseload divisional'!$B$5, 'caseload data'!$B:$B, "licence")</f>
        <v>0</v>
      </c>
      <c r="H54" s="234">
        <f>SUMIFS('caseload data'!J:J,'caseload data'!$D:$D,"PO",'caseload data'!$A:$A,'HMIP caseload divisional'!$B$5, 'caseload data'!$B:$B, "licence")</f>
        <v>0</v>
      </c>
      <c r="I54" s="234">
        <f>SUMIFS('caseload data'!K:K,'caseload data'!$D:$D,"PO",'caseload data'!$A:$A,'HMIP caseload divisional'!$B$5, 'caseload data'!$B:$B, "licence")</f>
        <v>0</v>
      </c>
      <c r="J54" s="234">
        <f>SUMIFS('caseload data'!L:L,'caseload data'!$D:$D,"PO",'caseload data'!$A:$A,'HMIP caseload divisional'!$B$5, 'caseload data'!$B:$B, "licence")</f>
        <v>0</v>
      </c>
      <c r="K54" s="234">
        <f>SUMIFS('caseload data'!M:M,'caseload data'!$D:$D,"PO",'caseload data'!$A:$A,'HMIP caseload divisional'!$B$5, 'caseload data'!$B:$B, "licence")</f>
        <v>0</v>
      </c>
      <c r="L54" s="234">
        <f>SUMIFS('caseload data'!N:N,'caseload data'!$D:$D,"PO",'caseload data'!$A:$A,'HMIP caseload divisional'!$B$5, 'caseload data'!$B:$B, "licence")</f>
        <v>0</v>
      </c>
      <c r="M54" s="234">
        <f>SUMIFS('caseload data'!O:O,'caseload data'!$D:$D,"PO",'caseload data'!$A:$A,'HMIP caseload divisional'!$B$5, 'caseload data'!$B:$B, "licence")</f>
        <v>0</v>
      </c>
      <c r="N54" s="234">
        <f>SUMIFS('caseload data'!P:P,'caseload data'!$D:$D,"PO",'caseload data'!$A:$A,'HMIP caseload divisional'!$B$5, 'caseload data'!$B:$B, "licence")</f>
        <v>0</v>
      </c>
      <c r="O54" s="234">
        <f>SUMIFS('caseload data'!Q:Q,'caseload data'!$D:$D,"PO",'caseload data'!$A:$A,'HMIP caseload divisional'!$B$5, 'caseload data'!$B:$B, "licence")</f>
        <v>0</v>
      </c>
      <c r="P54" s="234">
        <f>SUMIFS('caseload data'!R:R,'caseload data'!$D:$D,"PO",'caseload data'!$A:$A,'HMIP caseload divisional'!$B$5, 'caseload data'!$B:$B, "licence")</f>
        <v>0</v>
      </c>
      <c r="Q54" s="234">
        <f>SUMIFS('caseload data'!S:S,'caseload data'!$D:$D,"PO",'caseload data'!$A:$A,'HMIP caseload divisional'!$B$5, 'caseload data'!$B:$B, "licence")</f>
        <v>0</v>
      </c>
      <c r="R54" s="234">
        <f>SUMIFS('caseload data'!T:T,'caseload data'!$D:$D,"PO",'caseload data'!$A:$A,'HMIP caseload divisional'!$B$5, 'caseload data'!$B:$B, "licence")</f>
        <v>0</v>
      </c>
      <c r="S54" s="234">
        <f>SUMIFS('caseload data'!U:U,'caseload data'!$D:$D,"PO",'caseload data'!$A:$A,'HMIP caseload divisional'!$B$5, 'caseload data'!$B:$B, "licence")</f>
        <v>0</v>
      </c>
      <c r="T54" s="234">
        <f>SUM(C54:S54)</f>
        <v>0</v>
      </c>
    </row>
    <row r="55" spans="2:20" x14ac:dyDescent="0.15">
      <c r="B55" s="363" t="s">
        <v>952</v>
      </c>
      <c r="C55" s="364">
        <f>SUMIFS('caseload data'!E:E,'caseload data'!$D:$D,"PSO",'caseload data'!$A:$A,'HMIP caseload divisional'!$B$5, 'caseload data'!$B:$B, "licence")</f>
        <v>0</v>
      </c>
      <c r="D55" s="234">
        <f>SUMIFS('caseload data'!F:F,'caseload data'!$D:$D,"PSO",'caseload data'!$A:$A,'HMIP caseload divisional'!$B$5, 'caseload data'!$B:$B, "licence")</f>
        <v>0</v>
      </c>
      <c r="E55" s="234">
        <f>SUMIFS('caseload data'!G:G,'caseload data'!$D:$D,"PSO",'caseload data'!$A:$A,'HMIP caseload divisional'!$B$5, 'caseload data'!$B:$B, "licence")</f>
        <v>0</v>
      </c>
      <c r="F55" s="234">
        <f>SUMIFS('caseload data'!H:H,'caseload data'!$D:$D,"PSO",'caseload data'!$A:$A,'HMIP caseload divisional'!$B$5, 'caseload data'!$B:$B, "licence")</f>
        <v>0</v>
      </c>
      <c r="G55" s="234">
        <f>SUMIFS('caseload data'!I:I,'caseload data'!$D:$D,"PSO",'caseload data'!$A:$A,'HMIP caseload divisional'!$B$5, 'caseload data'!$B:$B, "licence")</f>
        <v>0</v>
      </c>
      <c r="H55" s="234">
        <f>SUMIFS('caseload data'!J:J,'caseload data'!$D:$D,"PSO",'caseload data'!$A:$A,'HMIP caseload divisional'!$B$5, 'caseload data'!$B:$B, "licence")</f>
        <v>0</v>
      </c>
      <c r="I55" s="234">
        <f>SUMIFS('caseload data'!K:K,'caseload data'!$D:$D,"PSO",'caseload data'!$A:$A,'HMIP caseload divisional'!$B$5, 'caseload data'!$B:$B, "licence")</f>
        <v>0</v>
      </c>
      <c r="J55" s="234">
        <f>SUMIFS('caseload data'!L:L,'caseload data'!$D:$D,"PSO",'caseload data'!$A:$A,'HMIP caseload divisional'!$B$5, 'caseload data'!$B:$B, "licence")</f>
        <v>0</v>
      </c>
      <c r="K55" s="234">
        <f>SUMIFS('caseload data'!M:M,'caseload data'!$D:$D,"PSO",'caseload data'!$A:$A,'HMIP caseload divisional'!$B$5, 'caseload data'!$B:$B, "licence")</f>
        <v>0</v>
      </c>
      <c r="L55" s="234">
        <f>SUMIFS('caseload data'!N:N,'caseload data'!$D:$D,"PSO",'caseload data'!$A:$A,'HMIP caseload divisional'!$B$5, 'caseload data'!$B:$B, "licence")</f>
        <v>0</v>
      </c>
      <c r="M55" s="234">
        <f>SUMIFS('caseload data'!O:O,'caseload data'!$D:$D,"PSO",'caseload data'!$A:$A,'HMIP caseload divisional'!$B$5, 'caseload data'!$B:$B, "licence")</f>
        <v>0</v>
      </c>
      <c r="N55" s="234">
        <f>SUMIFS('caseload data'!P:P,'caseload data'!$D:$D,"PSO",'caseload data'!$A:$A,'HMIP caseload divisional'!$B$5, 'caseload data'!$B:$B, "licence")</f>
        <v>0</v>
      </c>
      <c r="O55" s="234">
        <f>SUMIFS('caseload data'!Q:Q,'caseload data'!$D:$D,"PSO",'caseload data'!$A:$A,'HMIP caseload divisional'!$B$5, 'caseload data'!$B:$B, "licence")</f>
        <v>0</v>
      </c>
      <c r="P55" s="234">
        <f>SUMIFS('caseload data'!R:R,'caseload data'!$D:$D,"PSO",'caseload data'!$A:$A,'HMIP caseload divisional'!$B$5, 'caseload data'!$B:$B, "licence")</f>
        <v>0</v>
      </c>
      <c r="Q55" s="234">
        <f>SUMIFS('caseload data'!S:S,'caseload data'!$D:$D,"PSO",'caseload data'!$A:$A,'HMIP caseload divisional'!$B$5, 'caseload data'!$B:$B, "licence")</f>
        <v>0</v>
      </c>
      <c r="R55" s="234">
        <f>SUMIFS('caseload data'!T:T,'caseload data'!$D:$D,"PSO",'caseload data'!$A:$A,'HMIP caseload divisional'!$B$5, 'caseload data'!$B:$B, "licence")</f>
        <v>0</v>
      </c>
      <c r="S55" s="234">
        <f>SUMIFS('caseload data'!U:U,'caseload data'!$D:$D,"PSO",'caseload data'!$A:$A,'HMIP caseload divisional'!$B$5, 'caseload data'!$B:$B, "licence")</f>
        <v>0</v>
      </c>
      <c r="T55" s="234">
        <f t="shared" ref="T55:T57" si="11">SUM(C55:S55)</f>
        <v>0</v>
      </c>
    </row>
    <row r="56" spans="2:20" x14ac:dyDescent="0.15">
      <c r="B56" s="363" t="s">
        <v>953</v>
      </c>
      <c r="C56" s="364">
        <f>SUMIFS('caseload data'!E:E,'caseload data'!$D:$D,"TPO",'caseload data'!$A:$A,'HMIP caseload divisional'!$B$5, 'caseload data'!$B:$B, "licence")</f>
        <v>0</v>
      </c>
      <c r="D56" s="234">
        <f>SUMIFS('caseload data'!F:F,'caseload data'!$D:$D,"TPO",'caseload data'!$A:$A,'HMIP caseload divisional'!$B$5, 'caseload data'!$B:$B, "licence")</f>
        <v>0</v>
      </c>
      <c r="E56" s="234">
        <f>SUMIFS('caseload data'!G:G,'caseload data'!$D:$D,"TPO",'caseload data'!$A:$A,'HMIP caseload divisional'!$B$5, 'caseload data'!$B:$B, "licence")</f>
        <v>0</v>
      </c>
      <c r="F56" s="234">
        <f>SUMIFS('caseload data'!H:H,'caseload data'!$D:$D,"TPO",'caseload data'!$A:$A,'HMIP caseload divisional'!$B$5, 'caseload data'!$B:$B, "licence")</f>
        <v>0</v>
      </c>
      <c r="G56" s="234">
        <f>SUMIFS('caseload data'!I:I,'caseload data'!$D:$D,"TPO",'caseload data'!$A:$A,'HMIP caseload divisional'!$B$5, 'caseload data'!$B:$B, "licence")</f>
        <v>0</v>
      </c>
      <c r="H56" s="234">
        <f>SUMIFS('caseload data'!J:J,'caseload data'!$D:$D,"TPO",'caseload data'!$A:$A,'HMIP caseload divisional'!$B$5, 'caseload data'!$B:$B, "licence")</f>
        <v>0</v>
      </c>
      <c r="I56" s="234">
        <f>SUMIFS('caseload data'!K:K,'caseload data'!$D:$D,"TPO",'caseload data'!$A:$A,'HMIP caseload divisional'!$B$5, 'caseload data'!$B:$B, "licence")</f>
        <v>0</v>
      </c>
      <c r="J56" s="234">
        <f>SUMIFS('caseload data'!L:L,'caseload data'!$D:$D,"TPO",'caseload data'!$A:$A,'HMIP caseload divisional'!$B$5, 'caseload data'!$B:$B, "licence")</f>
        <v>0</v>
      </c>
      <c r="K56" s="234">
        <f>SUMIFS('caseload data'!M:M,'caseload data'!$D:$D,"TPO",'caseload data'!$A:$A,'HMIP caseload divisional'!$B$5, 'caseload data'!$B:$B, "licence")</f>
        <v>0</v>
      </c>
      <c r="L56" s="234">
        <f>SUMIFS('caseload data'!N:N,'caseload data'!$D:$D,"TPO",'caseload data'!$A:$A,'HMIP caseload divisional'!$B$5, 'caseload data'!$B:$B, "licence")</f>
        <v>0</v>
      </c>
      <c r="M56" s="234">
        <f>SUMIFS('caseload data'!O:O,'caseload data'!$D:$D,"TPO",'caseload data'!$A:$A,'HMIP caseload divisional'!$B$5, 'caseload data'!$B:$B, "licence")</f>
        <v>0</v>
      </c>
      <c r="N56" s="234">
        <f>SUMIFS('caseload data'!P:P,'caseload data'!$D:$D,"TPO",'caseload data'!$A:$A,'HMIP caseload divisional'!$B$5, 'caseload data'!$B:$B, "licence")</f>
        <v>0</v>
      </c>
      <c r="O56" s="234">
        <f>SUMIFS('caseload data'!Q:Q,'caseload data'!$D:$D,"TPO",'caseload data'!$A:$A,'HMIP caseload divisional'!$B$5, 'caseload data'!$B:$B, "licence")</f>
        <v>0</v>
      </c>
      <c r="P56" s="234">
        <f>SUMIFS('caseload data'!R:R,'caseload data'!$D:$D,"TPO",'caseload data'!$A:$A,'HMIP caseload divisional'!$B$5, 'caseload data'!$B:$B, "licence")</f>
        <v>0</v>
      </c>
      <c r="Q56" s="234">
        <f>SUMIFS('caseload data'!S:S,'caseload data'!$D:$D,"TPO",'caseload data'!$A:$A,'HMIP caseload divisional'!$B$5, 'caseload data'!$B:$B, "licence")</f>
        <v>0</v>
      </c>
      <c r="R56" s="234">
        <f>SUMIFS('caseload data'!T:T,'caseload data'!$D:$D,"TPO",'caseload data'!$A:$A,'HMIP caseload divisional'!$B$5, 'caseload data'!$B:$B, "licence")</f>
        <v>0</v>
      </c>
      <c r="S56" s="234">
        <f>SUMIFS('caseload data'!U:U,'caseload data'!$D:$D,"TPO",'caseload data'!$A:$A,'HMIP caseload divisional'!$B$5, 'caseload data'!$B:$B, "licence")</f>
        <v>0</v>
      </c>
      <c r="T56" s="234">
        <f t="shared" si="11"/>
        <v>0</v>
      </c>
    </row>
    <row r="57" spans="2:20" ht="12.75" customHeight="1" x14ac:dyDescent="0.15">
      <c r="B57" s="363" t="s">
        <v>954</v>
      </c>
      <c r="C57" s="364">
        <f>SUMIFS('caseload data'!E:E,'caseload data'!$D:$D,"SPO",'caseload data'!$A:$A,$B$5, 'caseload data'!$B:$B, "licence")</f>
        <v>0</v>
      </c>
      <c r="D57" s="234">
        <f>SUMIFS('caseload data'!F:F,'caseload data'!$D:$D,"SPO",'caseload data'!$A:$A,$B$5, 'caseload data'!$B:$B, "licence")</f>
        <v>0</v>
      </c>
      <c r="E57" s="234">
        <f>SUMIFS('caseload data'!G:G,'caseload data'!$D:$D,"SPO",'caseload data'!$A:$A,$B$5, 'caseload data'!$B:$B, "licence")</f>
        <v>0</v>
      </c>
      <c r="F57" s="234">
        <f>SUMIFS('caseload data'!H:H,'caseload data'!$D:$D,"SPO",'caseload data'!$A:$A,$B$5, 'caseload data'!$B:$B, "licence")</f>
        <v>0</v>
      </c>
      <c r="G57" s="234">
        <f>SUMIFS('caseload data'!I:I,'caseload data'!$D:$D,"SPO",'caseload data'!$A:$A,$B$5, 'caseload data'!$B:$B, "licence")</f>
        <v>0</v>
      </c>
      <c r="H57" s="234">
        <f>SUMIFS('caseload data'!J:J,'caseload data'!$D:$D,"SPO",'caseload data'!$A:$A,$B$5, 'caseload data'!$B:$B, "licence")</f>
        <v>0</v>
      </c>
      <c r="I57" s="234">
        <f>SUMIFS('caseload data'!K:K,'caseload data'!$D:$D,"SPO",'caseload data'!$A:$A,$B$5, 'caseload data'!$B:$B, "licence")</f>
        <v>0</v>
      </c>
      <c r="J57" s="234">
        <f>SUMIFS('caseload data'!L:L,'caseload data'!$D:$D,"SPO",'caseload data'!$A:$A,$B$5, 'caseload data'!$B:$B, "licence")</f>
        <v>0</v>
      </c>
      <c r="K57" s="234">
        <f>SUMIFS('caseload data'!M:M,'caseload data'!$D:$D,"SPO",'caseload data'!$A:$A,$B$5, 'caseload data'!$B:$B, "licence")</f>
        <v>0</v>
      </c>
      <c r="L57" s="234">
        <f>SUMIFS('caseload data'!N:N,'caseload data'!$D:$D,"SPO",'caseload data'!$A:$A,$B$5, 'caseload data'!$B:$B, "licence")</f>
        <v>0</v>
      </c>
      <c r="M57" s="234">
        <f>SUMIFS('caseload data'!O:O,'caseload data'!$D:$D,"SPO",'caseload data'!$A:$A,$B$5, 'caseload data'!$B:$B, "licence")</f>
        <v>0</v>
      </c>
      <c r="N57" s="234">
        <f>SUMIFS('caseload data'!P:P,'caseload data'!$D:$D,"SPO",'caseload data'!$A:$A,$B$5, 'caseload data'!$B:$B, "licence")</f>
        <v>0</v>
      </c>
      <c r="O57" s="234">
        <f>SUMIFS('caseload data'!Q:Q,'caseload data'!$D:$D,"SPO",'caseload data'!$A:$A,$B$5, 'caseload data'!$B:$B, "licence")</f>
        <v>0</v>
      </c>
      <c r="P57" s="234">
        <f>SUMIFS('caseload data'!R:R,'caseload data'!$D:$D,"SPO",'caseload data'!$A:$A,$B$5, 'caseload data'!$B:$B, "licence")</f>
        <v>0</v>
      </c>
      <c r="Q57" s="234">
        <f>SUMIFS('caseload data'!S:S,'caseload data'!$D:$D,"SPO",'caseload data'!$A:$A,$B$5, 'caseload data'!$B:$B, "licence")</f>
        <v>0</v>
      </c>
      <c r="R57" s="234">
        <f>SUMIFS('caseload data'!T:T,'caseload data'!$D:$D,"SPO",'caseload data'!$A:$A,$B$5, 'caseload data'!$B:$B, "licence")</f>
        <v>0</v>
      </c>
      <c r="S57" s="234">
        <f>SUMIFS('caseload data'!U:U,'caseload data'!$D:$D,"SPO",'caseload data'!$A:$A,$B$5, 'caseload data'!$B:$B, "licence")</f>
        <v>0</v>
      </c>
      <c r="T57" s="234">
        <f t="shared" si="11"/>
        <v>0</v>
      </c>
    </row>
    <row r="58" spans="2:20" x14ac:dyDescent="0.15">
      <c r="B58" s="144" t="s">
        <v>1286</v>
      </c>
      <c r="C58" s="364">
        <f>SUMIFS('caseload data'!E:E,'caseload data'!$D:$D,"DMY",'caseload data'!$A:$A,'HMIP caseload divisional'!$B$5, 'caseload data'!$B:$B, "licence")</f>
        <v>0</v>
      </c>
      <c r="D58" s="234">
        <f>SUMIFS('caseload data'!F:F,'caseload data'!$D:$D,"DMY",'caseload data'!$A:$A,'HMIP caseload divisional'!$B$5, 'caseload data'!$B:$B, "licence")</f>
        <v>0</v>
      </c>
      <c r="E58" s="234">
        <f>SUMIFS('caseload data'!G:G,'caseload data'!$D:$D,"DMY",'caseload data'!$A:$A,'HMIP caseload divisional'!$B$5, 'caseload data'!$B:$B, "licence")</f>
        <v>0</v>
      </c>
      <c r="F58" s="234">
        <f>SUMIFS('caseload data'!H:H,'caseload data'!$D:$D,"DMY",'caseload data'!$A:$A,'HMIP caseload divisional'!$B$5, 'caseload data'!$B:$B, "licence")</f>
        <v>0</v>
      </c>
      <c r="G58" s="234">
        <f>SUMIFS('caseload data'!I:I,'caseload data'!$D:$D,"DMY",'caseload data'!$A:$A,'HMIP caseload divisional'!$B$5, 'caseload data'!$B:$B, "licence")</f>
        <v>0</v>
      </c>
      <c r="H58" s="234">
        <f>SUMIFS('caseload data'!J:J,'caseload data'!$D:$D,"DMY",'caseload data'!$A:$A,'HMIP caseload divisional'!$B$5, 'caseload data'!$B:$B, "licence")</f>
        <v>0</v>
      </c>
      <c r="I58" s="234">
        <f>SUMIFS('caseload data'!K:K,'caseload data'!$D:$D,"DMY",'caseload data'!$A:$A,'HMIP caseload divisional'!$B$5, 'caseload data'!$B:$B, "licence")</f>
        <v>0</v>
      </c>
      <c r="J58" s="234">
        <f>SUMIFS('caseload data'!L:L,'caseload data'!$D:$D,"DMY",'caseload data'!$A:$A,'HMIP caseload divisional'!$B$5, 'caseload data'!$B:$B, "licence")</f>
        <v>0</v>
      </c>
      <c r="K58" s="234">
        <f>SUMIFS('caseload data'!M:M,'caseload data'!$D:$D,"DMY",'caseload data'!$A:$A,'HMIP caseload divisional'!$B$5, 'caseload data'!$B:$B, "licence")</f>
        <v>0</v>
      </c>
      <c r="L58" s="234">
        <f>SUMIFS('caseload data'!N:N,'caseload data'!$D:$D,"DMY",'caseload data'!$A:$A,'HMIP caseload divisional'!$B$5, 'caseload data'!$B:$B, "licence")</f>
        <v>0</v>
      </c>
      <c r="M58" s="234">
        <f>SUMIFS('caseload data'!O:O,'caseload data'!$D:$D,"DMY",'caseload data'!$A:$A,'HMIP caseload divisional'!$B$5, 'caseload data'!$B:$B, "licence")</f>
        <v>0</v>
      </c>
      <c r="N58" s="234">
        <f>SUMIFS('caseload data'!P:P,'caseload data'!$D:$D,"DMY",'caseload data'!$A:$A,'HMIP caseload divisional'!$B$5, 'caseload data'!$B:$B, "licence")</f>
        <v>0</v>
      </c>
      <c r="O58" s="234">
        <f>SUMIFS('caseload data'!Q:Q,'caseload data'!$D:$D,"DMY",'caseload data'!$A:$A,'HMIP caseload divisional'!$B$5, 'caseload data'!$B:$B, "licence")</f>
        <v>0</v>
      </c>
      <c r="P58" s="234">
        <f>SUMIFS('caseload data'!R:R,'caseload data'!$D:$D,"DMY",'caseload data'!$A:$A,'HMIP caseload divisional'!$B$5, 'caseload data'!$B:$B, "licence")</f>
        <v>0</v>
      </c>
      <c r="Q58" s="234">
        <f>SUMIFS('caseload data'!S:S,'caseload data'!$D:$D,"DMY",'caseload data'!$A:$A,'HMIP caseload divisional'!$B$5, 'caseload data'!$B:$B, "licence")</f>
        <v>0</v>
      </c>
      <c r="R58" s="234">
        <f>SUMIFS('caseload data'!T:T,'caseload data'!$D:$D,"DMY",'caseload data'!$A:$A,'HMIP caseload divisional'!$B$5, 'caseload data'!$B:$B, "licence")</f>
        <v>0</v>
      </c>
      <c r="S58" s="234">
        <f>SUMIFS('caseload data'!U:U,'caseload data'!$D:$D,"DMY",'caseload data'!$A:$A,'HMIP caseload divisional'!$B$5, 'caseload data'!$B:$B, "licence")</f>
        <v>0</v>
      </c>
      <c r="T58" s="234">
        <f t="shared" ref="T58" si="12">SUM(C58:S58)</f>
        <v>0</v>
      </c>
    </row>
    <row r="59" spans="2:20" x14ac:dyDescent="0.15">
      <c r="B59" s="424" t="s">
        <v>909</v>
      </c>
      <c r="C59" s="425">
        <f>SUM(C54:C58)</f>
        <v>0</v>
      </c>
      <c r="D59" s="425">
        <f t="shared" ref="D59:T59" si="13">SUM(D54:D58)</f>
        <v>0</v>
      </c>
      <c r="E59" s="425">
        <f t="shared" si="13"/>
        <v>0</v>
      </c>
      <c r="F59" s="425">
        <f t="shared" si="13"/>
        <v>0</v>
      </c>
      <c r="G59" s="425">
        <f t="shared" si="13"/>
        <v>0</v>
      </c>
      <c r="H59" s="425">
        <f t="shared" si="13"/>
        <v>0</v>
      </c>
      <c r="I59" s="425">
        <f t="shared" si="13"/>
        <v>0</v>
      </c>
      <c r="J59" s="425">
        <f t="shared" si="13"/>
        <v>0</v>
      </c>
      <c r="K59" s="425">
        <f t="shared" si="13"/>
        <v>0</v>
      </c>
      <c r="L59" s="425">
        <f t="shared" si="13"/>
        <v>0</v>
      </c>
      <c r="M59" s="425">
        <f t="shared" si="13"/>
        <v>0</v>
      </c>
      <c r="N59" s="425">
        <f t="shared" si="13"/>
        <v>0</v>
      </c>
      <c r="O59" s="425">
        <f t="shared" si="13"/>
        <v>0</v>
      </c>
      <c r="P59" s="425">
        <f t="shared" si="13"/>
        <v>0</v>
      </c>
      <c r="Q59" s="425">
        <f t="shared" si="13"/>
        <v>0</v>
      </c>
      <c r="R59" s="425">
        <f t="shared" si="13"/>
        <v>0</v>
      </c>
      <c r="S59" s="425">
        <f t="shared" si="13"/>
        <v>0</v>
      </c>
      <c r="T59" s="425">
        <f t="shared" si="13"/>
        <v>0</v>
      </c>
    </row>
    <row r="60" spans="2:20" ht="12.75" customHeight="1" x14ac:dyDescent="0.15">
      <c r="B60" s="171"/>
      <c r="C60" s="237"/>
      <c r="D60" s="237"/>
      <c r="E60" s="237"/>
      <c r="F60" s="237"/>
      <c r="G60" s="237"/>
      <c r="H60" s="237"/>
      <c r="I60" s="237"/>
      <c r="J60" s="237"/>
      <c r="K60" s="237"/>
      <c r="L60" s="237"/>
      <c r="M60" s="237"/>
      <c r="N60" s="237"/>
      <c r="O60" s="237"/>
      <c r="P60" s="237"/>
      <c r="Q60" s="237"/>
      <c r="R60" s="237"/>
      <c r="S60" s="237"/>
      <c r="T60" s="64"/>
    </row>
    <row r="61" spans="2:20" ht="25.5" customHeight="1" x14ac:dyDescent="0.15">
      <c r="B61" s="297" t="str">
        <f>B5</f>
        <v>Yorkshire and The Humber</v>
      </c>
      <c r="C61" s="461" t="s">
        <v>978</v>
      </c>
      <c r="D61" s="462"/>
      <c r="E61" s="462"/>
      <c r="F61" s="462"/>
      <c r="G61" s="462"/>
      <c r="H61" s="462"/>
      <c r="I61" s="462"/>
      <c r="J61" s="462"/>
      <c r="K61" s="462"/>
      <c r="L61" s="462"/>
      <c r="M61" s="462"/>
      <c r="N61" s="462"/>
      <c r="O61" s="462"/>
      <c r="P61" s="462"/>
      <c r="Q61" s="462"/>
      <c r="R61" s="462"/>
      <c r="S61" s="462"/>
      <c r="T61" s="462"/>
    </row>
    <row r="62" spans="2:20" x14ac:dyDescent="0.15">
      <c r="B62" s="95" t="s">
        <v>951</v>
      </c>
      <c r="C62" s="287" t="s">
        <v>814</v>
      </c>
      <c r="D62" s="287" t="s">
        <v>815</v>
      </c>
      <c r="E62" s="287" t="s">
        <v>816</v>
      </c>
      <c r="F62" s="287" t="s">
        <v>817</v>
      </c>
      <c r="G62" s="287" t="s">
        <v>818</v>
      </c>
      <c r="H62" s="287" t="s">
        <v>819</v>
      </c>
      <c r="I62" s="287" t="s">
        <v>820</v>
      </c>
      <c r="J62" s="287" t="s">
        <v>821</v>
      </c>
      <c r="K62" s="287" t="s">
        <v>822</v>
      </c>
      <c r="L62" s="287" t="s">
        <v>823</v>
      </c>
      <c r="M62" s="287" t="s">
        <v>824</v>
      </c>
      <c r="N62" s="287" t="s">
        <v>825</v>
      </c>
      <c r="O62" s="287" t="s">
        <v>826</v>
      </c>
      <c r="P62" s="287" t="s">
        <v>827</v>
      </c>
      <c r="Q62" s="287" t="s">
        <v>828</v>
      </c>
      <c r="R62" s="287" t="s">
        <v>829</v>
      </c>
      <c r="S62" s="287" t="s">
        <v>975</v>
      </c>
      <c r="T62" s="287" t="s">
        <v>909</v>
      </c>
    </row>
    <row r="63" spans="2:20" x14ac:dyDescent="0.15">
      <c r="B63" s="362" t="s">
        <v>947</v>
      </c>
      <c r="C63" s="364">
        <f>SUMIFS('caseload data'!E:E,'caseload data'!$D:$D,"PO",'caseload data'!$A:$A,'HMIP caseload divisional'!$B$5, 'caseload data'!$B:$B, "custody")</f>
        <v>0</v>
      </c>
      <c r="D63" s="234">
        <f>SUMIFS('caseload data'!F:F,'caseload data'!$D:$D,"PO",'caseload data'!$A:$A,'HMIP caseload divisional'!$B$5, 'caseload data'!$B:$B, "custody")</f>
        <v>0</v>
      </c>
      <c r="E63" s="234">
        <f>SUMIFS('caseload data'!G:G,'caseload data'!$D:$D,"PO",'caseload data'!$A:$A,'HMIP caseload divisional'!$B$5, 'caseload data'!$B:$B, "custody")</f>
        <v>0</v>
      </c>
      <c r="F63" s="234">
        <f>SUMIFS('caseload data'!H:H,'caseload data'!$D:$D,"PO",'caseload data'!$A:$A,'HMIP caseload divisional'!$B$5, 'caseload data'!$B:$B, "custody")</f>
        <v>0</v>
      </c>
      <c r="G63" s="234">
        <f>SUMIFS('caseload data'!I:I,'caseload data'!$D:$D,"PO",'caseload data'!$A:$A,'HMIP caseload divisional'!$B$5, 'caseload data'!$B:$B, "custody")</f>
        <v>0</v>
      </c>
      <c r="H63" s="234">
        <f>SUMIFS('caseload data'!J:J,'caseload data'!$D:$D,"PO",'caseload data'!$A:$A,'HMIP caseload divisional'!$B$5, 'caseload data'!$B:$B, "custody")</f>
        <v>0</v>
      </c>
      <c r="I63" s="234">
        <f>SUMIFS('caseload data'!K:K,'caseload data'!$D:$D,"PO",'caseload data'!$A:$A,'HMIP caseload divisional'!$B$5, 'caseload data'!$B:$B, "custody")</f>
        <v>0</v>
      </c>
      <c r="J63" s="234">
        <f>SUMIFS('caseload data'!L:L,'caseload data'!$D:$D,"PO",'caseload data'!$A:$A,'HMIP caseload divisional'!$B$5, 'caseload data'!$B:$B, "custody")</f>
        <v>0</v>
      </c>
      <c r="K63" s="234">
        <f>SUMIFS('caseload data'!M:M,'caseload data'!$D:$D,"PO",'caseload data'!$A:$A,'HMIP caseload divisional'!$B$5, 'caseload data'!$B:$B, "custody")</f>
        <v>0</v>
      </c>
      <c r="L63" s="234">
        <f>SUMIFS('caseload data'!N:N,'caseload data'!$D:$D,"PO",'caseload data'!$A:$A,'HMIP caseload divisional'!$B$5, 'caseload data'!$B:$B, "custody")</f>
        <v>0</v>
      </c>
      <c r="M63" s="234">
        <f>SUMIFS('caseload data'!O:O,'caseload data'!$D:$D,"PO",'caseload data'!$A:$A,'HMIP caseload divisional'!$B$5, 'caseload data'!$B:$B, "custody")</f>
        <v>0</v>
      </c>
      <c r="N63" s="234">
        <f>SUMIFS('caseload data'!P:P,'caseload data'!$D:$D,"PO",'caseload data'!$A:$A,'HMIP caseload divisional'!$B$5, 'caseload data'!$B:$B, "custody")</f>
        <v>0</v>
      </c>
      <c r="O63" s="234">
        <f>SUMIFS('caseload data'!Q:Q,'caseload data'!$D:$D,"PO",'caseload data'!$A:$A,'HMIP caseload divisional'!$B$5, 'caseload data'!$B:$B, "custody")</f>
        <v>0</v>
      </c>
      <c r="P63" s="234">
        <f>SUMIFS('caseload data'!R:R,'caseload data'!$D:$D,"PO",'caseload data'!$A:$A,'HMIP caseload divisional'!$B$5, 'caseload data'!$B:$B, "custody")</f>
        <v>0</v>
      </c>
      <c r="Q63" s="234">
        <f>SUMIFS('caseload data'!S:S,'caseload data'!$D:$D,"PO",'caseload data'!$A:$A,'HMIP caseload divisional'!$B$5, 'caseload data'!$B:$B, "custody")</f>
        <v>0</v>
      </c>
      <c r="R63" s="234">
        <f>SUMIFS('caseload data'!T:T,'caseload data'!$D:$D,"PO",'caseload data'!$A:$A,'HMIP caseload divisional'!$B$5, 'caseload data'!$B:$B, "custody")</f>
        <v>0</v>
      </c>
      <c r="S63" s="234">
        <f>SUMIFS('caseload data'!U:U,'caseload data'!$D:$D,"PO",'caseload data'!$A:$A,'HMIP caseload divisional'!$B$5, 'caseload data'!$B:$B, "custody")</f>
        <v>0</v>
      </c>
      <c r="T63" s="234">
        <f>SUM(C63:S63)</f>
        <v>0</v>
      </c>
    </row>
    <row r="64" spans="2:20" x14ac:dyDescent="0.15">
      <c r="B64" s="363" t="s">
        <v>952</v>
      </c>
      <c r="C64" s="364">
        <f>SUMIFS('caseload data'!E:E,'caseload data'!$D:$D,"PSO",'caseload data'!$A:$A,'HMIP caseload divisional'!$B$5, 'caseload data'!$B:$B, "custody")</f>
        <v>0</v>
      </c>
      <c r="D64" s="234">
        <f>SUMIFS('caseload data'!F:F,'caseload data'!$D:$D,"PSO",'caseload data'!$A:$A,'HMIP caseload divisional'!$B$5, 'caseload data'!$B:$B, "custody")</f>
        <v>0</v>
      </c>
      <c r="E64" s="234">
        <f>SUMIFS('caseload data'!G:G,'caseload data'!$D:$D,"PSO",'caseload data'!$A:$A,'HMIP caseload divisional'!$B$5, 'caseload data'!$B:$B, "custody")</f>
        <v>0</v>
      </c>
      <c r="F64" s="234">
        <f>SUMIFS('caseload data'!H:H,'caseload data'!$D:$D,"PSO",'caseload data'!$A:$A,'HMIP caseload divisional'!$B$5, 'caseload data'!$B:$B, "custody")</f>
        <v>0</v>
      </c>
      <c r="G64" s="234">
        <f>SUMIFS('caseload data'!I:I,'caseload data'!$D:$D,"PSO",'caseload data'!$A:$A,'HMIP caseload divisional'!$B$5, 'caseload data'!$B:$B, "custody")</f>
        <v>0</v>
      </c>
      <c r="H64" s="234">
        <f>SUMIFS('caseload data'!J:J,'caseload data'!$D:$D,"PSO",'caseload data'!$A:$A,'HMIP caseload divisional'!$B$5, 'caseload data'!$B:$B, "custody")</f>
        <v>0</v>
      </c>
      <c r="I64" s="234">
        <f>SUMIFS('caseload data'!K:K,'caseload data'!$D:$D,"PSO",'caseload data'!$A:$A,'HMIP caseload divisional'!$B$5, 'caseload data'!$B:$B, "custody")</f>
        <v>0</v>
      </c>
      <c r="J64" s="234">
        <f>SUMIFS('caseload data'!L:L,'caseload data'!$D:$D,"PSO",'caseload data'!$A:$A,'HMIP caseload divisional'!$B$5, 'caseload data'!$B:$B, "custody")</f>
        <v>0</v>
      </c>
      <c r="K64" s="234">
        <f>SUMIFS('caseload data'!M:M,'caseload data'!$D:$D,"PSO",'caseload data'!$A:$A,'HMIP caseload divisional'!$B$5, 'caseload data'!$B:$B, "custody")</f>
        <v>0</v>
      </c>
      <c r="L64" s="234">
        <f>SUMIFS('caseload data'!N:N,'caseload data'!$D:$D,"PSO",'caseload data'!$A:$A,'HMIP caseload divisional'!$B$5, 'caseload data'!$B:$B, "custody")</f>
        <v>0</v>
      </c>
      <c r="M64" s="234">
        <f>SUMIFS('caseload data'!O:O,'caseload data'!$D:$D,"PSO",'caseload data'!$A:$A,'HMIP caseload divisional'!$B$5, 'caseload data'!$B:$B, "custody")</f>
        <v>0</v>
      </c>
      <c r="N64" s="234">
        <f>SUMIFS('caseload data'!P:P,'caseload data'!$D:$D,"PSO",'caseload data'!$A:$A,'HMIP caseload divisional'!$B$5, 'caseload data'!$B:$B, "custody")</f>
        <v>0</v>
      </c>
      <c r="O64" s="234">
        <f>SUMIFS('caseload data'!Q:Q,'caseload data'!$D:$D,"PSO",'caseload data'!$A:$A,'HMIP caseload divisional'!$B$5, 'caseload data'!$B:$B, "custody")</f>
        <v>0</v>
      </c>
      <c r="P64" s="234">
        <f>SUMIFS('caseload data'!R:R,'caseload data'!$D:$D,"PSO",'caseload data'!$A:$A,'HMIP caseload divisional'!$B$5, 'caseload data'!$B:$B, "custody")</f>
        <v>0</v>
      </c>
      <c r="Q64" s="234">
        <f>SUMIFS('caseload data'!S:S,'caseload data'!$D:$D,"PSO",'caseload data'!$A:$A,'HMIP caseload divisional'!$B$5, 'caseload data'!$B:$B, "custody")</f>
        <v>0</v>
      </c>
      <c r="R64" s="234">
        <f>SUMIFS('caseload data'!T:T,'caseload data'!$D:$D,"PSO",'caseload data'!$A:$A,'HMIP caseload divisional'!$B$5, 'caseload data'!$B:$B, "custody")</f>
        <v>0</v>
      </c>
      <c r="S64" s="234">
        <f>SUMIFS('caseload data'!U:U,'caseload data'!$D:$D,"PSO",'caseload data'!$A:$A,'HMIP caseload divisional'!$B$5, 'caseload data'!$B:$B, "custody")</f>
        <v>0</v>
      </c>
      <c r="T64" s="234">
        <f t="shared" ref="T64:T66" si="14">SUM(C64:S64)</f>
        <v>0</v>
      </c>
    </row>
    <row r="65" spans="2:20" x14ac:dyDescent="0.15">
      <c r="B65" s="363" t="s">
        <v>953</v>
      </c>
      <c r="C65" s="364">
        <f>SUMIFS('caseload data'!E:E,'caseload data'!$D:$D,"TPO",'caseload data'!$A:$A,'HMIP caseload divisional'!$B$5, 'caseload data'!$B:$B, "custody")</f>
        <v>0</v>
      </c>
      <c r="D65" s="234">
        <f>SUMIFS('caseload data'!F:F,'caseload data'!$D:$D,"TPO",'caseload data'!$A:$A,'HMIP caseload divisional'!$B$5, 'caseload data'!$B:$B, "custody")</f>
        <v>0</v>
      </c>
      <c r="E65" s="234">
        <f>SUMIFS('caseload data'!G:G,'caseload data'!$D:$D,"TPO",'caseload data'!$A:$A,'HMIP caseload divisional'!$B$5, 'caseload data'!$B:$B, "custody")</f>
        <v>0</v>
      </c>
      <c r="F65" s="234">
        <f>SUMIFS('caseload data'!H:H,'caseload data'!$D:$D,"TPO",'caseload data'!$A:$A,'HMIP caseload divisional'!$B$5, 'caseload data'!$B:$B, "custody")</f>
        <v>0</v>
      </c>
      <c r="G65" s="234">
        <f>SUMIFS('caseload data'!I:I,'caseload data'!$D:$D,"TPO",'caseload data'!$A:$A,'HMIP caseload divisional'!$B$5, 'caseload data'!$B:$B, "custody")</f>
        <v>0</v>
      </c>
      <c r="H65" s="234">
        <f>SUMIFS('caseload data'!J:J,'caseload data'!$D:$D,"TPO",'caseload data'!$A:$A,'HMIP caseload divisional'!$B$5, 'caseload data'!$B:$B, "custody")</f>
        <v>0</v>
      </c>
      <c r="I65" s="234">
        <f>SUMIFS('caseload data'!K:K,'caseload data'!$D:$D,"TPO",'caseload data'!$A:$A,'HMIP caseload divisional'!$B$5, 'caseload data'!$B:$B, "custody")</f>
        <v>0</v>
      </c>
      <c r="J65" s="234">
        <f>SUMIFS('caseload data'!L:L,'caseload data'!$D:$D,"TPO",'caseload data'!$A:$A,'HMIP caseload divisional'!$B$5, 'caseload data'!$B:$B, "custody")</f>
        <v>0</v>
      </c>
      <c r="K65" s="234">
        <f>SUMIFS('caseload data'!M:M,'caseload data'!$D:$D,"TPO",'caseload data'!$A:$A,'HMIP caseload divisional'!$B$5, 'caseload data'!$B:$B, "custody")</f>
        <v>0</v>
      </c>
      <c r="L65" s="234">
        <f>SUMIFS('caseload data'!N:N,'caseload data'!$D:$D,"TPO",'caseload data'!$A:$A,'HMIP caseload divisional'!$B$5, 'caseload data'!$B:$B, "custody")</f>
        <v>0</v>
      </c>
      <c r="M65" s="234">
        <f>SUMIFS('caseload data'!O:O,'caseload data'!$D:$D,"TPO",'caseload data'!$A:$A,'HMIP caseload divisional'!$B$5, 'caseload data'!$B:$B, "custody")</f>
        <v>0</v>
      </c>
      <c r="N65" s="234">
        <f>SUMIFS('caseload data'!P:P,'caseload data'!$D:$D,"TPO",'caseload data'!$A:$A,'HMIP caseload divisional'!$B$5, 'caseload data'!$B:$B, "custody")</f>
        <v>0</v>
      </c>
      <c r="O65" s="234">
        <f>SUMIFS('caseload data'!Q:Q,'caseload data'!$D:$D,"TPO",'caseload data'!$A:$A,'HMIP caseload divisional'!$B$5, 'caseload data'!$B:$B, "custody")</f>
        <v>0</v>
      </c>
      <c r="P65" s="234">
        <f>SUMIFS('caseload data'!R:R,'caseload data'!$D:$D,"TPO",'caseload data'!$A:$A,'HMIP caseload divisional'!$B$5, 'caseload data'!$B:$B, "custody")</f>
        <v>0</v>
      </c>
      <c r="Q65" s="234">
        <f>SUMIFS('caseload data'!S:S,'caseload data'!$D:$D,"TPO",'caseload data'!$A:$A,'HMIP caseload divisional'!$B$5, 'caseload data'!$B:$B, "custody")</f>
        <v>0</v>
      </c>
      <c r="R65" s="234">
        <f>SUMIFS('caseload data'!T:T,'caseload data'!$D:$D,"TPO",'caseload data'!$A:$A,'HMIP caseload divisional'!$B$5, 'caseload data'!$B:$B, "custody")</f>
        <v>0</v>
      </c>
      <c r="S65" s="234">
        <f>SUMIFS('caseload data'!U:U,'caseload data'!$D:$D,"TPO",'caseload data'!$A:$A,'HMIP caseload divisional'!$B$5, 'caseload data'!$B:$B, "custody")</f>
        <v>0</v>
      </c>
      <c r="T65" s="234">
        <f t="shared" si="14"/>
        <v>0</v>
      </c>
    </row>
    <row r="66" spans="2:20" x14ac:dyDescent="0.15">
      <c r="B66" s="363" t="s">
        <v>954</v>
      </c>
      <c r="C66" s="364">
        <f>SUMIFS('caseload data'!E:E,'caseload data'!$D:$D,"SPO",'caseload data'!$A:$A,$B$5, 'caseload data'!$B:$B, "custody")</f>
        <v>0</v>
      </c>
      <c r="D66" s="234">
        <f>SUMIFS('caseload data'!F:F,'caseload data'!$D:$D,"SPO",'caseload data'!$A:$A,$B$5, 'caseload data'!$B:$B, "custody")</f>
        <v>0</v>
      </c>
      <c r="E66" s="234">
        <f>SUMIFS('caseload data'!G:G,'caseload data'!$D:$D,"SPO",'caseload data'!$A:$A,$B$5, 'caseload data'!$B:$B, "custody")</f>
        <v>0</v>
      </c>
      <c r="F66" s="234">
        <f>SUMIFS('caseload data'!H:H,'caseload data'!$D:$D,"SPO",'caseload data'!$A:$A,$B$5, 'caseload data'!$B:$B, "custody")</f>
        <v>0</v>
      </c>
      <c r="G66" s="234">
        <f>SUMIFS('caseload data'!I:I,'caseload data'!$D:$D,"SPO",'caseload data'!$A:$A,$B$5, 'caseload data'!$B:$B, "custody")</f>
        <v>0</v>
      </c>
      <c r="H66" s="234">
        <f>SUMIFS('caseload data'!J:J,'caseload data'!$D:$D,"SPO",'caseload data'!$A:$A,$B$5, 'caseload data'!$B:$B, "custody")</f>
        <v>0</v>
      </c>
      <c r="I66" s="234">
        <f>SUMIFS('caseload data'!K:K,'caseload data'!$D:$D,"SPO",'caseload data'!$A:$A,$B$5, 'caseload data'!$B:$B, "custody")</f>
        <v>0</v>
      </c>
      <c r="J66" s="234">
        <f>SUMIFS('caseload data'!L:L,'caseload data'!$D:$D,"SPO",'caseload data'!$A:$A,$B$5, 'caseload data'!$B:$B, "custody")</f>
        <v>0</v>
      </c>
      <c r="K66" s="234">
        <f>SUMIFS('caseload data'!M:M,'caseload data'!$D:$D,"SPO",'caseload data'!$A:$A,$B$5, 'caseload data'!$B:$B, "custody")</f>
        <v>0</v>
      </c>
      <c r="L66" s="234">
        <f>SUMIFS('caseload data'!N:N,'caseload data'!$D:$D,"SPO",'caseload data'!$A:$A,$B$5, 'caseload data'!$B:$B, "custody")</f>
        <v>0</v>
      </c>
      <c r="M66" s="234">
        <f>SUMIFS('caseload data'!O:O,'caseload data'!$D:$D,"SPO",'caseload data'!$A:$A,$B$5, 'caseload data'!$B:$B, "custody")</f>
        <v>0</v>
      </c>
      <c r="N66" s="234">
        <f>SUMIFS('caseload data'!P:P,'caseload data'!$D:$D,"SPO",'caseload data'!$A:$A,$B$5, 'caseload data'!$B:$B, "custody")</f>
        <v>0</v>
      </c>
      <c r="O66" s="234">
        <f>SUMIFS('caseload data'!Q:Q,'caseload data'!$D:$D,"SPO",'caseload data'!$A:$A,$B$5, 'caseload data'!$B:$B, "custody")</f>
        <v>0</v>
      </c>
      <c r="P66" s="234">
        <f>SUMIFS('caseload data'!R:R,'caseload data'!$D:$D,"SPO",'caseload data'!$A:$A,$B$5, 'caseload data'!$B:$B, "custody")</f>
        <v>0</v>
      </c>
      <c r="Q66" s="234">
        <f>SUMIFS('caseload data'!S:S,'caseload data'!$D:$D,"SPO",'caseload data'!$A:$A,$B$5, 'caseload data'!$B:$B, "custody")</f>
        <v>0</v>
      </c>
      <c r="R66" s="234">
        <f>SUMIFS('caseload data'!T:T,'caseload data'!$D:$D,"SPO",'caseload data'!$A:$A,$B$5, 'caseload data'!$B:$B, "custody")</f>
        <v>0</v>
      </c>
      <c r="S66" s="234">
        <f>SUMIFS('caseload data'!U:U,'caseload data'!$D:$D,"SPO",'caseload data'!$A:$A,$B$5, 'caseload data'!$B:$B, "custody")</f>
        <v>0</v>
      </c>
      <c r="T66" s="234">
        <f t="shared" si="14"/>
        <v>0</v>
      </c>
    </row>
    <row r="67" spans="2:20" x14ac:dyDescent="0.15">
      <c r="B67" s="144" t="s">
        <v>1286</v>
      </c>
      <c r="C67" s="364">
        <f>SUMIFS('caseload data'!E:E,'caseload data'!$D:$D,"DMY",'caseload data'!$A:$A,'HMIP caseload divisional'!$B$5, 'caseload data'!$B:$B, "custody")</f>
        <v>0</v>
      </c>
      <c r="D67" s="234">
        <f>SUMIFS('caseload data'!F:F,'caseload data'!$D:$D,"DMY",'caseload data'!$A:$A,'HMIP caseload divisional'!$B$5, 'caseload data'!$B:$B, "custody")</f>
        <v>0</v>
      </c>
      <c r="E67" s="234">
        <f>SUMIFS('caseload data'!G:G,'caseload data'!$D:$D,"DMY",'caseload data'!$A:$A,'HMIP caseload divisional'!$B$5, 'caseload data'!$B:$B, "custody")</f>
        <v>0</v>
      </c>
      <c r="F67" s="234">
        <f>SUMIFS('caseload data'!H:H,'caseload data'!$D:$D,"DMY",'caseload data'!$A:$A,'HMIP caseload divisional'!$B$5, 'caseload data'!$B:$B, "custody")</f>
        <v>0</v>
      </c>
      <c r="G67" s="234">
        <f>SUMIFS('caseload data'!I:I,'caseload data'!$D:$D,"DMY",'caseload data'!$A:$A,'HMIP caseload divisional'!$B$5, 'caseload data'!$B:$B, "custody")</f>
        <v>0</v>
      </c>
      <c r="H67" s="234">
        <f>SUMIFS('caseload data'!J:J,'caseload data'!$D:$D,"DMY",'caseload data'!$A:$A,'HMIP caseload divisional'!$B$5, 'caseload data'!$B:$B, "custody")</f>
        <v>0</v>
      </c>
      <c r="I67" s="234">
        <f>SUMIFS('caseload data'!K:K,'caseload data'!$D:$D,"DMY",'caseload data'!$A:$A,'HMIP caseload divisional'!$B$5, 'caseload data'!$B:$B, "custody")</f>
        <v>0</v>
      </c>
      <c r="J67" s="234">
        <f>SUMIFS('caseload data'!L:L,'caseload data'!$D:$D,"DMY",'caseload data'!$A:$A,'HMIP caseload divisional'!$B$5, 'caseload data'!$B:$B, "custody")</f>
        <v>0</v>
      </c>
      <c r="K67" s="234">
        <f>SUMIFS('caseload data'!M:M,'caseload data'!$D:$D,"DMY",'caseload data'!$A:$A,'HMIP caseload divisional'!$B$5, 'caseload data'!$B:$B, "custody")</f>
        <v>0</v>
      </c>
      <c r="L67" s="234">
        <f>SUMIFS('caseload data'!N:N,'caseload data'!$D:$D,"DMY",'caseload data'!$A:$A,'HMIP caseload divisional'!$B$5, 'caseload data'!$B:$B, "custody")</f>
        <v>0</v>
      </c>
      <c r="M67" s="234">
        <f>SUMIFS('caseload data'!O:O,'caseload data'!$D:$D,"DMY",'caseload data'!$A:$A,'HMIP caseload divisional'!$B$5, 'caseload data'!$B:$B, "custody")</f>
        <v>0</v>
      </c>
      <c r="N67" s="234">
        <f>SUMIFS('caseload data'!P:P,'caseload data'!$D:$D,"DMY",'caseload data'!$A:$A,'HMIP caseload divisional'!$B$5, 'caseload data'!$B:$B, "custody")</f>
        <v>0</v>
      </c>
      <c r="O67" s="234">
        <f>SUMIFS('caseload data'!Q:Q,'caseload data'!$D:$D,"DMY",'caseload data'!$A:$A,'HMIP caseload divisional'!$B$5, 'caseload data'!$B:$B, "custody")</f>
        <v>0</v>
      </c>
      <c r="P67" s="234">
        <f>SUMIFS('caseload data'!R:R,'caseload data'!$D:$D,"DMY",'caseload data'!$A:$A,'HMIP caseload divisional'!$B$5, 'caseload data'!$B:$B, "custody")</f>
        <v>0</v>
      </c>
      <c r="Q67" s="234">
        <f>SUMIFS('caseload data'!S:S,'caseload data'!$D:$D,"DMY",'caseload data'!$A:$A,'HMIP caseload divisional'!$B$5, 'caseload data'!$B:$B, "custody")</f>
        <v>0</v>
      </c>
      <c r="R67" s="234">
        <f>SUMIFS('caseload data'!T:T,'caseload data'!$D:$D,"DMY",'caseload data'!$A:$A,'HMIP caseload divisional'!$B$5, 'caseload data'!$B:$B, "custody")</f>
        <v>0</v>
      </c>
      <c r="S67" s="234">
        <f>SUMIFS('caseload data'!U:U,'caseload data'!$D:$D,"DMY",'caseload data'!$A:$A,'HMIP caseload divisional'!$B$5, 'caseload data'!$B:$B, "custody")</f>
        <v>0</v>
      </c>
      <c r="T67" s="234">
        <f t="shared" ref="T67" si="15">SUM(C67:S67)</f>
        <v>0</v>
      </c>
    </row>
    <row r="68" spans="2:20" x14ac:dyDescent="0.15">
      <c r="B68" s="424" t="s">
        <v>909</v>
      </c>
      <c r="C68" s="425">
        <f>SUM(C63:C67)</f>
        <v>0</v>
      </c>
      <c r="D68" s="425">
        <f t="shared" ref="D68:T68" si="16">SUM(D63:D67)</f>
        <v>0</v>
      </c>
      <c r="E68" s="425">
        <f t="shared" si="16"/>
        <v>0</v>
      </c>
      <c r="F68" s="425">
        <f t="shared" si="16"/>
        <v>0</v>
      </c>
      <c r="G68" s="425">
        <f t="shared" si="16"/>
        <v>0</v>
      </c>
      <c r="H68" s="425">
        <f t="shared" si="16"/>
        <v>0</v>
      </c>
      <c r="I68" s="425">
        <f t="shared" si="16"/>
        <v>0</v>
      </c>
      <c r="J68" s="425">
        <f t="shared" si="16"/>
        <v>0</v>
      </c>
      <c r="K68" s="425">
        <f t="shared" si="16"/>
        <v>0</v>
      </c>
      <c r="L68" s="425">
        <f t="shared" si="16"/>
        <v>0</v>
      </c>
      <c r="M68" s="425">
        <f t="shared" si="16"/>
        <v>0</v>
      </c>
      <c r="N68" s="425">
        <f t="shared" si="16"/>
        <v>0</v>
      </c>
      <c r="O68" s="425">
        <f t="shared" si="16"/>
        <v>0</v>
      </c>
      <c r="P68" s="425">
        <f t="shared" si="16"/>
        <v>0</v>
      </c>
      <c r="Q68" s="425">
        <f t="shared" si="16"/>
        <v>0</v>
      </c>
      <c r="R68" s="425">
        <f t="shared" si="16"/>
        <v>0</v>
      </c>
      <c r="S68" s="425">
        <f t="shared" si="16"/>
        <v>0</v>
      </c>
      <c r="T68" s="425">
        <f t="shared" si="16"/>
        <v>0</v>
      </c>
    </row>
    <row r="69" spans="2:20" x14ac:dyDescent="0.15">
      <c r="B69" s="64"/>
      <c r="C69" s="64"/>
      <c r="D69" s="64"/>
      <c r="E69" s="64"/>
      <c r="F69" s="64"/>
      <c r="G69" s="64"/>
      <c r="H69" s="64"/>
      <c r="I69" s="64"/>
      <c r="J69" s="64"/>
      <c r="K69" s="64"/>
      <c r="L69" s="64"/>
      <c r="M69" s="64"/>
      <c r="N69" s="64"/>
      <c r="O69" s="64"/>
      <c r="P69" s="64"/>
      <c r="Q69" s="64"/>
      <c r="R69" s="64"/>
      <c r="S69" s="64"/>
      <c r="T69" s="64"/>
    </row>
    <row r="70" spans="2:20" ht="27.75" customHeight="1" x14ac:dyDescent="0.15">
      <c r="B70" s="297" t="str">
        <f>B5</f>
        <v>Yorkshire and The Humber</v>
      </c>
      <c r="C70" s="461" t="s">
        <v>979</v>
      </c>
      <c r="D70" s="462"/>
      <c r="E70" s="462"/>
      <c r="F70" s="462"/>
      <c r="G70" s="462"/>
      <c r="H70" s="462"/>
      <c r="I70" s="462"/>
      <c r="J70" s="462"/>
      <c r="K70" s="462"/>
      <c r="L70" s="462"/>
      <c r="M70" s="462"/>
      <c r="N70" s="462"/>
      <c r="O70" s="462"/>
      <c r="P70" s="462"/>
      <c r="Q70" s="462"/>
      <c r="R70" s="462"/>
      <c r="S70" s="462"/>
      <c r="T70" s="64"/>
    </row>
    <row r="71" spans="2:20" x14ac:dyDescent="0.15">
      <c r="B71" s="95" t="s">
        <v>951</v>
      </c>
      <c r="C71" s="287" t="s">
        <v>814</v>
      </c>
      <c r="D71" s="287" t="s">
        <v>815</v>
      </c>
      <c r="E71" s="287" t="s">
        <v>816</v>
      </c>
      <c r="F71" s="287" t="s">
        <v>817</v>
      </c>
      <c r="G71" s="287" t="s">
        <v>818</v>
      </c>
      <c r="H71" s="287" t="s">
        <v>819</v>
      </c>
      <c r="I71" s="287" t="s">
        <v>820</v>
      </c>
      <c r="J71" s="287" t="s">
        <v>821</v>
      </c>
      <c r="K71" s="287" t="s">
        <v>822</v>
      </c>
      <c r="L71" s="287" t="s">
        <v>823</v>
      </c>
      <c r="M71" s="287" t="s">
        <v>824</v>
      </c>
      <c r="N71" s="287" t="s">
        <v>825</v>
      </c>
      <c r="O71" s="287" t="s">
        <v>826</v>
      </c>
      <c r="P71" s="287" t="s">
        <v>827</v>
      </c>
      <c r="Q71" s="287" t="s">
        <v>828</v>
      </c>
      <c r="R71" s="287" t="s">
        <v>829</v>
      </c>
      <c r="S71" s="287" t="s">
        <v>975</v>
      </c>
      <c r="T71" s="64"/>
    </row>
    <row r="72" spans="2:20" x14ac:dyDescent="0.15">
      <c r="B72" s="362" t="s">
        <v>947</v>
      </c>
      <c r="C72" s="367" t="e">
        <f>AVERAGEIFS('caseload data'!E:E,'caseload data'!$D:$D,"PO",'caseload data'!$A:$A,$B$5)</f>
        <v>#DIV/0!</v>
      </c>
      <c r="D72" s="233" t="e">
        <f>AVERAGEIFS('caseload data'!F:F,'caseload data'!$D:$D,"PO",'caseload data'!$A:$A,$B$5)</f>
        <v>#DIV/0!</v>
      </c>
      <c r="E72" s="233" t="e">
        <f>AVERAGEIFS('caseload data'!G:G,'caseload data'!$D:$D,"PO",'caseload data'!$A:$A,$B$5)</f>
        <v>#DIV/0!</v>
      </c>
      <c r="F72" s="233" t="e">
        <f>AVERAGEIFS('caseload data'!H:H,'caseload data'!$D:$D,"PO",'caseload data'!$A:$A,$B$5)</f>
        <v>#DIV/0!</v>
      </c>
      <c r="G72" s="233" t="e">
        <f>AVERAGEIFS('caseload data'!I:I,'caseload data'!$D:$D,"PO",'caseload data'!$A:$A,$B$5)</f>
        <v>#DIV/0!</v>
      </c>
      <c r="H72" s="233" t="e">
        <f>AVERAGEIFS('caseload data'!J:J,'caseload data'!$D:$D,"PO",'caseload data'!$A:$A,$B$5)</f>
        <v>#DIV/0!</v>
      </c>
      <c r="I72" s="233" t="e">
        <f>AVERAGEIFS('caseload data'!K:K,'caseload data'!$D:$D,"PO",'caseload data'!$A:$A,$B$5)</f>
        <v>#DIV/0!</v>
      </c>
      <c r="J72" s="233" t="e">
        <f>AVERAGEIFS('caseload data'!L:L,'caseload data'!$D:$D,"PO",'caseload data'!$A:$A,$B$5)</f>
        <v>#DIV/0!</v>
      </c>
      <c r="K72" s="233" t="e">
        <f>AVERAGEIFS('caseload data'!M:M,'caseload data'!$D:$D,"PO",'caseload data'!$A:$A,$B$5)</f>
        <v>#DIV/0!</v>
      </c>
      <c r="L72" s="233" t="e">
        <f>AVERAGEIFS('caseload data'!N:N,'caseload data'!$D:$D,"PO",'caseload data'!$A:$A,$B$5)</f>
        <v>#DIV/0!</v>
      </c>
      <c r="M72" s="233" t="e">
        <f>AVERAGEIFS('caseload data'!O:O,'caseload data'!$D:$D,"PO",'caseload data'!$A:$A,$B$5)</f>
        <v>#DIV/0!</v>
      </c>
      <c r="N72" s="233" t="e">
        <f>AVERAGEIFS('caseload data'!P:P,'caseload data'!$D:$D,"PO",'caseload data'!$A:$A,$B$5)</f>
        <v>#DIV/0!</v>
      </c>
      <c r="O72" s="233" t="e">
        <f>AVERAGEIFS('caseload data'!Q:Q,'caseload data'!$D:$D,"PO",'caseload data'!$A:$A,$B$5)</f>
        <v>#DIV/0!</v>
      </c>
      <c r="P72" s="233" t="e">
        <f>AVERAGEIFS('caseload data'!R:R,'caseload data'!$D:$D,"PO",'caseload data'!$A:$A,$B$5)</f>
        <v>#DIV/0!</v>
      </c>
      <c r="Q72" s="233" t="e">
        <f>AVERAGEIFS('caseload data'!S:S,'caseload data'!$D:$D,"PO",'caseload data'!$A:$A,$B$5)</f>
        <v>#DIV/0!</v>
      </c>
      <c r="R72" s="233" t="e">
        <f>AVERAGEIFS('caseload data'!T:T,'caseload data'!$D:$D,"PO",'caseload data'!$A:$A,$B$5)</f>
        <v>#DIV/0!</v>
      </c>
      <c r="S72" s="233" t="e">
        <f>AVERAGEIFS('caseload data'!U:U,'caseload data'!$D:$D,"PO",'caseload data'!$A:$A,$B$5)</f>
        <v>#DIV/0!</v>
      </c>
      <c r="T72" s="64"/>
    </row>
    <row r="73" spans="2:20" x14ac:dyDescent="0.15">
      <c r="B73" s="363" t="s">
        <v>952</v>
      </c>
      <c r="C73" s="367" t="e">
        <f>AVERAGEIFS('caseload data'!E:E,'caseload data'!$D:$D,"PSO",'caseload data'!$A:$A,$B$5)</f>
        <v>#DIV/0!</v>
      </c>
      <c r="D73" s="233" t="e">
        <f>AVERAGEIFS('caseload data'!F:F,'caseload data'!$D:$D,"PSO",'caseload data'!$A:$A,$B$5)</f>
        <v>#DIV/0!</v>
      </c>
      <c r="E73" s="233" t="e">
        <f>AVERAGEIFS('caseload data'!G:G,'caseload data'!$D:$D,"PSO",'caseload data'!$A:$A,$B$5)</f>
        <v>#DIV/0!</v>
      </c>
      <c r="F73" s="233" t="e">
        <f>AVERAGEIFS('caseload data'!H:H,'caseload data'!$D:$D,"PSO",'caseload data'!$A:$A,$B$5)</f>
        <v>#DIV/0!</v>
      </c>
      <c r="G73" s="233" t="e">
        <f>AVERAGEIFS('caseload data'!I:I,'caseload data'!$D:$D,"PSO",'caseload data'!$A:$A,$B$5)</f>
        <v>#DIV/0!</v>
      </c>
      <c r="H73" s="233" t="e">
        <f>AVERAGEIFS('caseload data'!J:J,'caseload data'!$D:$D,"PSO",'caseload data'!$A:$A,$B$5)</f>
        <v>#DIV/0!</v>
      </c>
      <c r="I73" s="233" t="e">
        <f>AVERAGEIFS('caseload data'!K:K,'caseload data'!$D:$D,"PSO",'caseload data'!$A:$A,$B$5)</f>
        <v>#DIV/0!</v>
      </c>
      <c r="J73" s="233" t="e">
        <f>AVERAGEIFS('caseload data'!L:L,'caseload data'!$D:$D,"PSO",'caseload data'!$A:$A,$B$5)</f>
        <v>#DIV/0!</v>
      </c>
      <c r="K73" s="233" t="e">
        <f>AVERAGEIFS('caseload data'!M:M,'caseload data'!$D:$D,"PSO",'caseload data'!$A:$A,$B$5)</f>
        <v>#DIV/0!</v>
      </c>
      <c r="L73" s="233" t="e">
        <f>AVERAGEIFS('caseload data'!N:N,'caseload data'!$D:$D,"PSO",'caseload data'!$A:$A,$B$5)</f>
        <v>#DIV/0!</v>
      </c>
      <c r="M73" s="233" t="e">
        <f>AVERAGEIFS('caseload data'!O:O,'caseload data'!$D:$D,"PSO",'caseload data'!$A:$A,$B$5)</f>
        <v>#DIV/0!</v>
      </c>
      <c r="N73" s="233" t="e">
        <f>AVERAGEIFS('caseload data'!P:P,'caseload data'!$D:$D,"PSO",'caseload data'!$A:$A,$B$5)</f>
        <v>#DIV/0!</v>
      </c>
      <c r="O73" s="233" t="e">
        <f>AVERAGEIFS('caseload data'!Q:Q,'caseload data'!$D:$D,"PSO",'caseload data'!$A:$A,$B$5)</f>
        <v>#DIV/0!</v>
      </c>
      <c r="P73" s="233" t="e">
        <f>AVERAGEIFS('caseload data'!R:R,'caseload data'!$D:$D,"PSO",'caseload data'!$A:$A,$B$5)</f>
        <v>#DIV/0!</v>
      </c>
      <c r="Q73" s="233" t="e">
        <f>AVERAGEIFS('caseload data'!S:S,'caseload data'!$D:$D,"PSO",'caseload data'!$A:$A,$B$5)</f>
        <v>#DIV/0!</v>
      </c>
      <c r="R73" s="233" t="e">
        <f>AVERAGEIFS('caseload data'!T:T,'caseload data'!$D:$D,"PSO",'caseload data'!$A:$A,$B$5)</f>
        <v>#DIV/0!</v>
      </c>
      <c r="S73" s="233" t="e">
        <f>AVERAGEIFS('caseload data'!U:U,'caseload data'!$D:$D,"PSO",'caseload data'!$A:$A,$B$5)</f>
        <v>#DIV/0!</v>
      </c>
      <c r="T73" s="64"/>
    </row>
    <row r="74" spans="2:20" x14ac:dyDescent="0.15">
      <c r="B74" s="363" t="s">
        <v>953</v>
      </c>
      <c r="C74" s="367" t="e">
        <f>AVERAGEIFS('caseload data'!E:E,'caseload data'!$D:$D,"TPO",'caseload data'!$A:$A,$B$5)</f>
        <v>#DIV/0!</v>
      </c>
      <c r="D74" s="233" t="e">
        <f>AVERAGEIFS('caseload data'!F:F,'caseload data'!$D:$D,"TPO",'caseload data'!$A:$A,$B$5)</f>
        <v>#DIV/0!</v>
      </c>
      <c r="E74" s="233" t="e">
        <f>AVERAGEIFS('caseload data'!G:G,'caseload data'!$D:$D,"TPO",'caseload data'!$A:$A,$B$5)</f>
        <v>#DIV/0!</v>
      </c>
      <c r="F74" s="233" t="e">
        <f>AVERAGEIFS('caseload data'!H:H,'caseload data'!$D:$D,"TPO",'caseload data'!$A:$A,$B$5)</f>
        <v>#DIV/0!</v>
      </c>
      <c r="G74" s="233" t="e">
        <f>AVERAGEIFS('caseload data'!I:I,'caseload data'!$D:$D,"TPO",'caseload data'!$A:$A,$B$5)</f>
        <v>#DIV/0!</v>
      </c>
      <c r="H74" s="233" t="e">
        <f>AVERAGEIFS('caseload data'!J:J,'caseload data'!$D:$D,"TPO",'caseload data'!$A:$A,$B$5)</f>
        <v>#DIV/0!</v>
      </c>
      <c r="I74" s="233" t="e">
        <f>AVERAGEIFS('caseload data'!K:K,'caseload data'!$D:$D,"TPO",'caseload data'!$A:$A,$B$5)</f>
        <v>#DIV/0!</v>
      </c>
      <c r="J74" s="233" t="e">
        <f>AVERAGEIFS('caseload data'!L:L,'caseload data'!$D:$D,"TPO",'caseload data'!$A:$A,$B$5)</f>
        <v>#DIV/0!</v>
      </c>
      <c r="K74" s="233" t="e">
        <f>AVERAGEIFS('caseload data'!M:M,'caseload data'!$D:$D,"TPO",'caseload data'!$A:$A,$B$5)</f>
        <v>#DIV/0!</v>
      </c>
      <c r="L74" s="233" t="e">
        <f>AVERAGEIFS('caseload data'!N:N,'caseload data'!$D:$D,"TPO",'caseload data'!$A:$A,$B$5)</f>
        <v>#DIV/0!</v>
      </c>
      <c r="M74" s="233" t="e">
        <f>AVERAGEIFS('caseload data'!O:O,'caseload data'!$D:$D,"TPO",'caseload data'!$A:$A,$B$5)</f>
        <v>#DIV/0!</v>
      </c>
      <c r="N74" s="233" t="e">
        <f>AVERAGEIFS('caseload data'!P:P,'caseload data'!$D:$D,"TPO",'caseload data'!$A:$A,$B$5)</f>
        <v>#DIV/0!</v>
      </c>
      <c r="O74" s="233" t="e">
        <f>AVERAGEIFS('caseload data'!Q:Q,'caseload data'!$D:$D,"TPO",'caseload data'!$A:$A,$B$5)</f>
        <v>#DIV/0!</v>
      </c>
      <c r="P74" s="233" t="e">
        <f>AVERAGEIFS('caseload data'!R:R,'caseload data'!$D:$D,"TPO",'caseload data'!$A:$A,$B$5)</f>
        <v>#DIV/0!</v>
      </c>
      <c r="Q74" s="233" t="e">
        <f>AVERAGEIFS('caseload data'!S:S,'caseload data'!$D:$D,"TPO",'caseload data'!$A:$A,$B$5)</f>
        <v>#DIV/0!</v>
      </c>
      <c r="R74" s="233" t="e">
        <f>AVERAGEIFS('caseload data'!T:T,'caseload data'!$D:$D,"TPO",'caseload data'!$A:$A,$B$5)</f>
        <v>#DIV/0!</v>
      </c>
      <c r="S74" s="233" t="e">
        <f>AVERAGEIFS('caseload data'!U:U,'caseload data'!$D:$D,"TPO",'caseload data'!$A:$A,$B$5)</f>
        <v>#DIV/0!</v>
      </c>
      <c r="T74" s="64"/>
    </row>
    <row r="75" spans="2:20" x14ac:dyDescent="0.15">
      <c r="B75" s="363" t="s">
        <v>954</v>
      </c>
      <c r="C75" s="367" t="e">
        <f>AVERAGEIFS('caseload data'!E:E,'caseload data'!$D:$D,"SPO",'caseload data'!$A:$A,$B$5)</f>
        <v>#DIV/0!</v>
      </c>
      <c r="D75" s="233" t="e">
        <f>AVERAGEIFS('caseload data'!F:F,'caseload data'!$D:$D,"SPO",'caseload data'!$A:$A,$B$5)</f>
        <v>#DIV/0!</v>
      </c>
      <c r="E75" s="233" t="e">
        <f>AVERAGEIFS('caseload data'!G:G,'caseload data'!$D:$D,"SPO",'caseload data'!$A:$A,$B$5)</f>
        <v>#DIV/0!</v>
      </c>
      <c r="F75" s="233" t="e">
        <f>AVERAGEIFS('caseload data'!H:H,'caseload data'!$D:$D,"SPO",'caseload data'!$A:$A,$B$5)</f>
        <v>#DIV/0!</v>
      </c>
      <c r="G75" s="233" t="e">
        <f>AVERAGEIFS('caseload data'!I:I,'caseload data'!$D:$D,"SPO",'caseload data'!$A:$A,$B$5)</f>
        <v>#DIV/0!</v>
      </c>
      <c r="H75" s="233" t="e">
        <f>AVERAGEIFS('caseload data'!J:J,'caseload data'!$D:$D,"SPO",'caseload data'!$A:$A,$B$5)</f>
        <v>#DIV/0!</v>
      </c>
      <c r="I75" s="233" t="e">
        <f>AVERAGEIFS('caseload data'!K:K,'caseload data'!$D:$D,"SPO",'caseload data'!$A:$A,$B$5)</f>
        <v>#DIV/0!</v>
      </c>
      <c r="J75" s="233" t="e">
        <f>AVERAGEIFS('caseload data'!L:L,'caseload data'!$D:$D,"SPO",'caseload data'!$A:$A,$B$5)</f>
        <v>#DIV/0!</v>
      </c>
      <c r="K75" s="233" t="e">
        <f>AVERAGEIFS('caseload data'!M:M,'caseload data'!$D:$D,"SPO",'caseload data'!$A:$A,$B$5)</f>
        <v>#DIV/0!</v>
      </c>
      <c r="L75" s="233" t="e">
        <f>AVERAGEIFS('caseload data'!N:N,'caseload data'!$D:$D,"SPO",'caseload data'!$A:$A,$B$5)</f>
        <v>#DIV/0!</v>
      </c>
      <c r="M75" s="233" t="e">
        <f>AVERAGEIFS('caseload data'!O:O,'caseload data'!$D:$D,"SPO",'caseload data'!$A:$A,$B$5)</f>
        <v>#DIV/0!</v>
      </c>
      <c r="N75" s="233" t="e">
        <f>AVERAGEIFS('caseload data'!P:P,'caseload data'!$D:$D,"SPO",'caseload data'!$A:$A,$B$5)</f>
        <v>#DIV/0!</v>
      </c>
      <c r="O75" s="233" t="e">
        <f>AVERAGEIFS('caseload data'!Q:Q,'caseload data'!$D:$D,"SPO",'caseload data'!$A:$A,$B$5)</f>
        <v>#DIV/0!</v>
      </c>
      <c r="P75" s="233" t="e">
        <f>AVERAGEIFS('caseload data'!R:R,'caseload data'!$D:$D,"SPO",'caseload data'!$A:$A,$B$5)</f>
        <v>#DIV/0!</v>
      </c>
      <c r="Q75" s="233" t="e">
        <f>AVERAGEIFS('caseload data'!S:S,'caseload data'!$D:$D,"SPO",'caseload data'!$A:$A,$B$5)</f>
        <v>#DIV/0!</v>
      </c>
      <c r="R75" s="233" t="e">
        <f>AVERAGEIFS('caseload data'!T:T,'caseload data'!$D:$D,"SPO",'caseload data'!$A:$A,$B$5)</f>
        <v>#DIV/0!</v>
      </c>
      <c r="S75" s="233" t="e">
        <f>AVERAGEIFS('caseload data'!U:U,'caseload data'!$D:$D,"SPO",'caseload data'!$A:$A,$B$5)</f>
        <v>#DIV/0!</v>
      </c>
      <c r="T75" s="64"/>
    </row>
    <row r="76" spans="2:20" x14ac:dyDescent="0.15">
      <c r="B76" s="144" t="s">
        <v>1286</v>
      </c>
      <c r="C76" s="367" t="e">
        <f>AVERAGEIFS('caseload data'!E:E,'caseload data'!$D:$D,"DMY",'caseload data'!$A:$A,$B$5)</f>
        <v>#DIV/0!</v>
      </c>
      <c r="D76" s="233" t="e">
        <f>AVERAGEIFS('caseload data'!F:F,'caseload data'!$D:$D,"DMY",'caseload data'!$A:$A,$B$5)</f>
        <v>#DIV/0!</v>
      </c>
      <c r="E76" s="233" t="e">
        <f>AVERAGEIFS('caseload data'!G:G,'caseload data'!$D:$D,"DMY",'caseload data'!$A:$A,$B$5)</f>
        <v>#DIV/0!</v>
      </c>
      <c r="F76" s="233" t="e">
        <f>AVERAGEIFS('caseload data'!H:H,'caseload data'!$D:$D,"DMY",'caseload data'!$A:$A,$B$5)</f>
        <v>#DIV/0!</v>
      </c>
      <c r="G76" s="233" t="e">
        <f>AVERAGEIFS('caseload data'!I:I,'caseload data'!$D:$D,"DMY",'caseload data'!$A:$A,$B$5)</f>
        <v>#DIV/0!</v>
      </c>
      <c r="H76" s="233" t="e">
        <f>AVERAGEIFS('caseload data'!J:J,'caseload data'!$D:$D,"DMY",'caseload data'!$A:$A,$B$5)</f>
        <v>#DIV/0!</v>
      </c>
      <c r="I76" s="233" t="e">
        <f>AVERAGEIFS('caseload data'!K:K,'caseload data'!$D:$D,"DMY",'caseload data'!$A:$A,$B$5)</f>
        <v>#DIV/0!</v>
      </c>
      <c r="J76" s="233" t="e">
        <f>AVERAGEIFS('caseload data'!L:L,'caseload data'!$D:$D,"DMY",'caseload data'!$A:$A,$B$5)</f>
        <v>#DIV/0!</v>
      </c>
      <c r="K76" s="233" t="e">
        <f>AVERAGEIFS('caseload data'!M:M,'caseload data'!$D:$D,"DMY",'caseload data'!$A:$A,$B$5)</f>
        <v>#DIV/0!</v>
      </c>
      <c r="L76" s="233" t="e">
        <f>AVERAGEIFS('caseload data'!N:N,'caseload data'!$D:$D,"DMY",'caseload data'!$A:$A,$B$5)</f>
        <v>#DIV/0!</v>
      </c>
      <c r="M76" s="233" t="e">
        <f>AVERAGEIFS('caseload data'!O:O,'caseload data'!$D:$D,"DMY",'caseload data'!$A:$A,$B$5)</f>
        <v>#DIV/0!</v>
      </c>
      <c r="N76" s="233" t="e">
        <f>AVERAGEIFS('caseload data'!P:P,'caseload data'!$D:$D,"DMY",'caseload data'!$A:$A,$B$5)</f>
        <v>#DIV/0!</v>
      </c>
      <c r="O76" s="233" t="e">
        <f>AVERAGEIFS('caseload data'!Q:Q,'caseload data'!$D:$D,"DMY",'caseload data'!$A:$A,$B$5)</f>
        <v>#DIV/0!</v>
      </c>
      <c r="P76" s="233" t="e">
        <f>AVERAGEIFS('caseload data'!R:R,'caseload data'!$D:$D,"DMY",'caseload data'!$A:$A,$B$5)</f>
        <v>#DIV/0!</v>
      </c>
      <c r="Q76" s="233" t="e">
        <f>AVERAGEIFS('caseload data'!S:S,'caseload data'!$D:$D,"DMY",'caseload data'!$A:$A,$B$5)</f>
        <v>#DIV/0!</v>
      </c>
      <c r="R76" s="233" t="e">
        <f>AVERAGEIFS('caseload data'!T:T,'caseload data'!$D:$D,"DMY",'caseload data'!$A:$A,$B$5)</f>
        <v>#DIV/0!</v>
      </c>
      <c r="S76" s="233" t="e">
        <f>AVERAGEIFS('caseload data'!U:U,'caseload data'!$D:$D,"DMY",'caseload data'!$A:$A,$B$5)</f>
        <v>#DIV/0!</v>
      </c>
      <c r="T76" s="64"/>
    </row>
    <row r="77" spans="2:20" x14ac:dyDescent="0.15">
      <c r="D77" s="427"/>
      <c r="E77" s="427"/>
      <c r="F77" s="427"/>
      <c r="G77" s="427"/>
      <c r="H77" s="427"/>
    </row>
  </sheetData>
  <mergeCells count="9">
    <mergeCell ref="A1:L1"/>
    <mergeCell ref="A2:L2"/>
    <mergeCell ref="C70:S70"/>
    <mergeCell ref="C61:T61"/>
    <mergeCell ref="C52:T52"/>
    <mergeCell ref="C43:T43"/>
    <mergeCell ref="C34:T34"/>
    <mergeCell ref="H7:N7"/>
    <mergeCell ref="H15:L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9"/>
  <sheetViews>
    <sheetView showGridLines="0" zoomScale="85" zoomScaleNormal="85" workbookViewId="0">
      <selection activeCell="D4" sqref="D4"/>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40.8320312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465" t="s">
        <v>980</v>
      </c>
      <c r="B1" s="465"/>
      <c r="C1" s="465"/>
      <c r="D1" s="465"/>
      <c r="E1" s="465"/>
      <c r="F1" s="465"/>
      <c r="G1" s="465"/>
      <c r="H1" s="465"/>
      <c r="I1" s="465"/>
      <c r="J1" s="465"/>
      <c r="K1" s="465"/>
      <c r="L1" s="465"/>
      <c r="M1" s="465"/>
      <c r="N1" s="252"/>
      <c r="O1" s="252"/>
      <c r="P1" s="252"/>
      <c r="Q1" s="252"/>
      <c r="R1" s="252"/>
      <c r="S1" s="252"/>
    </row>
    <row r="2" spans="1:23" ht="37.5" customHeight="1" x14ac:dyDescent="0.15">
      <c r="A2" s="468" t="s">
        <v>1363</v>
      </c>
      <c r="B2" s="468"/>
      <c r="C2" s="468"/>
      <c r="D2" s="468"/>
      <c r="E2" s="468"/>
      <c r="F2" s="468"/>
      <c r="G2" s="468"/>
      <c r="H2" s="468"/>
      <c r="I2" s="468"/>
      <c r="J2" s="468"/>
      <c r="K2" s="468"/>
      <c r="L2" s="468"/>
      <c r="M2" s="468"/>
      <c r="N2" s="241"/>
      <c r="O2" s="241"/>
      <c r="P2" s="241"/>
      <c r="Q2" s="241"/>
      <c r="R2" s="241"/>
      <c r="S2" s="241"/>
    </row>
    <row r="4" spans="1:23" ht="33" customHeight="1" x14ac:dyDescent="0.15">
      <c r="B4" s="300" t="s">
        <v>981</v>
      </c>
    </row>
    <row r="5" spans="1:23" ht="35.25" customHeight="1" x14ac:dyDescent="0.15">
      <c r="B5" s="242" t="s">
        <v>21</v>
      </c>
      <c r="F5" s="40"/>
      <c r="L5" s="40"/>
      <c r="V5" s="307" t="s">
        <v>1189</v>
      </c>
      <c r="W5" s="307" cm="1">
        <f t="array" ref="W5">SUM(SUMIFS('capacity data'!K:K,'capacity data'!B:B,B6,'capacity data'!E:E,{"PO","PSO"}))</f>
        <v>0</v>
      </c>
    </row>
    <row r="6" spans="1:23" ht="39.75" customHeight="1" x14ac:dyDescent="0.15">
      <c r="B6" s="298" t="s">
        <v>290</v>
      </c>
      <c r="V6" s="308" t="s">
        <v>1190</v>
      </c>
      <c r="W6" s="307" cm="1">
        <f t="array" ref="W6">SUM(SUMIFS('capacity data'!I:I,'capacity data'!B:B,B6,'capacity data'!E:E,{"PO","PSO"}))-SUM((SUMIFS('capacity data'!J:J,'capacity data'!B:B,B6,'capacity data'!E:E,{"PO","PSO"})))</f>
        <v>0</v>
      </c>
    </row>
    <row r="7" spans="1:23" ht="24" customHeight="1" x14ac:dyDescent="0.15">
      <c r="V7" s="307" t="s">
        <v>1191</v>
      </c>
      <c r="W7" s="307">
        <f>W6/37</f>
        <v>0</v>
      </c>
    </row>
    <row r="8" spans="1:23" x14ac:dyDescent="0.15">
      <c r="F8" s="238"/>
    </row>
    <row r="9" spans="1:23" ht="23" x14ac:dyDescent="0.15">
      <c r="B9" s="283" t="s">
        <v>959</v>
      </c>
      <c r="C9" s="284"/>
      <c r="D9" s="284"/>
      <c r="E9" s="284"/>
      <c r="F9" s="285"/>
      <c r="H9" s="469" t="s">
        <v>982</v>
      </c>
      <c r="I9" s="470"/>
      <c r="J9" s="470"/>
      <c r="K9" s="470"/>
      <c r="L9" s="470"/>
      <c r="M9" s="470"/>
      <c r="N9" s="470"/>
    </row>
    <row r="10" spans="1:23" ht="51" customHeight="1" x14ac:dyDescent="0.15">
      <c r="B10" s="62"/>
      <c r="C10" s="219" t="s">
        <v>961</v>
      </c>
      <c r="D10" s="219" t="s">
        <v>962</v>
      </c>
      <c r="E10" s="219" t="s">
        <v>963</v>
      </c>
      <c r="F10" s="219" t="s">
        <v>983</v>
      </c>
      <c r="H10" s="62"/>
      <c r="I10" s="219" t="s">
        <v>965</v>
      </c>
      <c r="J10" s="63" t="s">
        <v>966</v>
      </c>
      <c r="K10" s="63" t="s">
        <v>967</v>
      </c>
      <c r="L10" s="63" t="s">
        <v>984</v>
      </c>
      <c r="M10" s="219" t="s">
        <v>969</v>
      </c>
      <c r="N10" s="219" t="s">
        <v>1188</v>
      </c>
    </row>
    <row r="11" spans="1:23" ht="30" customHeight="1" x14ac:dyDescent="0.2">
      <c r="B11" s="423" t="str">
        <f>B6</f>
        <v>Lambeth - N07</v>
      </c>
      <c r="C11" s="235" t="e">
        <f>SUMIFS('capacity data'!K:K,'capacity data'!B:B,B6,'capacity data'!E:E,"PO")/((SUMIFS('capacity data'!I:I,'capacity data'!B:B,B6,'capacity data'!E:E,"PO")-(SUMIFS('capacity data'!J:J,'capacity data'!B:B,B6,'capacity data'!E:E,"PO")))/37)</f>
        <v>#DIV/0!</v>
      </c>
      <c r="D11" s="236" t="e">
        <f>SUMIFS('capacity data'!K:K,'capacity data'!B:B,B6,'capacity data'!E:E,"PSO")/((SUMIFS('capacity data'!I:I,'capacity data'!B:B,B6,'capacity data'!E:E,"PSO")-(SUMIFS('capacity data'!J:J,'capacity data'!B:B,B6,'capacity data'!E:E,"PSO")))/37)</f>
        <v>#DIV/0!</v>
      </c>
      <c r="E11" s="236" t="e">
        <f>SUMIFS('capacity data'!K:K,'capacity data'!B:B,B6,'capacity data'!E:E,"TPO")/((SUMIFS('capacity data'!I:I,'capacity data'!B:B,B6,'capacity data'!E:E,"TPO")-(SUMIFS('capacity data'!J:J,'capacity data'!B:B,B6,'capacity data'!E:E,"TPO")))/37)</f>
        <v>#DIV/0!</v>
      </c>
      <c r="F11" s="236" t="e">
        <f>SUMIFS('capacity data'!K:K,'capacity data'!B:B,B6,'capacity data'!E:E,"&lt;&gt;DMY")/((SUMIFS('capacity data'!I:I,'capacity data'!B:B,B6,'capacity data'!E:E,"&lt;&gt;DMY")-(SUMIFS('capacity data'!J:J,'capacity data'!B:B,B6,'capacity data'!E:E,"&lt;&gt;DMY")))/37)</f>
        <v>#DIV/0!</v>
      </c>
      <c r="H11" s="423" t="str">
        <f>B6</f>
        <v>Lambeth - N07</v>
      </c>
      <c r="I11" s="82" t="e">
        <f>SUMIFS('capacity data'!F:F, 'capacity data'!E:E, "PO",'capacity data'!F:F, "&lt;&gt;0", 'capacity data'!B:B, B6) / COUNTIFS('capacity data'!E:E, "PO",'capacity data'!F:F, "&lt;&gt;0",'capacity data'!B:B, B6)</f>
        <v>#DIV/0!</v>
      </c>
      <c r="J11" s="82" t="e">
        <f>SUMIFS('capacity data'!F:F, 'capacity data'!E:E, "PSO",'capacity data'!F:F, "&lt;&gt;0", 'capacity data'!B:B, B6) / COUNTIFS('capacity data'!E:E, "PSO",'capacity data'!F:F, "&lt;&gt;0",'capacity data'!B:B, B6)</f>
        <v>#DIV/0!</v>
      </c>
      <c r="K11" s="82" t="e">
        <f>SUMIFS('capacity data'!F:F, 'capacity data'!E:E, "TPO",'capacity data'!F:F, "&lt;&gt;0", 'capacity data'!B:B, B6) / COUNTIFS('capacity data'!E:E, "TPO",'capacity data'!F:F, "&lt;&gt;0",'capacity data'!B:B, B6)</f>
        <v>#DIV/0!</v>
      </c>
      <c r="L11" s="82" t="e">
        <f>SUMIFS('capacity data'!F:F, 'capacity data'!E:E, "&lt;&gt;DMY",'capacity data'!F:F, "&lt;&gt;0", 'capacity data'!B:B, B6) / COUNTIFS('capacity data'!E:E, "&lt;&gt;DMY",'capacity data'!F:F, "&lt;&gt;0",'capacity data'!B:B, B6)</f>
        <v>#DIV/0!</v>
      </c>
      <c r="M11" s="301" t="e" cm="1">
        <f t="array" ref="M11">SUM(SUMIFS('capacity data'!F:F, 'capacity data'!E:E, {"PO","PSO"},'capacity data'!F:F, "&lt;&gt;0", 'capacity data'!B:B, B6)) / SUM(COUNTIFS('capacity data'!E:E, {"PO","PSO"},'capacity data'!F:F, "&lt;&gt;0",'capacity data'!B:B, B6))</f>
        <v>#DIV/0!</v>
      </c>
      <c r="N11" s="311" t="e">
        <f>W5/W7</f>
        <v>#DIV/0!</v>
      </c>
    </row>
    <row r="12" spans="1:23" x14ac:dyDescent="0.15">
      <c r="B12" s="229" t="s">
        <v>970</v>
      </c>
      <c r="C12" s="235" t="e">
        <f>SUMIFS('capacity data'!K:K,'capacity data'!E:E,"PO")/((SUMIFS('capacity data'!I:I,'capacity data'!E:E,"PO")-(SUMIFS('capacity data'!J:J,'capacity data'!E:E,"PO")))/37)</f>
        <v>#DIV/0!</v>
      </c>
      <c r="D12" s="236" t="e">
        <f>SUMIFS('capacity data'!K:K,'capacity data'!E:E,"PSO")/((SUMIFS('capacity data'!I:I,'capacity data'!E:E,"PSO")-(SUMIFS('capacity data'!J:J,'capacity data'!E:E,"PSO")))/37)</f>
        <v>#DIV/0!</v>
      </c>
      <c r="E12" s="236" t="e">
        <f>SUMIFS('capacity data'!K:K,'capacity data'!E:E,"TPO")/((SUMIFS('capacity data'!I:I,'capacity data'!E:E,"TPO")-(SUMIFS('capacity data'!J:J,'capacity data'!E:E,"TPO")))/37)</f>
        <v>#DIV/0!</v>
      </c>
      <c r="F12" s="236" t="e">
        <f>SUMIFS('capacity data'!K:K,'capacity data'!E:E,"&lt;&gt;DMY")/((SUMIFS('capacity data'!I:I,'capacity data'!E:E,"&lt;&gt;DMY")-(SUMIFS('capacity data'!J:J,'capacity data'!E:E,"&lt;&gt;DMY")))/37)</f>
        <v>#DIV/0!</v>
      </c>
      <c r="H12" s="229" t="s">
        <v>970</v>
      </c>
      <c r="I12" s="82" t="e">
        <f>SUMIFS('capacity data'!F:F, 'capacity data'!E:E, "PO",'capacity data'!F:F, "&lt;&gt;0") / COUNTIFS('capacity data'!E:E, "PO",'capacity data'!F:F, "&lt;&gt;0")</f>
        <v>#DIV/0!</v>
      </c>
      <c r="J12" s="82" t="e">
        <f>SUMIFS('capacity data'!F:F, 'capacity data'!E:E, "PSO",'capacity data'!F:F, "&lt;&gt;0") / COUNTIFS('capacity data'!E:E, "PSO",'capacity data'!F:F, "&lt;&gt;0")</f>
        <v>#DIV/0!</v>
      </c>
      <c r="K12" s="82" t="e">
        <f>SUMIFS('capacity data'!F:F, 'capacity data'!E:E, "TPO",'capacity data'!F:F, "&lt;&gt;0") / COUNTIFS('capacity data'!E:E, "TPO",'capacity data'!F:F, "&lt;&gt;0")</f>
        <v>#DIV/0!</v>
      </c>
      <c r="L12" s="82">
        <f>SUMIFS('capacity data'!F:F, 'capacity data'!E:E, "&lt;&gt;DMY",'capacity data'!F:F, "&lt;&gt;0") / COUNTIFS('capacity data'!E:E, "&lt;&gt;DMY",'capacity data'!F:F, "&lt;&gt;0", 'capacity data'!A:A, "&lt;&gt;")</f>
        <v>0</v>
      </c>
      <c r="M12" s="292" t="e" cm="1">
        <f t="array" ref="M12">SUM(SUMIFS('capacity data'!F:F,'capacity data'!E:E,{"PO","PSO"},'capacity data'!F:F,"&lt;&gt;0"))/SUM(COUNTIFS('capacity data'!E:E,{"PO","PSO"},'capacity data'!F:F,"&lt;&gt;0"))</f>
        <v>#DIV/0!</v>
      </c>
      <c r="N12" s="309" t="e">
        <f>'HMIP caseload divisional'!N10</f>
        <v>#DIV/0!</v>
      </c>
    </row>
    <row r="13" spans="1:23" x14ac:dyDescent="0.15">
      <c r="B13" s="68" t="s">
        <v>985</v>
      </c>
      <c r="C13" s="235" t="e">
        <f>C11-C12</f>
        <v>#DIV/0!</v>
      </c>
      <c r="D13" s="235" t="e">
        <f t="shared" ref="D13:F13" si="0">D11-D12</f>
        <v>#DIV/0!</v>
      </c>
      <c r="E13" s="235" t="e">
        <f t="shared" si="0"/>
        <v>#DIV/0!</v>
      </c>
      <c r="F13" s="235" t="e">
        <f t="shared" si="0"/>
        <v>#DIV/0!</v>
      </c>
      <c r="H13" s="68" t="s">
        <v>985</v>
      </c>
      <c r="I13" s="102" t="e">
        <f>+I11-I12</f>
        <v>#DIV/0!</v>
      </c>
      <c r="J13" s="102" t="str">
        <f>IFERROR(+J11-J12,"N/A")</f>
        <v>N/A</v>
      </c>
      <c r="K13" s="102" t="str">
        <f>IFERROR(+K11-K12,"N/A")</f>
        <v>N/A</v>
      </c>
      <c r="L13" s="102" t="e">
        <f>+L11-L12</f>
        <v>#DIV/0!</v>
      </c>
      <c r="M13" s="102" t="e">
        <f>(M11-M12)</f>
        <v>#DIV/0!</v>
      </c>
      <c r="N13" s="310" t="e">
        <f>(N11-N12)</f>
        <v>#DIV/0!</v>
      </c>
    </row>
    <row r="14" spans="1:23" x14ac:dyDescent="0.15">
      <c r="C14" s="238"/>
      <c r="D14" s="238"/>
      <c r="E14" s="238"/>
      <c r="F14" s="238"/>
    </row>
    <row r="16" spans="1:23" ht="23" x14ac:dyDescent="0.15">
      <c r="B16" s="283" t="s">
        <v>971</v>
      </c>
      <c r="C16" s="284"/>
      <c r="D16" s="284"/>
      <c r="E16" s="284"/>
      <c r="F16" s="285"/>
      <c r="H16" s="463" t="s">
        <v>1406</v>
      </c>
      <c r="I16" s="464"/>
      <c r="J16" s="464"/>
      <c r="K16" s="464"/>
      <c r="L16" s="464"/>
      <c r="M16" s="426"/>
    </row>
    <row r="17" spans="2:12" ht="50.25" customHeight="1" x14ac:dyDescent="0.15">
      <c r="B17" s="62"/>
      <c r="C17" s="219" t="s">
        <v>961</v>
      </c>
      <c r="D17" s="219" t="s">
        <v>962</v>
      </c>
      <c r="E17" s="219" t="s">
        <v>963</v>
      </c>
      <c r="F17" s="219" t="s">
        <v>983</v>
      </c>
      <c r="H17" s="423" t="str">
        <f>B6</f>
        <v>Lambeth - N07</v>
      </c>
      <c r="I17" s="219" t="s">
        <v>943</v>
      </c>
      <c r="J17" s="219" t="s">
        <v>942</v>
      </c>
      <c r="K17" s="219" t="s">
        <v>941</v>
      </c>
      <c r="L17" s="219" t="s">
        <v>944</v>
      </c>
    </row>
    <row r="18" spans="2:12" ht="15" x14ac:dyDescent="0.15">
      <c r="B18" s="423" t="str">
        <f>B6</f>
        <v>Lambeth - N07</v>
      </c>
      <c r="C18" s="235" t="e">
        <f>SUMIFS('caseload data'!V:V,'caseload data'!C:C, B6, 'caseload data'!D:D, "PO", 'caseload data'!B:B, "Community")/((SUMIFS('capacity data'!I:I,'capacity data'!B:B,B6,'capacity data'!E:E,"PO")-(SUMIFS('capacity data'!J:J,'capacity data'!B:B,B6,'capacity data'!E:E,"PO")))/37)</f>
        <v>#DIV/0!</v>
      </c>
      <c r="D18" s="236" t="e">
        <f>SUMIFS('caseload data'!V:V,'caseload data'!C:C, B6, 'caseload data'!D:D, "PSO", 'caseload data'!B:B, "Community")/((SUMIFS('capacity data'!I:I,'capacity data'!B:B,B6,'capacity data'!E:E,"PSO")-(SUMIFS('capacity data'!J:J,'capacity data'!B:B,B6,'capacity data'!E:E,"PSO")))/37)</f>
        <v>#DIV/0!</v>
      </c>
      <c r="E18" s="236" t="e">
        <f>SUMIFS('caseload data'!V:V,'caseload data'!C:C, B6, 'caseload data'!D:D, "TPO", 'caseload data'!B:B, "Community")/((SUMIFS('capacity data'!I:I,'capacity data'!B:B,B6,'capacity data'!E:E,"TPO")-(SUMIFS('capacity data'!J:J,'capacity data'!B:B,B6,'capacity data'!E:E,"TPO")))/37)</f>
        <v>#DIV/0!</v>
      </c>
      <c r="F18" s="236" t="e">
        <f>SUMIFS('caseload data'!V:V,'caseload data'!B:B, "Community", 'caseload data'!D:D, "&lt;&gt;DMY", 'caseload data'!C:C, B6) /((SUMIFS('capacity data'!I:I,'capacity data'!B:B,B6,'capacity data'!E:E,"&lt;&gt;DMY")-(SUMIFS('capacity data'!J:J,'capacity data'!B:B,B6,'capacity data'!E:E,"&lt;&gt;DMY")))/37)</f>
        <v>#DIV/0!</v>
      </c>
      <c r="H18" s="65" t="s">
        <v>972</v>
      </c>
      <c r="I18" s="234">
        <f>SUM(T53)</f>
        <v>0</v>
      </c>
      <c r="J18" s="234">
        <f>SUM(T62)</f>
        <v>0</v>
      </c>
      <c r="K18" s="234">
        <f>SUM(T71)</f>
        <v>0</v>
      </c>
      <c r="L18" s="234">
        <f>SUM(I18:K18)</f>
        <v>0</v>
      </c>
    </row>
    <row r="19" spans="2:12" x14ac:dyDescent="0.15">
      <c r="B19" s="229" t="s">
        <v>970</v>
      </c>
      <c r="C19" s="235" t="e">
        <f>SUMIFS('caseload data'!V:V, 'caseload data'!D:D, "PO", 'caseload data'!B:B, "Community")/((SUMIFS('capacity data'!I:I,'capacity data'!E:E,"PO")-(SUMIFS('capacity data'!J:J,'capacity data'!E:E,"PO")))/37)</f>
        <v>#DIV/0!</v>
      </c>
      <c r="D19" s="235" t="e">
        <f>SUMIFS('caseload data'!V:V, 'caseload data'!D:D, "PSO", 'caseload data'!B:B, "Community")/((SUMIFS('capacity data'!I:I,'capacity data'!E:E,"PSO")-(SUMIFS('capacity data'!J:J,'capacity data'!E:E,"PSO")))/37)</f>
        <v>#DIV/0!</v>
      </c>
      <c r="E19" s="235" t="e">
        <f>SUMIFS('caseload data'!V:V, 'caseload data'!D:D, "TPO", 'caseload data'!B:B, "Community")/((SUMIFS('capacity data'!I:I,'capacity data'!E:E,"TPO")-(SUMIFS('capacity data'!J:J,'capacity data'!E:E,"TPO")))/37)</f>
        <v>#DIV/0!</v>
      </c>
      <c r="F19" s="235" t="e">
        <f>SUMIFS('caseload data'!V:V, 'caseload data'!D:D, "&lt;&gt;DMY", 'caseload data'!B:B, "Community")/((SUMIFS('capacity data'!I:I,'capacity data'!E:E,"&lt;&gt;DMY")-(SUMIFS('capacity data'!J:J,'capacity data'!E:E,"&lt;&gt;DMY")))/37)</f>
        <v>#DIV/0!</v>
      </c>
    </row>
    <row r="20" spans="2:12" x14ac:dyDescent="0.15">
      <c r="B20" s="68" t="s">
        <v>985</v>
      </c>
      <c r="C20" s="235" t="e">
        <f>C18-C19</f>
        <v>#DIV/0!</v>
      </c>
      <c r="D20" s="235" t="e">
        <f t="shared" ref="D20:F20" si="1">D18-D19</f>
        <v>#DIV/0!</v>
      </c>
      <c r="E20" s="235" t="e">
        <f t="shared" si="1"/>
        <v>#DIV/0!</v>
      </c>
      <c r="F20" s="235" t="e">
        <f t="shared" si="1"/>
        <v>#DIV/0!</v>
      </c>
    </row>
    <row r="21" spans="2:12" x14ac:dyDescent="0.15">
      <c r="C21" s="238"/>
      <c r="D21" s="238"/>
      <c r="E21" s="238"/>
      <c r="F21" s="238"/>
    </row>
    <row r="22" spans="2:12" ht="23" x14ac:dyDescent="0.15">
      <c r="B22" s="279" t="s">
        <v>973</v>
      </c>
      <c r="C22" s="286"/>
      <c r="D22" s="286"/>
      <c r="E22" s="286"/>
      <c r="F22" s="285"/>
    </row>
    <row r="23" spans="2:12" ht="57.75" customHeight="1" x14ac:dyDescent="0.15">
      <c r="B23" s="62"/>
      <c r="C23" s="219" t="s">
        <v>961</v>
      </c>
      <c r="D23" s="219" t="s">
        <v>962</v>
      </c>
      <c r="E23" s="219" t="s">
        <v>963</v>
      </c>
      <c r="F23" s="219" t="s">
        <v>983</v>
      </c>
    </row>
    <row r="24" spans="2:12" ht="15" x14ac:dyDescent="0.15">
      <c r="B24" s="423" t="str">
        <f>B6</f>
        <v>Lambeth - N07</v>
      </c>
      <c r="C24" s="235" t="e">
        <f>SUMIFS('caseload data'!V:V,'caseload data'!C:C, B6, 'caseload data'!D:D, "PO", 'caseload data'!B:B, "Licence")/((SUMIFS('capacity data'!I:I,'capacity data'!B:B,B6,'capacity data'!E:E,"PO")-(SUMIFS('capacity data'!J:J,'capacity data'!B:B,B6,'capacity data'!E:E,"PO")))/37)</f>
        <v>#DIV/0!</v>
      </c>
      <c r="D24" s="236" t="e">
        <f>SUMIFS('caseload data'!V:V,'caseload data'!C:C, B6, 'caseload data'!D:D, "PSO", 'caseload data'!B:B, "Licence")/((SUMIFS('capacity data'!I:I,'capacity data'!B:B,B6,'capacity data'!E:E,"PSO")-(SUMIFS('capacity data'!J:J,'capacity data'!B:B,B6,'capacity data'!E:E,"PSO")))/37)</f>
        <v>#DIV/0!</v>
      </c>
      <c r="E24" s="236" t="e">
        <f>SUMIFS('caseload data'!V:V,'caseload data'!C:C, B6, 'caseload data'!D:D, "TPO", 'caseload data'!B:B, "Licence")/((SUMIFS('capacity data'!I:I,'capacity data'!B:B,B6,'capacity data'!E:E,"TPO")-(SUMIFS('capacity data'!J:J,'capacity data'!B:B,B6,'capacity data'!E:E,"TPO")))/37)</f>
        <v>#DIV/0!</v>
      </c>
      <c r="F24" s="236" t="e">
        <f>SUMIFS('caseload data'!V:V,'caseload data'!B:B, "Licence", 'caseload data'!D:D, "&lt;&gt;DMY", 'caseload data'!C:C, B6) /((SUMIFS('capacity data'!I:I,'capacity data'!B:B,B6,'capacity data'!E:E,"&lt;&gt;DMY")-(SUMIFS('capacity data'!J:J,'capacity data'!B:B,B6,'capacity data'!E:E,"&lt;&gt;DMY")))/37)</f>
        <v>#DIV/0!</v>
      </c>
    </row>
    <row r="25" spans="2:12" x14ac:dyDescent="0.15">
      <c r="B25" s="229" t="s">
        <v>970</v>
      </c>
      <c r="C25" s="235" t="e">
        <f>SUMIFS('caseload data'!V:V, 'caseload data'!D:D, "PO", 'caseload data'!B:B, "Licence")/((SUMIFS('capacity data'!I:I,'capacity data'!E:E,"PO")-(SUMIFS('capacity data'!J:J,'capacity data'!E:E,"PO")))/37)</f>
        <v>#DIV/0!</v>
      </c>
      <c r="D25" s="235" t="e">
        <f>SUMIFS('caseload data'!V:V, 'caseload data'!D:D, "PSO", 'caseload data'!B:B, "Licence")/((SUMIFS('capacity data'!I:I,'capacity data'!E:E,"PSO")-(SUMIFS('capacity data'!J:J,'capacity data'!E:E,"PSO")))/37)</f>
        <v>#DIV/0!</v>
      </c>
      <c r="E25" s="235" t="e">
        <f>SUMIFS('caseload data'!V:V, 'caseload data'!D:D, "TPO", 'caseload data'!B:B, "Licence")/((SUMIFS('capacity data'!I:I,'capacity data'!E:E,"TPO")-(SUMIFS('capacity data'!J:J,'capacity data'!E:E,"TPO")))/37)</f>
        <v>#DIV/0!</v>
      </c>
      <c r="F25" s="235" t="e">
        <f>SUMIFS('caseload data'!V:V, 'caseload data'!D:D, "&lt;&gt;DMY", 'caseload data'!B:B, "Licence")/((SUMIFS('capacity data'!I:I,'capacity data'!E:E,"&lt;&gt;DMY")-(SUMIFS('capacity data'!J:J,'capacity data'!E:E,"&lt;&gt;DMY")))/37)</f>
        <v>#DIV/0!</v>
      </c>
    </row>
    <row r="26" spans="2:12" x14ac:dyDescent="0.15">
      <c r="B26" s="68" t="s">
        <v>985</v>
      </c>
      <c r="C26" s="235" t="e">
        <f>C24-C25</f>
        <v>#DIV/0!</v>
      </c>
      <c r="D26" s="235" t="e">
        <f t="shared" ref="D26:F26" si="2">D24-D25</f>
        <v>#DIV/0!</v>
      </c>
      <c r="E26" s="235" t="e">
        <f t="shared" si="2"/>
        <v>#DIV/0!</v>
      </c>
      <c r="F26" s="235" t="e">
        <f t="shared" si="2"/>
        <v>#DIV/0!</v>
      </c>
    </row>
    <row r="28" spans="2:12" ht="23" x14ac:dyDescent="0.15">
      <c r="B28" s="279" t="s">
        <v>986</v>
      </c>
      <c r="C28" s="286"/>
      <c r="D28" s="286"/>
      <c r="E28" s="286"/>
      <c r="F28" s="285"/>
    </row>
    <row r="29" spans="2:12" ht="54" customHeight="1" x14ac:dyDescent="0.15">
      <c r="B29" s="62"/>
      <c r="C29" s="219" t="s">
        <v>961</v>
      </c>
      <c r="D29" s="219" t="s">
        <v>962</v>
      </c>
      <c r="E29" s="219" t="s">
        <v>963</v>
      </c>
      <c r="F29" s="219" t="s">
        <v>983</v>
      </c>
    </row>
    <row r="30" spans="2:12" ht="15" x14ac:dyDescent="0.15">
      <c r="B30" s="423" t="str">
        <f>B6</f>
        <v>Lambeth - N07</v>
      </c>
      <c r="C30" s="235" t="e">
        <f>SUMIFS('caseload data'!V:V,'caseload data'!C:C, B6, 'caseload data'!D:D, "PO", 'caseload data'!B:B, "Custody")/((SUMIFS('capacity data'!I:I,'capacity data'!B:B,B6,'capacity data'!E:E,"PO")-(SUMIFS('capacity data'!J:J,'capacity data'!B:B,B6,'capacity data'!E:E,"PO")))/37)</f>
        <v>#DIV/0!</v>
      </c>
      <c r="D30" s="236" t="e">
        <f>SUMIFS('caseload data'!V:V,'caseload data'!C:C, B6, 'caseload data'!D:D, "PSO", 'caseload data'!B:B, "Custody")/((SUMIFS('capacity data'!I:I,'capacity data'!B:B,B6,'capacity data'!E:E,"PSO")-(SUMIFS('capacity data'!J:J,'capacity data'!B:B,B6,'capacity data'!E:E,"PSO")))/37)</f>
        <v>#DIV/0!</v>
      </c>
      <c r="E30" s="236" t="e">
        <f>SUMIFS('caseload data'!V:V,'caseload data'!C:C, B6, 'caseload data'!D:D, "TPO", 'caseload data'!B:B, "Custody")/((SUMIFS('capacity data'!I:I,'capacity data'!B:B,B6,'capacity data'!E:E,"TPO")-(SUMIFS('capacity data'!J:J,'capacity data'!B:B,B6,'capacity data'!E:E,"TPO")))/37)</f>
        <v>#DIV/0!</v>
      </c>
      <c r="F30" s="236" t="e">
        <f>SUMIFS('caseload data'!V:V,'caseload data'!B:B, "Custody", 'caseload data'!D:D, "&lt;&gt;DMY", 'caseload data'!C:C, B6) /((SUMIFS('capacity data'!I:I,'capacity data'!B:B,B6,'capacity data'!E:E,"&lt;&gt;DMY")-(SUMIFS('capacity data'!J:J,'capacity data'!B:B,B6,'capacity data'!E:E,"&lt;&gt;DMY")))/37)</f>
        <v>#DIV/0!</v>
      </c>
    </row>
    <row r="31" spans="2:12" x14ac:dyDescent="0.15">
      <c r="B31" s="229" t="s">
        <v>970</v>
      </c>
      <c r="C31" s="235" t="e">
        <f>SUMIFS('caseload data'!V:V, 'caseload data'!D:D, "PO", 'caseload data'!B:B, "Custody")/((SUMIFS('capacity data'!I:I,'capacity data'!E:E,"PO")-(SUMIFS('capacity data'!J:J,'capacity data'!E:E,"PO")))/37)</f>
        <v>#DIV/0!</v>
      </c>
      <c r="D31" s="235" t="e">
        <f>SUMIFS('caseload data'!V:V, 'caseload data'!D:D, "PSO", 'caseload data'!B:B, "Custody")/((SUMIFS('capacity data'!I:I,'capacity data'!E:E,"PSO")-(SUMIFS('capacity data'!J:J,'capacity data'!E:E,"PSO")))/37)</f>
        <v>#DIV/0!</v>
      </c>
      <c r="E31" s="235" t="e">
        <f>SUMIFS('caseload data'!V:V, 'caseload data'!D:D, "TPO", 'caseload data'!B:B, "Custody")/((SUMIFS('capacity data'!I:I,'capacity data'!E:E,"TPO")-(SUMIFS('capacity data'!J:J,'capacity data'!E:E,"TPO")))/37)</f>
        <v>#DIV/0!</v>
      </c>
      <c r="F31" s="235" t="e">
        <f>SUMIFS('caseload data'!V:V, 'caseload data'!D:D, "&lt;&gt;DMY", 'caseload data'!B:B, "Custody")/((SUMIFS('capacity data'!I:I,'capacity data'!E:E,"&lt;&gt;DMY")-(SUMIFS('capacity data'!J:J,'capacity data'!E:E,"&lt;&gt;DMY")))/37)</f>
        <v>#DIV/0!</v>
      </c>
    </row>
    <row r="32" spans="2:12" x14ac:dyDescent="0.15">
      <c r="B32" s="68" t="s">
        <v>985</v>
      </c>
      <c r="C32" s="235" t="e">
        <f>C30-C31</f>
        <v>#DIV/0!</v>
      </c>
      <c r="D32" s="235" t="e">
        <f t="shared" ref="D32:F32" si="3">D30-D31</f>
        <v>#DIV/0!</v>
      </c>
      <c r="E32" s="235" t="e">
        <f t="shared" si="3"/>
        <v>#DIV/0!</v>
      </c>
      <c r="F32" s="235" t="e">
        <f t="shared" si="3"/>
        <v>#DIV/0!</v>
      </c>
    </row>
    <row r="33" spans="2:21" x14ac:dyDescent="0.15">
      <c r="B33" s="238"/>
      <c r="C33" s="238"/>
      <c r="D33" s="238"/>
      <c r="E33" s="238"/>
      <c r="F33" s="238"/>
    </row>
    <row r="34" spans="2:21" x14ac:dyDescent="0.15">
      <c r="B34" s="238"/>
      <c r="C34" s="238"/>
      <c r="D34" s="238"/>
      <c r="E34" s="238"/>
      <c r="F34" s="238"/>
    </row>
    <row r="35" spans="2:21" ht="14.25" customHeight="1" x14ac:dyDescent="0.15"/>
    <row r="36" spans="2:21" ht="14.25" customHeight="1" x14ac:dyDescent="0.15"/>
    <row r="37" spans="2:21" ht="42" customHeight="1" x14ac:dyDescent="0.15">
      <c r="B37" s="299" t="str">
        <f>B6</f>
        <v>Lambeth - N07</v>
      </c>
      <c r="C37" s="467" t="s">
        <v>957</v>
      </c>
      <c r="D37" s="467"/>
      <c r="E37" s="467"/>
      <c r="F37" s="467"/>
      <c r="G37" s="467"/>
      <c r="H37" s="467"/>
      <c r="I37" s="467"/>
      <c r="J37" s="467"/>
      <c r="K37" s="467"/>
      <c r="L37" s="467"/>
      <c r="M37" s="467"/>
      <c r="N37" s="467"/>
      <c r="O37" s="467"/>
      <c r="P37" s="467"/>
      <c r="Q37" s="467"/>
      <c r="R37" s="467"/>
      <c r="S37" s="467"/>
      <c r="T37" s="467"/>
    </row>
    <row r="38" spans="2:21" ht="19.5" customHeight="1" x14ac:dyDescent="0.15">
      <c r="B38" s="39" t="s">
        <v>951</v>
      </c>
      <c r="C38" s="39" t="s">
        <v>814</v>
      </c>
      <c r="D38" s="39" t="s">
        <v>815</v>
      </c>
      <c r="E38" s="39" t="s">
        <v>816</v>
      </c>
      <c r="F38" s="39" t="s">
        <v>817</v>
      </c>
      <c r="G38" s="39" t="s">
        <v>818</v>
      </c>
      <c r="H38" s="39" t="s">
        <v>819</v>
      </c>
      <c r="I38" s="39" t="s">
        <v>820</v>
      </c>
      <c r="J38" s="39" t="s">
        <v>821</v>
      </c>
      <c r="K38" s="39" t="s">
        <v>822</v>
      </c>
      <c r="L38" s="39" t="s">
        <v>823</v>
      </c>
      <c r="M38" s="39" t="s">
        <v>824</v>
      </c>
      <c r="N38" s="39" t="s">
        <v>825</v>
      </c>
      <c r="O38" s="39" t="s">
        <v>826</v>
      </c>
      <c r="P38" s="39" t="s">
        <v>827</v>
      </c>
      <c r="Q38" s="39" t="s">
        <v>828</v>
      </c>
      <c r="R38" s="39" t="s">
        <v>829</v>
      </c>
      <c r="S38" s="39" t="s">
        <v>975</v>
      </c>
      <c r="T38" s="39" t="s">
        <v>909</v>
      </c>
    </row>
    <row r="39" spans="2:21" ht="14.25" customHeight="1" x14ac:dyDescent="0.15">
      <c r="B39" s="75" t="s">
        <v>947</v>
      </c>
      <c r="C39" s="234">
        <f>SUMIFS('caseload data'!E:E,'caseload data'!$D:$D,"PO",'caseload data'!$C:$C,$B$6)</f>
        <v>0</v>
      </c>
      <c r="D39" s="234">
        <f>SUMIFS('caseload data'!F:F,'caseload data'!$D:$D,"PO",'caseload data'!$C:$C,$B$6)</f>
        <v>0</v>
      </c>
      <c r="E39" s="234">
        <f>SUMIFS('caseload data'!G:G,'caseload data'!$D:$D,"PO",'caseload data'!$C:$C,$B$6)</f>
        <v>0</v>
      </c>
      <c r="F39" s="234">
        <f>SUMIFS('caseload data'!H:H,'caseload data'!$D:$D,"PO",'caseload data'!$C:$C,$B$6)</f>
        <v>0</v>
      </c>
      <c r="G39" s="234">
        <f>SUMIFS('caseload data'!I:I,'caseload data'!$D:$D,"PO",'caseload data'!$C:$C,$B$6)</f>
        <v>0</v>
      </c>
      <c r="H39" s="234">
        <f>SUMIFS('caseload data'!J:J,'caseload data'!$D:$D,"PO",'caseload data'!$C:$C,$B$6)</f>
        <v>0</v>
      </c>
      <c r="I39" s="234">
        <f>SUMIFS('caseload data'!K:K,'caseload data'!$D:$D,"PO",'caseload data'!$C:$C,$B$6)</f>
        <v>0</v>
      </c>
      <c r="J39" s="234">
        <f>SUMIFS('caseload data'!L:L,'caseload data'!$D:$D,"PO",'caseload data'!$C:$C,$B$6)</f>
        <v>0</v>
      </c>
      <c r="K39" s="234">
        <f>SUMIFS('caseload data'!M:M,'caseload data'!$D:$D,"PO",'caseload data'!$C:$C,$B$6)</f>
        <v>0</v>
      </c>
      <c r="L39" s="234">
        <f>SUMIFS('caseload data'!N:N,'caseload data'!$D:$D,"PO",'caseload data'!$C:$C,$B$6)</f>
        <v>0</v>
      </c>
      <c r="M39" s="234">
        <f>SUMIFS('caseload data'!O:O,'caseload data'!$D:$D,"PO",'caseload data'!$C:$C,$B$6)</f>
        <v>0</v>
      </c>
      <c r="N39" s="234">
        <f>SUMIFS('caseload data'!P:P,'caseload data'!$D:$D,"PO",'caseload data'!$C:$C,$B$6)</f>
        <v>0</v>
      </c>
      <c r="O39" s="234">
        <f>SUMIFS('caseload data'!Q:Q,'caseload data'!$D:$D,"PO",'caseload data'!$C:$C,$B$6)</f>
        <v>0</v>
      </c>
      <c r="P39" s="234">
        <f>SUMIFS('caseload data'!R:R,'caseload data'!$D:$D,"PO",'caseload data'!$C:$C,$B$6)</f>
        <v>0</v>
      </c>
      <c r="Q39" s="234">
        <f>SUMIFS('caseload data'!S:S,'caseload data'!$D:$D,"PO",'caseload data'!$C:$C,$B$6)</f>
        <v>0</v>
      </c>
      <c r="R39" s="234">
        <f>SUMIFS('caseload data'!T:T,'caseload data'!$D:$D,"PO",'caseload data'!$C:$C,$B$6)</f>
        <v>0</v>
      </c>
      <c r="S39" s="234">
        <f>SUMIFS('caseload data'!U:U,'caseload data'!$D:$D,"PO",'caseload data'!$C:$C,$B$6)</f>
        <v>0</v>
      </c>
      <c r="T39" s="234">
        <f>SUM(C39:S39)</f>
        <v>0</v>
      </c>
    </row>
    <row r="40" spans="2:21" x14ac:dyDescent="0.15">
      <c r="B40" s="75" t="s">
        <v>952</v>
      </c>
      <c r="C40" s="234">
        <f>SUMIFS('caseload data'!E:E,'caseload data'!$D:$D,"PSO",'caseload data'!$C:$C,$B$6)</f>
        <v>0</v>
      </c>
      <c r="D40" s="234">
        <f>SUMIFS('caseload data'!F:F,'caseload data'!$D:$D,"PSO",'caseload data'!$C:$C,$B$6)</f>
        <v>0</v>
      </c>
      <c r="E40" s="234">
        <f>SUMIFS('caseload data'!G:G,'caseload data'!$D:$D,"PSO",'caseload data'!$C:$C,$B$6)</f>
        <v>0</v>
      </c>
      <c r="F40" s="234">
        <f>SUMIFS('caseload data'!H:H,'caseload data'!$D:$D,"PSO",'caseload data'!$C:$C,$B$6)</f>
        <v>0</v>
      </c>
      <c r="G40" s="234">
        <f>SUMIFS('caseload data'!I:I,'caseload data'!$D:$D,"PSO",'caseload data'!$C:$C,$B$6)</f>
        <v>0</v>
      </c>
      <c r="H40" s="234">
        <f>SUMIFS('caseload data'!J:J,'caseload data'!$D:$D,"PSO",'caseload data'!$C:$C,$B$6)</f>
        <v>0</v>
      </c>
      <c r="I40" s="234">
        <f>SUMIFS('caseload data'!K:K,'caseload data'!$D:$D,"PSO",'caseload data'!$C:$C,$B$6)</f>
        <v>0</v>
      </c>
      <c r="J40" s="234">
        <f>SUMIFS('caseload data'!L:L,'caseload data'!$D:$D,"PSO",'caseload data'!$C:$C,$B$6)</f>
        <v>0</v>
      </c>
      <c r="K40" s="234">
        <f>SUMIFS('caseload data'!M:M,'caseload data'!$D:$D,"PSO",'caseload data'!$C:$C,$B$6)</f>
        <v>0</v>
      </c>
      <c r="L40" s="234">
        <f>SUMIFS('caseload data'!N:N,'caseload data'!$D:$D,"PSO",'caseload data'!$C:$C,$B$6)</f>
        <v>0</v>
      </c>
      <c r="M40" s="234">
        <f>SUMIFS('caseload data'!O:O,'caseload data'!$D:$D,"PSO",'caseload data'!$C:$C,$B$6)</f>
        <v>0</v>
      </c>
      <c r="N40" s="234">
        <f>SUMIFS('caseload data'!P:P,'caseload data'!$D:$D,"PSO",'caseload data'!$C:$C,$B$6)</f>
        <v>0</v>
      </c>
      <c r="O40" s="234">
        <f>SUMIFS('caseload data'!Q:Q,'caseload data'!$D:$D,"PSO",'caseload data'!$C:$C,$B$6)</f>
        <v>0</v>
      </c>
      <c r="P40" s="234">
        <f>SUMIFS('caseload data'!R:R,'caseload data'!$D:$D,"PSO",'caseload data'!$C:$C,$B$6)</f>
        <v>0</v>
      </c>
      <c r="Q40" s="234">
        <f>SUMIFS('caseload data'!S:S,'caseload data'!$D:$D,"PSO",'caseload data'!$C:$C,$B$6)</f>
        <v>0</v>
      </c>
      <c r="R40" s="234">
        <f>SUMIFS('caseload data'!T:T,'caseload data'!$D:$D,"PSO",'caseload data'!$C:$C,$B$6)</f>
        <v>0</v>
      </c>
      <c r="S40" s="234">
        <f>SUMIFS('caseload data'!U:U,'caseload data'!$D:$D,"PSO",'caseload data'!$C:$C,$B$6)</f>
        <v>0</v>
      </c>
      <c r="T40" s="234">
        <f t="shared" ref="T40:T69" si="4">SUM(C40:S40)</f>
        <v>0</v>
      </c>
    </row>
    <row r="41" spans="2:21" ht="14.25" customHeight="1" x14ac:dyDescent="0.15">
      <c r="B41" s="75" t="s">
        <v>953</v>
      </c>
      <c r="C41" s="234">
        <f>SUMIFS('caseload data'!E:E,'caseload data'!$D:$D,"TPO",'caseload data'!$C:$C,$B$6)</f>
        <v>0</v>
      </c>
      <c r="D41" s="234">
        <f>SUMIFS('caseload data'!F:F,'caseload data'!$D:$D,"TPO",'caseload data'!$C:$C,$B$6)</f>
        <v>0</v>
      </c>
      <c r="E41" s="234">
        <f>SUMIFS('caseload data'!G:G,'caseload data'!$D:$D,"TPO",'caseload data'!$C:$C,$B$6)</f>
        <v>0</v>
      </c>
      <c r="F41" s="234">
        <f>SUMIFS('caseload data'!H:H,'caseload data'!$D:$D,"TPO",'caseload data'!$C:$C,$B$6)</f>
        <v>0</v>
      </c>
      <c r="G41" s="234">
        <f>SUMIFS('caseload data'!I:I,'caseload data'!$D:$D,"TPO",'caseload data'!$C:$C,$B$6)</f>
        <v>0</v>
      </c>
      <c r="H41" s="234">
        <f>SUMIFS('caseload data'!J:J,'caseload data'!$D:$D,"TPO",'caseload data'!$C:$C,$B$6)</f>
        <v>0</v>
      </c>
      <c r="I41" s="234">
        <f>SUMIFS('caseload data'!K:K,'caseload data'!$D:$D,"TPO",'caseload data'!$C:$C,$B$6)</f>
        <v>0</v>
      </c>
      <c r="J41" s="234">
        <f>SUMIFS('caseload data'!L:L,'caseload data'!$D:$D,"TPO",'caseload data'!$C:$C,$B$6)</f>
        <v>0</v>
      </c>
      <c r="K41" s="234">
        <f>SUMIFS('caseload data'!M:M,'caseload data'!$D:$D,"TPO",'caseload data'!$C:$C,$B$6)</f>
        <v>0</v>
      </c>
      <c r="L41" s="234">
        <f>SUMIFS('caseload data'!N:N,'caseload data'!$D:$D,"TPO",'caseload data'!$C:$C,$B$6)</f>
        <v>0</v>
      </c>
      <c r="M41" s="234">
        <f>SUMIFS('caseload data'!O:O,'caseload data'!$D:$D,"TPO",'caseload data'!$C:$C,$B$6)</f>
        <v>0</v>
      </c>
      <c r="N41" s="234">
        <f>SUMIFS('caseload data'!P:P,'caseload data'!$D:$D,"TPO",'caseload data'!$C:$C,$B$6)</f>
        <v>0</v>
      </c>
      <c r="O41" s="234">
        <f>SUMIFS('caseload data'!Q:Q,'caseload data'!$D:$D,"TPO",'caseload data'!$C:$C,$B$6)</f>
        <v>0</v>
      </c>
      <c r="P41" s="234">
        <f>SUMIFS('caseload data'!R:R,'caseload data'!$D:$D,"TPO",'caseload data'!$C:$C,$B$6)</f>
        <v>0</v>
      </c>
      <c r="Q41" s="234">
        <f>SUMIFS('caseload data'!S:S,'caseload data'!$D:$D,"TPO",'caseload data'!$C:$C,$B$6)</f>
        <v>0</v>
      </c>
      <c r="R41" s="234">
        <f>SUMIFS('caseload data'!T:T,'caseload data'!$D:$D,"TPO",'caseload data'!$C:$C,$B$6)</f>
        <v>0</v>
      </c>
      <c r="S41" s="234">
        <f>SUMIFS('caseload data'!U:U,'caseload data'!$D:$D,"TPO",'caseload data'!$C:$C,$B$6)</f>
        <v>0</v>
      </c>
      <c r="T41" s="234">
        <f t="shared" si="4"/>
        <v>0</v>
      </c>
    </row>
    <row r="42" spans="2:21" ht="14.25" customHeight="1" x14ac:dyDescent="0.15">
      <c r="B42" s="75" t="s">
        <v>954</v>
      </c>
      <c r="C42" s="234">
        <f>SUMIFS('caseload data'!E:E,'caseload data'!$D:$D,"SPO",'caseload data'!$C:$C,$B$6)</f>
        <v>0</v>
      </c>
      <c r="D42" s="234">
        <f>SUMIFS('caseload data'!F:F,'caseload data'!$D:$D,"SPO",'caseload data'!$C:$C,$B$6)</f>
        <v>0</v>
      </c>
      <c r="E42" s="234">
        <f>SUMIFS('caseload data'!G:G,'caseload data'!$D:$D,"SPO",'caseload data'!$C:$C,$B$6)</f>
        <v>0</v>
      </c>
      <c r="F42" s="234">
        <f>SUMIFS('caseload data'!H:H,'caseload data'!$D:$D,"SPO",'caseload data'!$C:$C,$B$6)</f>
        <v>0</v>
      </c>
      <c r="G42" s="234">
        <f>SUMIFS('caseload data'!I:I,'caseload data'!$D:$D,"SPO",'caseload data'!$C:$C,$B$6)</f>
        <v>0</v>
      </c>
      <c r="H42" s="234">
        <f>SUMIFS('caseload data'!J:J,'caseload data'!$D:$D,"SPO",'caseload data'!$C:$C,$B$6)</f>
        <v>0</v>
      </c>
      <c r="I42" s="234">
        <f>SUMIFS('caseload data'!K:K,'caseload data'!$D:$D,"SPO",'caseload data'!$C:$C,$B$6)</f>
        <v>0</v>
      </c>
      <c r="J42" s="234">
        <f>SUMIFS('caseload data'!L:L,'caseload data'!$D:$D,"SPO",'caseload data'!$C:$C,$B$6)</f>
        <v>0</v>
      </c>
      <c r="K42" s="234">
        <f>SUMIFS('caseload data'!M:M,'caseload data'!$D:$D,"SPO",'caseload data'!$C:$C,$B$6)</f>
        <v>0</v>
      </c>
      <c r="L42" s="234">
        <f>SUMIFS('caseload data'!N:N,'caseload data'!$D:$D,"SPO",'caseload data'!$C:$C,$B$6)</f>
        <v>0</v>
      </c>
      <c r="M42" s="234">
        <f>SUMIFS('caseload data'!O:O,'caseload data'!$D:$D,"SPO",'caseload data'!$C:$C,$B$6)</f>
        <v>0</v>
      </c>
      <c r="N42" s="234">
        <f>SUMIFS('caseload data'!P:P,'caseload data'!$D:$D,"SPO",'caseload data'!$C:$C,$B$6)</f>
        <v>0</v>
      </c>
      <c r="O42" s="234">
        <f>SUMIFS('caseload data'!Q:Q,'caseload data'!$D:$D,"SPO",'caseload data'!$C:$C,$B$6)</f>
        <v>0</v>
      </c>
      <c r="P42" s="234">
        <f>SUMIFS('caseload data'!R:R,'caseload data'!$D:$D,"SPO",'caseload data'!$C:$C,$B$6)</f>
        <v>0</v>
      </c>
      <c r="Q42" s="234">
        <f>SUMIFS('caseload data'!S:S,'caseload data'!$D:$D,"SPO",'caseload data'!$C:$C,$B$6)</f>
        <v>0</v>
      </c>
      <c r="R42" s="234">
        <f>SUMIFS('caseload data'!T:T,'caseload data'!$D:$D,"SPO",'caseload data'!$C:$C,$B$6)</f>
        <v>0</v>
      </c>
      <c r="S42" s="234">
        <f>SUMIFS('caseload data'!U:U,'caseload data'!$D:$D,"SPO",'caseload data'!$C:$C,$B$6)</f>
        <v>0</v>
      </c>
      <c r="T42" s="234">
        <f t="shared" si="4"/>
        <v>0</v>
      </c>
      <c r="U42" s="239"/>
    </row>
    <row r="43" spans="2:21" ht="14.25" customHeight="1" x14ac:dyDescent="0.15">
      <c r="B43" s="75" t="s">
        <v>1286</v>
      </c>
      <c r="C43" s="234">
        <f>SUMIFS('caseload data'!E:E,'caseload data'!$D:$D,"DMY",'caseload data'!$C:$C,$B$6)</f>
        <v>0</v>
      </c>
      <c r="D43" s="234">
        <f>SUMIFS('caseload data'!F:F,'caseload data'!$D:$D,"DMY",'caseload data'!$C:$C,$B$6)</f>
        <v>0</v>
      </c>
      <c r="E43" s="234">
        <f>SUMIFS('caseload data'!G:G,'caseload data'!$D:$D,"DMY",'caseload data'!$C:$C,$B$6)</f>
        <v>0</v>
      </c>
      <c r="F43" s="234">
        <f>SUMIFS('caseload data'!H:H,'caseload data'!$D:$D,"DMY",'caseload data'!$C:$C,$B$6)</f>
        <v>0</v>
      </c>
      <c r="G43" s="234">
        <f>SUMIFS('caseload data'!I:I,'caseload data'!$D:$D,"DMY",'caseload data'!$C:$C,$B$6)</f>
        <v>0</v>
      </c>
      <c r="H43" s="234">
        <f>SUMIFS('caseload data'!J:J,'caseload data'!$D:$D,"DMY",'caseload data'!$C:$C,$B$6)</f>
        <v>0</v>
      </c>
      <c r="I43" s="234">
        <f>SUMIFS('caseload data'!K:K,'caseload data'!$D:$D,"DMY",'caseload data'!$C:$C,$B$6)</f>
        <v>0</v>
      </c>
      <c r="J43" s="234">
        <f>SUMIFS('caseload data'!L:L,'caseload data'!$D:$D,"DMY",'caseload data'!$C:$C,$B$6)</f>
        <v>0</v>
      </c>
      <c r="K43" s="234">
        <f>SUMIFS('caseload data'!M:M,'caseload data'!$D:$D,"DMY",'caseload data'!$C:$C,$B$6)</f>
        <v>0</v>
      </c>
      <c r="L43" s="234">
        <f>SUMIFS('caseload data'!N:N,'caseload data'!$D:$D,"DMY",'caseload data'!$C:$C,$B$6)</f>
        <v>0</v>
      </c>
      <c r="M43" s="234">
        <f>SUMIFS('caseload data'!O:O,'caseload data'!$D:$D,"DMY",'caseload data'!$C:$C,$B$6)</f>
        <v>0</v>
      </c>
      <c r="N43" s="234">
        <f>SUMIFS('caseload data'!P:P,'caseload data'!$D:$D,"DMY",'caseload data'!$C:$C,$B$6)</f>
        <v>0</v>
      </c>
      <c r="O43" s="234">
        <f>SUMIFS('caseload data'!Q:Q,'caseload data'!$D:$D,"DMY",'caseload data'!$C:$C,$B$6)</f>
        <v>0</v>
      </c>
      <c r="P43" s="234">
        <f>SUMIFS('caseload data'!R:R,'caseload data'!$D:$D,"DMY",'caseload data'!$C:$C,$B$6)</f>
        <v>0</v>
      </c>
      <c r="Q43" s="234">
        <f>SUMIFS('caseload data'!S:S,'caseload data'!$D:$D,"DMY",'caseload data'!$C:$C,$B$6)</f>
        <v>0</v>
      </c>
      <c r="R43" s="234">
        <f>SUMIFS('caseload data'!T:T,'caseload data'!$D:$D,"DMY",'caseload data'!$C:$C,$B$6)</f>
        <v>0</v>
      </c>
      <c r="S43" s="234">
        <f>SUMIFS('caseload data'!U:U,'caseload data'!$D:$D,"DMY",'caseload data'!$C:$C,$B$6)</f>
        <v>0</v>
      </c>
      <c r="T43" s="234">
        <f t="shared" ref="T43" si="5">SUM(C43:S43)</f>
        <v>0</v>
      </c>
      <c r="U43" s="239"/>
    </row>
    <row r="44" spans="2:21" ht="14.25" customHeight="1" x14ac:dyDescent="0.15">
      <c r="B44" s="424" t="s">
        <v>909</v>
      </c>
      <c r="C44" s="425">
        <f>SUM(C39:C43)</f>
        <v>0</v>
      </c>
      <c r="D44" s="425">
        <f t="shared" ref="D44:T44" si="6">SUM(D39:D43)</f>
        <v>0</v>
      </c>
      <c r="E44" s="425">
        <f t="shared" si="6"/>
        <v>0</v>
      </c>
      <c r="F44" s="425">
        <f t="shared" si="6"/>
        <v>0</v>
      </c>
      <c r="G44" s="425">
        <f t="shared" si="6"/>
        <v>0</v>
      </c>
      <c r="H44" s="425">
        <f t="shared" si="6"/>
        <v>0</v>
      </c>
      <c r="I44" s="425">
        <f t="shared" si="6"/>
        <v>0</v>
      </c>
      <c r="J44" s="425">
        <f t="shared" si="6"/>
        <v>0</v>
      </c>
      <c r="K44" s="425">
        <f t="shared" si="6"/>
        <v>0</v>
      </c>
      <c r="L44" s="425">
        <f t="shared" si="6"/>
        <v>0</v>
      </c>
      <c r="M44" s="425">
        <f t="shared" si="6"/>
        <v>0</v>
      </c>
      <c r="N44" s="425">
        <f t="shared" si="6"/>
        <v>0</v>
      </c>
      <c r="O44" s="425">
        <f t="shared" si="6"/>
        <v>0</v>
      </c>
      <c r="P44" s="425">
        <f t="shared" si="6"/>
        <v>0</v>
      </c>
      <c r="Q44" s="425">
        <f t="shared" si="6"/>
        <v>0</v>
      </c>
      <c r="R44" s="425">
        <f t="shared" si="6"/>
        <v>0</v>
      </c>
      <c r="S44" s="425">
        <f t="shared" si="6"/>
        <v>0</v>
      </c>
      <c r="T44" s="425">
        <f t="shared" si="6"/>
        <v>0</v>
      </c>
      <c r="U44" s="239"/>
    </row>
    <row r="45" spans="2:21" ht="14.25" customHeight="1" x14ac:dyDescent="0.15">
      <c r="B45" s="171"/>
      <c r="C45" s="171"/>
      <c r="D45" s="171"/>
      <c r="E45" s="171"/>
      <c r="F45" s="171"/>
      <c r="G45" s="171"/>
      <c r="H45" s="171"/>
      <c r="I45" s="171"/>
      <c r="J45" s="171"/>
      <c r="K45" s="171"/>
      <c r="L45" s="171"/>
      <c r="M45" s="171"/>
      <c r="N45" s="171"/>
      <c r="O45" s="171"/>
      <c r="P45" s="171"/>
      <c r="Q45" s="171"/>
      <c r="R45" s="171"/>
    </row>
    <row r="46" spans="2:21" ht="36.75" customHeight="1" x14ac:dyDescent="0.15">
      <c r="B46" s="299" t="str">
        <f>$B$6</f>
        <v>Lambeth - N07</v>
      </c>
      <c r="C46" s="466" t="s">
        <v>976</v>
      </c>
      <c r="D46" s="462"/>
      <c r="E46" s="462"/>
      <c r="F46" s="462"/>
      <c r="G46" s="462"/>
      <c r="H46" s="462"/>
      <c r="I46" s="462"/>
      <c r="J46" s="462"/>
      <c r="K46" s="462"/>
      <c r="L46" s="462"/>
      <c r="M46" s="462"/>
      <c r="N46" s="462"/>
      <c r="O46" s="462"/>
      <c r="P46" s="462"/>
      <c r="Q46" s="462"/>
      <c r="R46" s="462"/>
      <c r="S46" s="462"/>
      <c r="T46" s="462"/>
    </row>
    <row r="47" spans="2:21" ht="18" customHeight="1" x14ac:dyDescent="0.15">
      <c r="B47" s="95" t="s">
        <v>951</v>
      </c>
      <c r="C47" s="38" t="s">
        <v>814</v>
      </c>
      <c r="D47" s="38" t="s">
        <v>815</v>
      </c>
      <c r="E47" s="38" t="s">
        <v>816</v>
      </c>
      <c r="F47" s="38" t="s">
        <v>817</v>
      </c>
      <c r="G47" s="38" t="s">
        <v>818</v>
      </c>
      <c r="H47" s="38" t="s">
        <v>819</v>
      </c>
      <c r="I47" s="38" t="s">
        <v>820</v>
      </c>
      <c r="J47" s="38" t="s">
        <v>821</v>
      </c>
      <c r="K47" s="38" t="s">
        <v>822</v>
      </c>
      <c r="L47" s="38" t="s">
        <v>823</v>
      </c>
      <c r="M47" s="38" t="s">
        <v>824</v>
      </c>
      <c r="N47" s="38" t="s">
        <v>825</v>
      </c>
      <c r="O47" s="38" t="s">
        <v>826</v>
      </c>
      <c r="P47" s="38" t="s">
        <v>827</v>
      </c>
      <c r="Q47" s="38" t="s">
        <v>828</v>
      </c>
      <c r="R47" s="38" t="s">
        <v>829</v>
      </c>
      <c r="S47" s="38" t="s">
        <v>975</v>
      </c>
      <c r="T47" s="38" t="s">
        <v>909</v>
      </c>
    </row>
    <row r="48" spans="2:21" ht="14.25" customHeight="1" x14ac:dyDescent="0.15">
      <c r="B48" s="75" t="s">
        <v>947</v>
      </c>
      <c r="C48" s="234">
        <f>SUMIFS('caseload data'!E:E,'caseload data'!$D:$D,"PO",'caseload data'!$C:$C,$B$6, 'caseload data'!$B:$B, "community")</f>
        <v>0</v>
      </c>
      <c r="D48" s="234">
        <f>SUMIFS('caseload data'!F:F,'caseload data'!$D:$D,"PO",'caseload data'!$C:$C,$B$6, 'caseload data'!$B:$B, "community")</f>
        <v>0</v>
      </c>
      <c r="E48" s="234">
        <f>SUMIFS('caseload data'!G:G,'caseload data'!$D:$D,"PO",'caseload data'!$C:$C,$B$6, 'caseload data'!$B:$B, "community")</f>
        <v>0</v>
      </c>
      <c r="F48" s="234">
        <f>SUMIFS('caseload data'!H:H,'caseload data'!$D:$D,"PO",'caseload data'!$C:$C,$B$6, 'caseload data'!$B:$B, "community")</f>
        <v>0</v>
      </c>
      <c r="G48" s="234">
        <f>SUMIFS('caseload data'!I:I,'caseload data'!$D:$D,"PO",'caseload data'!$C:$C,$B$6, 'caseload data'!$B:$B, "community")</f>
        <v>0</v>
      </c>
      <c r="H48" s="234">
        <f>SUMIFS('caseload data'!J:J,'caseload data'!$D:$D,"PO",'caseload data'!$C:$C,$B$6, 'caseload data'!$B:$B, "community")</f>
        <v>0</v>
      </c>
      <c r="I48" s="234">
        <f>SUMIFS('caseload data'!K:K,'caseload data'!$D:$D,"PO",'caseload data'!$C:$C,$B$6, 'caseload data'!$B:$B, "community")</f>
        <v>0</v>
      </c>
      <c r="J48" s="234">
        <f>SUMIFS('caseload data'!L:L,'caseload data'!$D:$D,"PO",'caseload data'!$C:$C,$B$6, 'caseload data'!$B:$B, "community")</f>
        <v>0</v>
      </c>
      <c r="K48" s="234">
        <f>SUMIFS('caseload data'!M:M,'caseload data'!$D:$D,"PO",'caseload data'!$C:$C,$B$6, 'caseload data'!$B:$B, "community")</f>
        <v>0</v>
      </c>
      <c r="L48" s="234">
        <f>SUMIFS('caseload data'!N:N,'caseload data'!$D:$D,"PO",'caseload data'!$C:$C,$B$6, 'caseload data'!$B:$B, "community")</f>
        <v>0</v>
      </c>
      <c r="M48" s="234">
        <f>SUMIFS('caseload data'!O:O,'caseload data'!$D:$D,"PO",'caseload data'!$C:$C,$B$6, 'caseload data'!$B:$B, "community")</f>
        <v>0</v>
      </c>
      <c r="N48" s="234">
        <f>SUMIFS('caseload data'!P:P,'caseload data'!$D:$D,"PO",'caseload data'!$C:$C,$B$6, 'caseload data'!$B:$B, "community")</f>
        <v>0</v>
      </c>
      <c r="O48" s="234">
        <f>SUMIFS('caseload data'!Q:Q,'caseload data'!$D:$D,"PO",'caseload data'!$C:$C,$B$6, 'caseload data'!$B:$B, "community")</f>
        <v>0</v>
      </c>
      <c r="P48" s="234">
        <f>SUMIFS('caseload data'!R:R,'caseload data'!$D:$D,"PO",'caseload data'!$C:$C,$B$6, 'caseload data'!$B:$B, "community")</f>
        <v>0</v>
      </c>
      <c r="Q48" s="234">
        <f>SUMIFS('caseload data'!S:S,'caseload data'!$D:$D,"PO",'caseload data'!$C:$C,$B$6, 'caseload data'!$B:$B, "community")</f>
        <v>0</v>
      </c>
      <c r="R48" s="234">
        <f>SUMIFS('caseload data'!T:T,'caseload data'!$D:$D,"PO",'caseload data'!$C:$C,$B$6, 'caseload data'!$B:$B, "community")</f>
        <v>0</v>
      </c>
      <c r="S48" s="234">
        <f>SUMIFS('caseload data'!U:U,'caseload data'!$D:$D,"PO",'caseload data'!$C:$C,$B$6, 'caseload data'!$B:$B, "community")</f>
        <v>0</v>
      </c>
      <c r="T48" s="234">
        <f t="shared" si="4"/>
        <v>0</v>
      </c>
    </row>
    <row r="49" spans="2:21" ht="14.25" customHeight="1" x14ac:dyDescent="0.15">
      <c r="B49" s="75" t="s">
        <v>952</v>
      </c>
      <c r="C49" s="234">
        <f>SUMIFS('caseload data'!E:E,'caseload data'!$D:$D,"PSO",'caseload data'!$C:$C,$B$6, 'caseload data'!$B:$B, "community")</f>
        <v>0</v>
      </c>
      <c r="D49" s="234">
        <f>SUMIFS('caseload data'!F:F,'caseload data'!$D:$D,"PSO",'caseload data'!$C:$C,$B$6, 'caseload data'!$B:$B, "community")</f>
        <v>0</v>
      </c>
      <c r="E49" s="234">
        <f>SUMIFS('caseload data'!G:G,'caseload data'!$D:$D,"PSO",'caseload data'!$C:$C,$B$6, 'caseload data'!$B:$B, "community")</f>
        <v>0</v>
      </c>
      <c r="F49" s="234">
        <f>SUMIFS('caseload data'!H:H,'caseload data'!$D:$D,"PSO",'caseload data'!$C:$C,$B$6, 'caseload data'!$B:$B, "community")</f>
        <v>0</v>
      </c>
      <c r="G49" s="234">
        <f>SUMIFS('caseload data'!I:I,'caseload data'!$D:$D,"PSO",'caseload data'!$C:$C,$B$6, 'caseload data'!$B:$B, "community")</f>
        <v>0</v>
      </c>
      <c r="H49" s="234">
        <f>SUMIFS('caseload data'!J:J,'caseload data'!$D:$D,"PSO",'caseload data'!$C:$C,$B$6, 'caseload data'!$B:$B, "community")</f>
        <v>0</v>
      </c>
      <c r="I49" s="234">
        <f>SUMIFS('caseload data'!K:K,'caseload data'!$D:$D,"PSO",'caseload data'!$C:$C,$B$6, 'caseload data'!$B:$B, "community")</f>
        <v>0</v>
      </c>
      <c r="J49" s="234">
        <f>SUMIFS('caseload data'!L:L,'caseload data'!$D:$D,"PSO",'caseload data'!$C:$C,$B$6, 'caseload data'!$B:$B, "community")</f>
        <v>0</v>
      </c>
      <c r="K49" s="234">
        <f>SUMIFS('caseload data'!M:M,'caseload data'!$D:$D,"PSO",'caseload data'!$C:$C,$B$6, 'caseload data'!$B:$B, "community")</f>
        <v>0</v>
      </c>
      <c r="L49" s="234">
        <f>SUMIFS('caseload data'!N:N,'caseload data'!$D:$D,"PSO",'caseload data'!$C:$C,$B$6, 'caseload data'!$B:$B, "community")</f>
        <v>0</v>
      </c>
      <c r="M49" s="234">
        <f>SUMIFS('caseload data'!O:O,'caseload data'!$D:$D,"PSO",'caseload data'!$C:$C,$B$6, 'caseload data'!$B:$B, "community")</f>
        <v>0</v>
      </c>
      <c r="N49" s="234">
        <f>SUMIFS('caseload data'!P:P,'caseload data'!$D:$D,"PSO",'caseload data'!$C:$C,$B$6, 'caseload data'!$B:$B, "community")</f>
        <v>0</v>
      </c>
      <c r="O49" s="234">
        <f>SUMIFS('caseload data'!Q:Q,'caseload data'!$D:$D,"PSO",'caseload data'!$C:$C,$B$6, 'caseload data'!$B:$B, "community")</f>
        <v>0</v>
      </c>
      <c r="P49" s="234">
        <f>SUMIFS('caseload data'!R:R,'caseload data'!$D:$D,"PSO",'caseload data'!$C:$C,$B$6, 'caseload data'!$B:$B, "community")</f>
        <v>0</v>
      </c>
      <c r="Q49" s="234">
        <f>SUMIFS('caseload data'!S:S,'caseload data'!$D:$D,"PSO",'caseload data'!$C:$C,$B$6, 'caseload data'!$B:$B, "community")</f>
        <v>0</v>
      </c>
      <c r="R49" s="234">
        <f>SUMIFS('caseload data'!T:T,'caseload data'!$D:$D,"PSO",'caseload data'!$C:$C,$B$6, 'caseload data'!$B:$B, "community")</f>
        <v>0</v>
      </c>
      <c r="S49" s="234">
        <f>SUMIFS('caseload data'!U:U,'caseload data'!$D:$D,"PSO",'caseload data'!$C:$C,$B$6, 'caseload data'!$B:$B, "community")</f>
        <v>0</v>
      </c>
      <c r="T49" s="234">
        <f t="shared" si="4"/>
        <v>0</v>
      </c>
    </row>
    <row r="50" spans="2:21" ht="14.25" customHeight="1" x14ac:dyDescent="0.15">
      <c r="B50" s="75" t="s">
        <v>953</v>
      </c>
      <c r="C50" s="234">
        <f>SUMIFS('caseload data'!E:E,'caseload data'!$D:$D,"TPO",'caseload data'!$C:$C,$B$6, 'caseload data'!$B:$B, "community")</f>
        <v>0</v>
      </c>
      <c r="D50" s="234">
        <f>SUMIFS('caseload data'!F:F,'caseload data'!$D:$D,"TPO",'caseload data'!$C:$C,$B$6, 'caseload data'!$B:$B, "community")</f>
        <v>0</v>
      </c>
      <c r="E50" s="234">
        <f>SUMIFS('caseload data'!G:G,'caseload data'!$D:$D,"TPO",'caseload data'!$C:$C,$B$6, 'caseload data'!$B:$B, "community")</f>
        <v>0</v>
      </c>
      <c r="F50" s="234">
        <f>SUMIFS('caseload data'!H:H,'caseload data'!$D:$D,"TPO",'caseload data'!$C:$C,$B$6, 'caseload data'!$B:$B, "community")</f>
        <v>0</v>
      </c>
      <c r="G50" s="234">
        <f>SUMIFS('caseload data'!I:I,'caseload data'!$D:$D,"TPO",'caseload data'!$C:$C,$B$6, 'caseload data'!$B:$B, "community")</f>
        <v>0</v>
      </c>
      <c r="H50" s="234">
        <f>SUMIFS('caseload data'!J:J,'caseload data'!$D:$D,"TPO",'caseload data'!$C:$C,$B$6, 'caseload data'!$B:$B, "community")</f>
        <v>0</v>
      </c>
      <c r="I50" s="234">
        <f>SUMIFS('caseload data'!K:K,'caseload data'!$D:$D,"TPO",'caseload data'!$C:$C,$B$6, 'caseload data'!$B:$B, "community")</f>
        <v>0</v>
      </c>
      <c r="J50" s="234">
        <f>SUMIFS('caseload data'!L:L,'caseload data'!$D:$D,"TPO",'caseload data'!$C:$C,$B$6, 'caseload data'!$B:$B, "community")</f>
        <v>0</v>
      </c>
      <c r="K50" s="234">
        <f>SUMIFS('caseload data'!M:M,'caseload data'!$D:$D,"TPO",'caseload data'!$C:$C,$B$6, 'caseload data'!$B:$B, "community")</f>
        <v>0</v>
      </c>
      <c r="L50" s="234">
        <f>SUMIFS('caseload data'!N:N,'caseload data'!$D:$D,"TPO",'caseload data'!$C:$C,$B$6, 'caseload data'!$B:$B, "community")</f>
        <v>0</v>
      </c>
      <c r="M50" s="234">
        <f>SUMIFS('caseload data'!O:O,'caseload data'!$D:$D,"TPO",'caseload data'!$C:$C,$B$6, 'caseload data'!$B:$B, "community")</f>
        <v>0</v>
      </c>
      <c r="N50" s="234">
        <f>SUMIFS('caseload data'!P:P,'caseload data'!$D:$D,"TPO",'caseload data'!$C:$C,$B$6, 'caseload data'!$B:$B, "community")</f>
        <v>0</v>
      </c>
      <c r="O50" s="234">
        <f>SUMIFS('caseload data'!Q:Q,'caseload data'!$D:$D,"TPO",'caseload data'!$C:$C,$B$6, 'caseload data'!$B:$B, "community")</f>
        <v>0</v>
      </c>
      <c r="P50" s="234">
        <f>SUMIFS('caseload data'!R:R,'caseload data'!$D:$D,"TPO",'caseload data'!$C:$C,$B$6, 'caseload data'!$B:$B, "community")</f>
        <v>0</v>
      </c>
      <c r="Q50" s="234">
        <f>SUMIFS('caseload data'!S:S,'caseload data'!$D:$D,"TPO",'caseload data'!$C:$C,$B$6, 'caseload data'!$B:$B, "community")</f>
        <v>0</v>
      </c>
      <c r="R50" s="234">
        <f>SUMIFS('caseload data'!T:T,'caseload data'!$D:$D,"TPO",'caseload data'!$C:$C,$B$6, 'caseload data'!$B:$B, "community")</f>
        <v>0</v>
      </c>
      <c r="S50" s="234">
        <f>SUMIFS('caseload data'!U:U,'caseload data'!$D:$D,"TPO",'caseload data'!$C:$C,$B$6, 'caseload data'!$B:$B, "community")</f>
        <v>0</v>
      </c>
      <c r="T50" s="234">
        <f t="shared" si="4"/>
        <v>0</v>
      </c>
    </row>
    <row r="51" spans="2:21" ht="14.25" customHeight="1" x14ac:dyDescent="0.15">
      <c r="B51" s="75" t="s">
        <v>954</v>
      </c>
      <c r="C51" s="234">
        <f>SUMIFS('caseload data'!E:E,'caseload data'!$D:$D,"SPO",'caseload data'!$C:$C,$B$6, 'caseload data'!$B:$B, "community")</f>
        <v>0</v>
      </c>
      <c r="D51" s="234">
        <f>SUMIFS('caseload data'!F:F,'caseload data'!$D:$D,"SPO",'caseload data'!$C:$C,$B$6, 'caseload data'!$B:$B, "community")</f>
        <v>0</v>
      </c>
      <c r="E51" s="234">
        <f>SUMIFS('caseload data'!G:G,'caseload data'!$D:$D,"SPO",'caseload data'!$C:$C,$B$6, 'caseload data'!$B:$B, "community")</f>
        <v>0</v>
      </c>
      <c r="F51" s="234">
        <f>SUMIFS('caseload data'!H:H,'caseload data'!$D:$D,"SPO",'caseload data'!$C:$C,$B$6, 'caseload data'!$B:$B, "community")</f>
        <v>0</v>
      </c>
      <c r="G51" s="234">
        <f>SUMIFS('caseload data'!I:I,'caseload data'!$D:$D,"SPO",'caseload data'!$C:$C,$B$6, 'caseload data'!$B:$B, "community")</f>
        <v>0</v>
      </c>
      <c r="H51" s="234">
        <f>SUMIFS('caseload data'!J:J,'caseload data'!$D:$D,"SPO",'caseload data'!$C:$C,$B$6, 'caseload data'!$B:$B, "community")</f>
        <v>0</v>
      </c>
      <c r="I51" s="234">
        <f>SUMIFS('caseload data'!K:K,'caseload data'!$D:$D,"SPO",'caseload data'!$C:$C,$B$6, 'caseload data'!$B:$B, "community")</f>
        <v>0</v>
      </c>
      <c r="J51" s="234">
        <f>SUMIFS('caseload data'!L:L,'caseload data'!$D:$D,"SPO",'caseload data'!$C:$C,$B$6, 'caseload data'!$B:$B, "community")</f>
        <v>0</v>
      </c>
      <c r="K51" s="234">
        <f>SUMIFS('caseload data'!M:M,'caseload data'!$D:$D,"SPO",'caseload data'!$C:$C,$B$6, 'caseload data'!$B:$B, "community")</f>
        <v>0</v>
      </c>
      <c r="L51" s="234">
        <f>SUMIFS('caseload data'!N:N,'caseload data'!$D:$D,"SPO",'caseload data'!$C:$C,$B$6, 'caseload data'!$B:$B, "community")</f>
        <v>0</v>
      </c>
      <c r="M51" s="234">
        <f>SUMIFS('caseload data'!O:O,'caseload data'!$D:$D,"SPO",'caseload data'!$C:$C,$B$6, 'caseload data'!$B:$B, "community")</f>
        <v>0</v>
      </c>
      <c r="N51" s="234">
        <f>SUMIFS('caseload data'!P:P,'caseload data'!$D:$D,"SPO",'caseload data'!$C:$C,$B$6, 'caseload data'!$B:$B, "community")</f>
        <v>0</v>
      </c>
      <c r="O51" s="234">
        <f>SUMIFS('caseload data'!Q:Q,'caseload data'!$D:$D,"SPO",'caseload data'!$C:$C,$B$6, 'caseload data'!$B:$B, "community")</f>
        <v>0</v>
      </c>
      <c r="P51" s="234">
        <f>SUMIFS('caseload data'!R:R,'caseload data'!$D:$D,"SPO",'caseload data'!$C:$C,$B$6, 'caseload data'!$B:$B, "community")</f>
        <v>0</v>
      </c>
      <c r="Q51" s="234">
        <f>SUMIFS('caseload data'!S:S,'caseload data'!$D:$D,"SPO",'caseload data'!$C:$C,$B$6, 'caseload data'!$B:$B, "community")</f>
        <v>0</v>
      </c>
      <c r="R51" s="234">
        <f>SUMIFS('caseload data'!T:T,'caseload data'!$D:$D,"SPO",'caseload data'!$C:$C,$B$6, 'caseload data'!$B:$B, "community")</f>
        <v>0</v>
      </c>
      <c r="S51" s="234">
        <f>SUMIFS('caseload data'!U:U,'caseload data'!$D:$D,"SPO",'caseload data'!$C:$C,$B$6, 'caseload data'!$B:$B, "community")</f>
        <v>0</v>
      </c>
      <c r="T51" s="234">
        <f>SUM(C51:S51)</f>
        <v>0</v>
      </c>
      <c r="U51" s="239"/>
    </row>
    <row r="52" spans="2:21" ht="14.25" customHeight="1" x14ac:dyDescent="0.15">
      <c r="B52" s="75" t="s">
        <v>1286</v>
      </c>
      <c r="C52" s="234">
        <f>SUMIFS('caseload data'!E:E,'caseload data'!$D:$D,"DMY",'caseload data'!$C:$C,$B$6, 'caseload data'!$B:$B, "community")</f>
        <v>0</v>
      </c>
      <c r="D52" s="234">
        <f>SUMIFS('caseload data'!F:F,'caseload data'!$D:$D,"DMY",'caseload data'!$C:$C,$B$6, 'caseload data'!$B:$B, "community")</f>
        <v>0</v>
      </c>
      <c r="E52" s="234">
        <f>SUMIFS('caseload data'!G:G,'caseload data'!$D:$D,"DMY",'caseload data'!$C:$C,$B$6, 'caseload data'!$B:$B, "community")</f>
        <v>0</v>
      </c>
      <c r="F52" s="234">
        <f>SUMIFS('caseload data'!H:H,'caseload data'!$D:$D,"DMY",'caseload data'!$C:$C,$B$6, 'caseload data'!$B:$B, "community")</f>
        <v>0</v>
      </c>
      <c r="G52" s="234">
        <f>SUMIFS('caseload data'!I:I,'caseload data'!$D:$D,"DMY",'caseload data'!$C:$C,$B$6, 'caseload data'!$B:$B, "community")</f>
        <v>0</v>
      </c>
      <c r="H52" s="234">
        <f>SUMIFS('caseload data'!J:J,'caseload data'!$D:$D,"DMY",'caseload data'!$C:$C,$B$6, 'caseload data'!$B:$B, "community")</f>
        <v>0</v>
      </c>
      <c r="I52" s="234">
        <f>SUMIFS('caseload data'!K:K,'caseload data'!$D:$D,"DMY",'caseload data'!$C:$C,$B$6, 'caseload data'!$B:$B, "community")</f>
        <v>0</v>
      </c>
      <c r="J52" s="234">
        <f>SUMIFS('caseload data'!L:L,'caseload data'!$D:$D,"DMY",'caseload data'!$C:$C,$B$6, 'caseload data'!$B:$B, "community")</f>
        <v>0</v>
      </c>
      <c r="K52" s="234">
        <f>SUMIFS('caseload data'!M:M,'caseload data'!$D:$D,"DMY",'caseload data'!$C:$C,$B$6, 'caseload data'!$B:$B, "community")</f>
        <v>0</v>
      </c>
      <c r="L52" s="234">
        <f>SUMIFS('caseload data'!N:N,'caseload data'!$D:$D,"DMY",'caseload data'!$C:$C,$B$6, 'caseload data'!$B:$B, "community")</f>
        <v>0</v>
      </c>
      <c r="M52" s="234">
        <f>SUMIFS('caseload data'!O:O,'caseload data'!$D:$D,"DMY",'caseload data'!$C:$C,$B$6, 'caseload data'!$B:$B, "community")</f>
        <v>0</v>
      </c>
      <c r="N52" s="234">
        <f>SUMIFS('caseload data'!P:P,'caseload data'!$D:$D,"DMY",'caseload data'!$C:$C,$B$6, 'caseload data'!$B:$B, "community")</f>
        <v>0</v>
      </c>
      <c r="O52" s="234">
        <f>SUMIFS('caseload data'!Q:Q,'caseload data'!$D:$D,"DMY",'caseload data'!$C:$C,$B$6, 'caseload data'!$B:$B, "community")</f>
        <v>0</v>
      </c>
      <c r="P52" s="234">
        <f>SUMIFS('caseload data'!R:R,'caseload data'!$D:$D,"DMY",'caseload data'!$C:$C,$B$6, 'caseload data'!$B:$B, "community")</f>
        <v>0</v>
      </c>
      <c r="Q52" s="234">
        <f>SUMIFS('caseload data'!S:S,'caseload data'!$D:$D,"DMY",'caseload data'!$C:$C,$B$6, 'caseload data'!$B:$B, "community")</f>
        <v>0</v>
      </c>
      <c r="R52" s="234">
        <f>SUMIFS('caseload data'!T:T,'caseload data'!$D:$D,"DMY",'caseload data'!$C:$C,$B$6, 'caseload data'!$B:$B, "community")</f>
        <v>0</v>
      </c>
      <c r="S52" s="234">
        <f>SUMIFS('caseload data'!U:U,'caseload data'!$D:$D,"DMY",'caseload data'!$C:$C,$B$6, 'caseload data'!$B:$B, "community")</f>
        <v>0</v>
      </c>
      <c r="T52" s="234">
        <f>SUM(C52:S52)</f>
        <v>0</v>
      </c>
    </row>
    <row r="53" spans="2:21" ht="14.25" customHeight="1" x14ac:dyDescent="0.15">
      <c r="B53" s="424" t="s">
        <v>909</v>
      </c>
      <c r="C53" s="425">
        <f>SUM(C48:C52)</f>
        <v>0</v>
      </c>
      <c r="D53" s="425">
        <f t="shared" ref="D53" si="7">SUM(D48:D52)</f>
        <v>0</v>
      </c>
      <c r="E53" s="425">
        <f t="shared" ref="E53" si="8">SUM(E48:E52)</f>
        <v>0</v>
      </c>
      <c r="F53" s="425">
        <f t="shared" ref="F53" si="9">SUM(F48:F52)</f>
        <v>0</v>
      </c>
      <c r="G53" s="425">
        <f t="shared" ref="G53" si="10">SUM(G48:G52)</f>
        <v>0</v>
      </c>
      <c r="H53" s="425">
        <f t="shared" ref="H53" si="11">SUM(H48:H52)</f>
        <v>0</v>
      </c>
      <c r="I53" s="425">
        <f t="shared" ref="I53" si="12">SUM(I48:I52)</f>
        <v>0</v>
      </c>
      <c r="J53" s="425">
        <f t="shared" ref="J53" si="13">SUM(J48:J52)</f>
        <v>0</v>
      </c>
      <c r="K53" s="425">
        <f t="shared" ref="K53" si="14">SUM(K48:K52)</f>
        <v>0</v>
      </c>
      <c r="L53" s="425">
        <f t="shared" ref="L53" si="15">SUM(L48:L52)</f>
        <v>0</v>
      </c>
      <c r="M53" s="425">
        <f t="shared" ref="M53" si="16">SUM(M48:M52)</f>
        <v>0</v>
      </c>
      <c r="N53" s="425">
        <f t="shared" ref="N53" si="17">SUM(N48:N52)</f>
        <v>0</v>
      </c>
      <c r="O53" s="425">
        <f t="shared" ref="O53" si="18">SUM(O48:O52)</f>
        <v>0</v>
      </c>
      <c r="P53" s="425">
        <f t="shared" ref="P53" si="19">SUM(P48:P52)</f>
        <v>0</v>
      </c>
      <c r="Q53" s="425">
        <f t="shared" ref="Q53" si="20">SUM(Q48:Q52)</f>
        <v>0</v>
      </c>
      <c r="R53" s="425">
        <f t="shared" ref="R53" si="21">SUM(R48:R52)</f>
        <v>0</v>
      </c>
      <c r="S53" s="425">
        <f t="shared" ref="S53" si="22">SUM(S48:S52)</f>
        <v>0</v>
      </c>
      <c r="T53" s="425">
        <f t="shared" ref="T53" si="23">SUM(T48:T52)</f>
        <v>0</v>
      </c>
    </row>
    <row r="54" spans="2:21" ht="14.25" customHeight="1" x14ac:dyDescent="0.15">
      <c r="B54" s="171"/>
      <c r="C54" s="171"/>
      <c r="D54" s="171"/>
      <c r="E54" s="171"/>
      <c r="F54" s="171"/>
      <c r="G54" s="171"/>
      <c r="H54" s="171"/>
      <c r="I54" s="171"/>
      <c r="J54" s="171"/>
      <c r="K54" s="171"/>
      <c r="L54" s="171"/>
      <c r="M54" s="171"/>
      <c r="N54" s="171"/>
      <c r="O54" s="171"/>
      <c r="P54" s="171"/>
      <c r="Q54" s="171"/>
      <c r="R54" s="171"/>
      <c r="T54" s="239"/>
    </row>
    <row r="55" spans="2:21" ht="44.25" customHeight="1" x14ac:dyDescent="0.15">
      <c r="B55" s="299" t="str">
        <f>$B$6</f>
        <v>Lambeth - N07</v>
      </c>
      <c r="C55" s="466" t="s">
        <v>977</v>
      </c>
      <c r="D55" s="462"/>
      <c r="E55" s="462"/>
      <c r="F55" s="462"/>
      <c r="G55" s="462"/>
      <c r="H55" s="462"/>
      <c r="I55" s="462"/>
      <c r="J55" s="462"/>
      <c r="K55" s="462"/>
      <c r="L55" s="462"/>
      <c r="M55" s="462"/>
      <c r="N55" s="462"/>
      <c r="O55" s="462"/>
      <c r="P55" s="462"/>
      <c r="Q55" s="462"/>
      <c r="R55" s="462"/>
      <c r="S55" s="462"/>
      <c r="T55" s="462"/>
    </row>
    <row r="56" spans="2:21" ht="21.75" customHeight="1" x14ac:dyDescent="0.15">
      <c r="B56" s="95" t="s">
        <v>951</v>
      </c>
      <c r="C56" s="38" t="s">
        <v>814</v>
      </c>
      <c r="D56" s="38" t="s">
        <v>815</v>
      </c>
      <c r="E56" s="38" t="s">
        <v>816</v>
      </c>
      <c r="F56" s="38" t="s">
        <v>817</v>
      </c>
      <c r="G56" s="38" t="s">
        <v>818</v>
      </c>
      <c r="H56" s="38" t="s">
        <v>819</v>
      </c>
      <c r="I56" s="38" t="s">
        <v>820</v>
      </c>
      <c r="J56" s="38" t="s">
        <v>821</v>
      </c>
      <c r="K56" s="38" t="s">
        <v>822</v>
      </c>
      <c r="L56" s="38" t="s">
        <v>823</v>
      </c>
      <c r="M56" s="38" t="s">
        <v>824</v>
      </c>
      <c r="N56" s="38" t="s">
        <v>825</v>
      </c>
      <c r="O56" s="38" t="s">
        <v>826</v>
      </c>
      <c r="P56" s="38" t="s">
        <v>827</v>
      </c>
      <c r="Q56" s="38" t="s">
        <v>828</v>
      </c>
      <c r="R56" s="38" t="s">
        <v>829</v>
      </c>
      <c r="S56" s="38" t="s">
        <v>975</v>
      </c>
      <c r="T56" s="38" t="s">
        <v>909</v>
      </c>
    </row>
    <row r="57" spans="2:21" ht="14.25" customHeight="1" x14ac:dyDescent="0.15">
      <c r="B57" s="75" t="s">
        <v>947</v>
      </c>
      <c r="C57" s="234">
        <f>SUMIFS('caseload data'!E:E,'caseload data'!$D:$D,"PO",'caseload data'!$C:$C,$B$6, 'caseload data'!$B:$B, "licence")</f>
        <v>0</v>
      </c>
      <c r="D57" s="234">
        <f>SUMIFS('caseload data'!F:F,'caseload data'!$D:$D,"PO",'caseload data'!$C:$C,$B$6, 'caseload data'!$B:$B, "licence")</f>
        <v>0</v>
      </c>
      <c r="E57" s="234">
        <f>SUMIFS('caseload data'!G:G,'caseload data'!$D:$D,"PO",'caseload data'!$C:$C,$B$6, 'caseload data'!$B:$B, "licence")</f>
        <v>0</v>
      </c>
      <c r="F57" s="234">
        <f>SUMIFS('caseload data'!H:H,'caseload data'!$D:$D,"PO",'caseload data'!$C:$C,$B$6, 'caseload data'!$B:$B, "licence")</f>
        <v>0</v>
      </c>
      <c r="G57" s="234">
        <f>SUMIFS('caseload data'!I:I,'caseload data'!$D:$D,"PO",'caseload data'!$C:$C,$B$6, 'caseload data'!$B:$B, "licence")</f>
        <v>0</v>
      </c>
      <c r="H57" s="234">
        <f>SUMIFS('caseload data'!J:J,'caseload data'!$D:$D,"PO",'caseload data'!$C:$C,$B$6, 'caseload data'!$B:$B, "licence")</f>
        <v>0</v>
      </c>
      <c r="I57" s="234">
        <f>SUMIFS('caseload data'!K:K,'caseload data'!$D:$D,"PO",'caseload data'!$C:$C,$B$6, 'caseload data'!$B:$B, "licence")</f>
        <v>0</v>
      </c>
      <c r="J57" s="234">
        <f>SUMIFS('caseload data'!L:L,'caseload data'!$D:$D,"PO",'caseload data'!$C:$C,$B$6, 'caseload data'!$B:$B, "licence")</f>
        <v>0</v>
      </c>
      <c r="K57" s="234">
        <f>SUMIFS('caseload data'!M:M,'caseload data'!$D:$D,"PO",'caseload data'!$C:$C,$B$6, 'caseload data'!$B:$B, "licence")</f>
        <v>0</v>
      </c>
      <c r="L57" s="234">
        <f>SUMIFS('caseload data'!N:N,'caseload data'!$D:$D,"PO",'caseload data'!$C:$C,$B$6, 'caseload data'!$B:$B, "licence")</f>
        <v>0</v>
      </c>
      <c r="M57" s="234">
        <f>SUMIFS('caseload data'!O:O,'caseload data'!$D:$D,"PO",'caseload data'!$C:$C,$B$6, 'caseload data'!$B:$B, "licence")</f>
        <v>0</v>
      </c>
      <c r="N57" s="234">
        <f>SUMIFS('caseload data'!P:P,'caseload data'!$D:$D,"PO",'caseload data'!$C:$C,$B$6, 'caseload data'!$B:$B, "licence")</f>
        <v>0</v>
      </c>
      <c r="O57" s="234">
        <f>SUMIFS('caseload data'!Q:Q,'caseload data'!$D:$D,"PO",'caseload data'!$C:$C,$B$6, 'caseload data'!$B:$B, "licence")</f>
        <v>0</v>
      </c>
      <c r="P57" s="234">
        <f>SUMIFS('caseload data'!R:R,'caseload data'!$D:$D,"PO",'caseload data'!$C:$C,$B$6, 'caseload data'!$B:$B, "licence")</f>
        <v>0</v>
      </c>
      <c r="Q57" s="234">
        <f>SUMIFS('caseload data'!S:S,'caseload data'!$D:$D,"PO",'caseload data'!$C:$C,$B$6, 'caseload data'!$B:$B, "licence")</f>
        <v>0</v>
      </c>
      <c r="R57" s="234">
        <f>SUMIFS('caseload data'!T:T,'caseload data'!$D:$D,"PO",'caseload data'!$C:$C,$B$6, 'caseload data'!$B:$B, "licence")</f>
        <v>0</v>
      </c>
      <c r="S57" s="234">
        <f>SUMIFS('caseload data'!U:U,'caseload data'!$D:$D,"PO",'caseload data'!$C:$C,$B$6, 'caseload data'!$B:$B, "licence")</f>
        <v>0</v>
      </c>
      <c r="T57" s="234">
        <f t="shared" si="4"/>
        <v>0</v>
      </c>
    </row>
    <row r="58" spans="2:21" ht="14.25" customHeight="1" x14ac:dyDescent="0.15">
      <c r="B58" s="75" t="s">
        <v>952</v>
      </c>
      <c r="C58" s="234">
        <f>SUMIFS('caseload data'!E:E,'caseload data'!$D:$D,"PSO",'caseload data'!$C:$C,$B$6, 'caseload data'!$B:$B, "licence")</f>
        <v>0</v>
      </c>
      <c r="D58" s="234">
        <f>SUMIFS('caseload data'!F:F,'caseload data'!$D:$D,"PSO",'caseload data'!$C:$C,$B$6, 'caseload data'!$B:$B, "licence")</f>
        <v>0</v>
      </c>
      <c r="E58" s="234">
        <f>SUMIFS('caseload data'!G:G,'caseload data'!$D:$D,"PSO",'caseload data'!$C:$C,$B$6, 'caseload data'!$B:$B, "licence")</f>
        <v>0</v>
      </c>
      <c r="F58" s="234">
        <f>SUMIFS('caseload data'!H:H,'caseload data'!$D:$D,"PSO",'caseload data'!$C:$C,$B$6, 'caseload data'!$B:$B, "licence")</f>
        <v>0</v>
      </c>
      <c r="G58" s="234">
        <f>SUMIFS('caseload data'!I:I,'caseload data'!$D:$D,"PSO",'caseload data'!$C:$C,$B$6, 'caseload data'!$B:$B, "licence")</f>
        <v>0</v>
      </c>
      <c r="H58" s="234">
        <f>SUMIFS('caseload data'!J:J,'caseload data'!$D:$D,"PSO",'caseload data'!$C:$C,$B$6, 'caseload data'!$B:$B, "licence")</f>
        <v>0</v>
      </c>
      <c r="I58" s="234">
        <f>SUMIFS('caseload data'!K:K,'caseload data'!$D:$D,"PSO",'caseload data'!$C:$C,$B$6, 'caseload data'!$B:$B, "licence")</f>
        <v>0</v>
      </c>
      <c r="J58" s="234">
        <f>SUMIFS('caseload data'!L:L,'caseload data'!$D:$D,"PSO",'caseload data'!$C:$C,$B$6, 'caseload data'!$B:$B, "licence")</f>
        <v>0</v>
      </c>
      <c r="K58" s="234">
        <f>SUMIFS('caseload data'!M:M,'caseload data'!$D:$D,"PSO",'caseload data'!$C:$C,$B$6, 'caseload data'!$B:$B, "licence")</f>
        <v>0</v>
      </c>
      <c r="L58" s="234">
        <f>SUMIFS('caseload data'!N:N,'caseload data'!$D:$D,"PSO",'caseload data'!$C:$C,$B$6, 'caseload data'!$B:$B, "licence")</f>
        <v>0</v>
      </c>
      <c r="M58" s="234">
        <f>SUMIFS('caseload data'!O:O,'caseload data'!$D:$D,"PSO",'caseload data'!$C:$C,$B$6, 'caseload data'!$B:$B, "licence")</f>
        <v>0</v>
      </c>
      <c r="N58" s="234">
        <f>SUMIFS('caseload data'!P:P,'caseload data'!$D:$D,"PSO",'caseload data'!$C:$C,$B$6, 'caseload data'!$B:$B, "licence")</f>
        <v>0</v>
      </c>
      <c r="O58" s="234">
        <f>SUMIFS('caseload data'!Q:Q,'caseload data'!$D:$D,"PSO",'caseload data'!$C:$C,$B$6, 'caseload data'!$B:$B, "licence")</f>
        <v>0</v>
      </c>
      <c r="P58" s="234">
        <f>SUMIFS('caseload data'!R:R,'caseload data'!$D:$D,"PSO",'caseload data'!$C:$C,$B$6, 'caseload data'!$B:$B, "licence")</f>
        <v>0</v>
      </c>
      <c r="Q58" s="234">
        <f>SUMIFS('caseload data'!S:S,'caseload data'!$D:$D,"PSO",'caseload data'!$C:$C,$B$6, 'caseload data'!$B:$B, "licence")</f>
        <v>0</v>
      </c>
      <c r="R58" s="234">
        <f>SUMIFS('caseload data'!T:T,'caseload data'!$D:$D,"PSO",'caseload data'!$C:$C,$B$6, 'caseload data'!$B:$B, "licence")</f>
        <v>0</v>
      </c>
      <c r="S58" s="234">
        <f>SUMIFS('caseload data'!U:U,'caseload data'!$D:$D,"PSO",'caseload data'!$C:$C,$B$6, 'caseload data'!$B:$B, "licence")</f>
        <v>0</v>
      </c>
      <c r="T58" s="234">
        <f t="shared" si="4"/>
        <v>0</v>
      </c>
    </row>
    <row r="59" spans="2:21" ht="14.25" customHeight="1" x14ac:dyDescent="0.15">
      <c r="B59" s="75" t="s">
        <v>953</v>
      </c>
      <c r="C59" s="234">
        <f>SUMIFS('caseload data'!E:E,'caseload data'!$D:$D,"TPO",'caseload data'!$C:$C,$B$6, 'caseload data'!$B:$B, "licence")</f>
        <v>0</v>
      </c>
      <c r="D59" s="234">
        <f>SUMIFS('caseload data'!F:F,'caseload data'!$D:$D,"TPO",'caseload data'!$C:$C,$B$6, 'caseload data'!$B:$B, "licence")</f>
        <v>0</v>
      </c>
      <c r="E59" s="234">
        <f>SUMIFS('caseload data'!G:G,'caseload data'!$D:$D,"TPO",'caseload data'!$C:$C,$B$6, 'caseload data'!$B:$B, "licence")</f>
        <v>0</v>
      </c>
      <c r="F59" s="234">
        <f>SUMIFS('caseload data'!H:H,'caseload data'!$D:$D,"TPO",'caseload data'!$C:$C,$B$6, 'caseload data'!$B:$B, "licence")</f>
        <v>0</v>
      </c>
      <c r="G59" s="234">
        <f>SUMIFS('caseload data'!I:I,'caseload data'!$D:$D,"TPO",'caseload data'!$C:$C,$B$6, 'caseload data'!$B:$B, "licence")</f>
        <v>0</v>
      </c>
      <c r="H59" s="234">
        <f>SUMIFS('caseload data'!J:J,'caseload data'!$D:$D,"TPO",'caseload data'!$C:$C,$B$6, 'caseload data'!$B:$B, "licence")</f>
        <v>0</v>
      </c>
      <c r="I59" s="234">
        <f>SUMIFS('caseload data'!K:K,'caseload data'!$D:$D,"TPO",'caseload data'!$C:$C,$B$6, 'caseload data'!$B:$B, "licence")</f>
        <v>0</v>
      </c>
      <c r="J59" s="234">
        <f>SUMIFS('caseload data'!L:L,'caseload data'!$D:$D,"TPO",'caseload data'!$C:$C,$B$6, 'caseload data'!$B:$B, "licence")</f>
        <v>0</v>
      </c>
      <c r="K59" s="234">
        <f>SUMIFS('caseload data'!M:M,'caseload data'!$D:$D,"TPO",'caseload data'!$C:$C,$B$6, 'caseload data'!$B:$B, "licence")</f>
        <v>0</v>
      </c>
      <c r="L59" s="234">
        <f>SUMIFS('caseload data'!N:N,'caseload data'!$D:$D,"TPO",'caseload data'!$C:$C,$B$6, 'caseload data'!$B:$B, "licence")</f>
        <v>0</v>
      </c>
      <c r="M59" s="234">
        <f>SUMIFS('caseload data'!O:O,'caseload data'!$D:$D,"TPO",'caseload data'!$C:$C,$B$6, 'caseload data'!$B:$B, "licence")</f>
        <v>0</v>
      </c>
      <c r="N59" s="234">
        <f>SUMIFS('caseload data'!P:P,'caseload data'!$D:$D,"TPO",'caseload data'!$C:$C,$B$6, 'caseload data'!$B:$B, "licence")</f>
        <v>0</v>
      </c>
      <c r="O59" s="234">
        <f>SUMIFS('caseload data'!Q:Q,'caseload data'!$D:$D,"TPO",'caseload data'!$C:$C,$B$6, 'caseload data'!$B:$B, "licence")</f>
        <v>0</v>
      </c>
      <c r="P59" s="234">
        <f>SUMIFS('caseload data'!R:R,'caseload data'!$D:$D,"TPO",'caseload data'!$C:$C,$B$6, 'caseload data'!$B:$B, "licence")</f>
        <v>0</v>
      </c>
      <c r="Q59" s="234">
        <f>SUMIFS('caseload data'!S:S,'caseload data'!$D:$D,"TPO",'caseload data'!$C:$C,$B$6, 'caseload data'!$B:$B, "licence")</f>
        <v>0</v>
      </c>
      <c r="R59" s="234">
        <f>SUMIFS('caseload data'!T:T,'caseload data'!$D:$D,"TPO",'caseload data'!$C:$C,$B$6, 'caseload data'!$B:$B, "licence")</f>
        <v>0</v>
      </c>
      <c r="S59" s="234">
        <f>SUMIFS('caseload data'!U:U,'caseload data'!$D:$D,"TPO",'caseload data'!$C:$C,$B$6, 'caseload data'!$B:$B, "licence")</f>
        <v>0</v>
      </c>
      <c r="T59" s="234">
        <f t="shared" si="4"/>
        <v>0</v>
      </c>
    </row>
    <row r="60" spans="2:21" ht="14.25" customHeight="1" x14ac:dyDescent="0.15">
      <c r="B60" s="75" t="s">
        <v>954</v>
      </c>
      <c r="C60" s="234">
        <f>SUMIFS('caseload data'!E:E,'caseload data'!$D:$D,"SPO",'caseload data'!$C:$C,$B$6, 'caseload data'!$B:$B, "licence")</f>
        <v>0</v>
      </c>
      <c r="D60" s="234">
        <f>SUMIFS('caseload data'!F:F,'caseload data'!$D:$D,"SPO",'caseload data'!$C:$C,$B$6, 'caseload data'!$B:$B, "licence")</f>
        <v>0</v>
      </c>
      <c r="E60" s="234">
        <f>SUMIFS('caseload data'!G:G,'caseload data'!$D:$D,"SPO",'caseload data'!$C:$C,$B$6, 'caseload data'!$B:$B, "licence")</f>
        <v>0</v>
      </c>
      <c r="F60" s="234">
        <f>SUMIFS('caseload data'!H:H,'caseload data'!$D:$D,"SPO",'caseload data'!$C:$C,$B$6, 'caseload data'!$B:$B, "licence")</f>
        <v>0</v>
      </c>
      <c r="G60" s="234">
        <f>SUMIFS('caseload data'!I:I,'caseload data'!$D:$D,"SPO",'caseload data'!$C:$C,$B$6, 'caseload data'!$B:$B, "licence")</f>
        <v>0</v>
      </c>
      <c r="H60" s="234">
        <f>SUMIFS('caseload data'!J:J,'caseload data'!$D:$D,"SPO",'caseload data'!$C:$C,$B$6, 'caseload data'!$B:$B, "licence")</f>
        <v>0</v>
      </c>
      <c r="I60" s="234">
        <f>SUMIFS('caseload data'!K:K,'caseload data'!$D:$D,"SPO",'caseload data'!$C:$C,$B$6, 'caseload data'!$B:$B, "licence")</f>
        <v>0</v>
      </c>
      <c r="J60" s="234">
        <f>SUMIFS('caseload data'!L:L,'caseload data'!$D:$D,"SPO",'caseload data'!$C:$C,$B$6, 'caseload data'!$B:$B, "licence")</f>
        <v>0</v>
      </c>
      <c r="K60" s="234">
        <f>SUMIFS('caseload data'!M:M,'caseload data'!$D:$D,"SPO",'caseload data'!$C:$C,$B$6, 'caseload data'!$B:$B, "licence")</f>
        <v>0</v>
      </c>
      <c r="L60" s="234">
        <f>SUMIFS('caseload data'!N:N,'caseload data'!$D:$D,"SPO",'caseload data'!$C:$C,$B$6, 'caseload data'!$B:$B, "licence")</f>
        <v>0</v>
      </c>
      <c r="M60" s="234">
        <f>SUMIFS('caseload data'!O:O,'caseload data'!$D:$D,"SPO",'caseload data'!$C:$C,$B$6, 'caseload data'!$B:$B, "licence")</f>
        <v>0</v>
      </c>
      <c r="N60" s="234">
        <f>SUMIFS('caseload data'!P:P,'caseload data'!$D:$D,"SPO",'caseload data'!$C:$C,$B$6, 'caseload data'!$B:$B, "licence")</f>
        <v>0</v>
      </c>
      <c r="O60" s="234">
        <f>SUMIFS('caseload data'!Q:Q,'caseload data'!$D:$D,"SPO",'caseload data'!$C:$C,$B$6, 'caseload data'!$B:$B, "licence")</f>
        <v>0</v>
      </c>
      <c r="P60" s="234">
        <f>SUMIFS('caseload data'!R:R,'caseload data'!$D:$D,"SPO",'caseload data'!$C:$C,$B$6, 'caseload data'!$B:$B, "licence")</f>
        <v>0</v>
      </c>
      <c r="Q60" s="234">
        <f>SUMIFS('caseload data'!S:S,'caseload data'!$D:$D,"SPO",'caseload data'!$C:$C,$B$6, 'caseload data'!$B:$B, "licence")</f>
        <v>0</v>
      </c>
      <c r="R60" s="234">
        <f>SUMIFS('caseload data'!T:T,'caseload data'!$D:$D,"SPO",'caseload data'!$C:$C,$B$6, 'caseload data'!$B:$B, "licence")</f>
        <v>0</v>
      </c>
      <c r="S60" s="234">
        <f>SUMIFS('caseload data'!U:U,'caseload data'!$D:$D,"SPO",'caseload data'!$C:$C,$B$6, 'caseload data'!$B:$B, "licence")</f>
        <v>0</v>
      </c>
      <c r="T60" s="234">
        <f t="shared" si="4"/>
        <v>0</v>
      </c>
      <c r="U60" s="239"/>
    </row>
    <row r="61" spans="2:21" ht="14.25" customHeight="1" x14ac:dyDescent="0.15">
      <c r="B61" s="75" t="s">
        <v>1286</v>
      </c>
      <c r="C61" s="234">
        <f>SUMIFS('caseload data'!E:E,'caseload data'!$D:$D,"DMY",'caseload data'!$C:$C,$B$6, 'caseload data'!$B:$B, "licence")</f>
        <v>0</v>
      </c>
      <c r="D61" s="234">
        <f>SUMIFS('caseload data'!F:F,'caseload data'!$D:$D,"DMY",'caseload data'!$C:$C,$B$6, 'caseload data'!$B:$B, "licence")</f>
        <v>0</v>
      </c>
      <c r="E61" s="234">
        <f>SUMIFS('caseload data'!G:G,'caseload data'!$D:$D,"DMY",'caseload data'!$C:$C,$B$6, 'caseload data'!$B:$B, "licence")</f>
        <v>0</v>
      </c>
      <c r="F61" s="234">
        <f>SUMIFS('caseload data'!H:H,'caseload data'!$D:$D,"DMY",'caseload data'!$C:$C,$B$6, 'caseload data'!$B:$B, "licence")</f>
        <v>0</v>
      </c>
      <c r="G61" s="234">
        <f>SUMIFS('caseload data'!I:I,'caseload data'!$D:$D,"DMY",'caseload data'!$C:$C,$B$6, 'caseload data'!$B:$B, "licence")</f>
        <v>0</v>
      </c>
      <c r="H61" s="234">
        <f>SUMIFS('caseload data'!J:J,'caseload data'!$D:$D,"DMY",'caseload data'!$C:$C,$B$6, 'caseload data'!$B:$B, "licence")</f>
        <v>0</v>
      </c>
      <c r="I61" s="234">
        <f>SUMIFS('caseload data'!K:K,'caseload data'!$D:$D,"DMY",'caseload data'!$C:$C,$B$6, 'caseload data'!$B:$B, "licence")</f>
        <v>0</v>
      </c>
      <c r="J61" s="234">
        <f>SUMIFS('caseload data'!L:L,'caseload data'!$D:$D,"DMY",'caseload data'!$C:$C,$B$6, 'caseload data'!$B:$B, "licence")</f>
        <v>0</v>
      </c>
      <c r="K61" s="234">
        <f>SUMIFS('caseload data'!M:M,'caseload data'!$D:$D,"DMY",'caseload data'!$C:$C,$B$6, 'caseload data'!$B:$B, "licence")</f>
        <v>0</v>
      </c>
      <c r="L61" s="234">
        <f>SUMIFS('caseload data'!N:N,'caseload data'!$D:$D,"DMY",'caseload data'!$C:$C,$B$6, 'caseload data'!$B:$B, "licence")</f>
        <v>0</v>
      </c>
      <c r="M61" s="234">
        <f>SUMIFS('caseload data'!O:O,'caseload data'!$D:$D,"DMY",'caseload data'!$C:$C,$B$6, 'caseload data'!$B:$B, "licence")</f>
        <v>0</v>
      </c>
      <c r="N61" s="234">
        <f>SUMIFS('caseload data'!P:P,'caseload data'!$D:$D,"DMY",'caseload data'!$C:$C,$B$6, 'caseload data'!$B:$B, "licence")</f>
        <v>0</v>
      </c>
      <c r="O61" s="234">
        <f>SUMIFS('caseload data'!Q:Q,'caseload data'!$D:$D,"DMY",'caseload data'!$C:$C,$B$6, 'caseload data'!$B:$B, "licence")</f>
        <v>0</v>
      </c>
      <c r="P61" s="234">
        <f>SUMIFS('caseload data'!R:R,'caseload data'!$D:$D,"DMY",'caseload data'!$C:$C,$B$6, 'caseload data'!$B:$B, "licence")</f>
        <v>0</v>
      </c>
      <c r="Q61" s="234">
        <f>SUMIFS('caseload data'!S:S,'caseload data'!$D:$D,"DMY",'caseload data'!$C:$C,$B$6, 'caseload data'!$B:$B, "licence")</f>
        <v>0</v>
      </c>
      <c r="R61" s="234">
        <f>SUMIFS('caseload data'!T:T,'caseload data'!$D:$D,"DMY",'caseload data'!$C:$C,$B$6, 'caseload data'!$B:$B, "licence")</f>
        <v>0</v>
      </c>
      <c r="S61" s="234">
        <f>SUMIFS('caseload data'!U:U,'caseload data'!$D:$D,"DMY",'caseload data'!$C:$C,$B$6, 'caseload data'!$B:$B, "licence")</f>
        <v>0</v>
      </c>
      <c r="T61" s="234">
        <f t="shared" ref="T61" si="24">SUM(C61:S61)</f>
        <v>0</v>
      </c>
      <c r="U61" s="239"/>
    </row>
    <row r="62" spans="2:21" ht="14.25" customHeight="1" x14ac:dyDescent="0.15">
      <c r="B62" s="424" t="s">
        <v>909</v>
      </c>
      <c r="C62" s="425">
        <f>SUM(C57:C61)</f>
        <v>0</v>
      </c>
      <c r="D62" s="425">
        <f t="shared" ref="D62" si="25">SUM(D57:D61)</f>
        <v>0</v>
      </c>
      <c r="E62" s="425">
        <f t="shared" ref="E62" si="26">SUM(E57:E61)</f>
        <v>0</v>
      </c>
      <c r="F62" s="425">
        <f t="shared" ref="F62" si="27">SUM(F57:F61)</f>
        <v>0</v>
      </c>
      <c r="G62" s="425">
        <f t="shared" ref="G62" si="28">SUM(G57:G61)</f>
        <v>0</v>
      </c>
      <c r="H62" s="425">
        <f t="shared" ref="H62" si="29">SUM(H57:H61)</f>
        <v>0</v>
      </c>
      <c r="I62" s="425">
        <f t="shared" ref="I62" si="30">SUM(I57:I61)</f>
        <v>0</v>
      </c>
      <c r="J62" s="425">
        <f t="shared" ref="J62" si="31">SUM(J57:J61)</f>
        <v>0</v>
      </c>
      <c r="K62" s="425">
        <f t="shared" ref="K62" si="32">SUM(K57:K61)</f>
        <v>0</v>
      </c>
      <c r="L62" s="425">
        <f t="shared" ref="L62" si="33">SUM(L57:L61)</f>
        <v>0</v>
      </c>
      <c r="M62" s="425">
        <f t="shared" ref="M62" si="34">SUM(M57:M61)</f>
        <v>0</v>
      </c>
      <c r="N62" s="425">
        <f t="shared" ref="N62" si="35">SUM(N57:N61)</f>
        <v>0</v>
      </c>
      <c r="O62" s="425">
        <f t="shared" ref="O62" si="36">SUM(O57:O61)</f>
        <v>0</v>
      </c>
      <c r="P62" s="425">
        <f t="shared" ref="P62" si="37">SUM(P57:P61)</f>
        <v>0</v>
      </c>
      <c r="Q62" s="425">
        <f t="shared" ref="Q62" si="38">SUM(Q57:Q61)</f>
        <v>0</v>
      </c>
      <c r="R62" s="425">
        <f t="shared" ref="R62" si="39">SUM(R57:R61)</f>
        <v>0</v>
      </c>
      <c r="S62" s="425">
        <f t="shared" ref="S62" si="40">SUM(S57:S61)</f>
        <v>0</v>
      </c>
      <c r="T62" s="425">
        <f t="shared" ref="T62" si="41">SUM(T57:T61)</f>
        <v>0</v>
      </c>
      <c r="U62" s="239"/>
    </row>
    <row r="63" spans="2:21" ht="14.25" customHeight="1" x14ac:dyDescent="0.15">
      <c r="B63" s="171"/>
      <c r="C63" s="171"/>
      <c r="D63" s="171"/>
      <c r="E63" s="171"/>
      <c r="F63" s="171"/>
      <c r="G63" s="171"/>
      <c r="H63" s="171"/>
      <c r="I63" s="171"/>
      <c r="J63" s="171"/>
      <c r="K63" s="171"/>
      <c r="L63" s="171"/>
      <c r="M63" s="171"/>
      <c r="N63" s="171"/>
      <c r="O63" s="171"/>
      <c r="P63" s="171"/>
      <c r="Q63" s="171"/>
      <c r="R63" s="171"/>
      <c r="S63" s="171"/>
      <c r="T63" s="239"/>
    </row>
    <row r="64" spans="2:21" ht="45" customHeight="1" x14ac:dyDescent="0.15">
      <c r="B64" s="299" t="str">
        <f>$B$6</f>
        <v>Lambeth - N07</v>
      </c>
      <c r="C64" s="466" t="s">
        <v>978</v>
      </c>
      <c r="D64" s="462"/>
      <c r="E64" s="462"/>
      <c r="F64" s="462"/>
      <c r="G64" s="462"/>
      <c r="H64" s="462"/>
      <c r="I64" s="462"/>
      <c r="J64" s="462"/>
      <c r="K64" s="462"/>
      <c r="L64" s="462"/>
      <c r="M64" s="462"/>
      <c r="N64" s="462"/>
      <c r="O64" s="462"/>
      <c r="P64" s="462"/>
      <c r="Q64" s="462"/>
      <c r="R64" s="462"/>
      <c r="S64" s="462"/>
      <c r="T64" s="462"/>
    </row>
    <row r="65" spans="2:21" ht="19.5" customHeight="1" x14ac:dyDescent="0.15">
      <c r="B65" s="95"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38" t="s">
        <v>975</v>
      </c>
      <c r="T65" s="38" t="s">
        <v>909</v>
      </c>
    </row>
    <row r="66" spans="2:21" ht="14.25" customHeight="1" x14ac:dyDescent="0.15">
      <c r="B66" s="75" t="s">
        <v>947</v>
      </c>
      <c r="C66" s="234">
        <f>SUMIFS('caseload data'!E:E,'caseload data'!$D:$D,"PO",'caseload data'!$C:$C,$B$6, 'caseload data'!$B:$B, "custody")</f>
        <v>0</v>
      </c>
      <c r="D66" s="234">
        <f>SUMIFS('caseload data'!F:F,'caseload data'!$D:$D,"PO",'caseload data'!$C:$C,$B$6, 'caseload data'!$B:$B, "custody")</f>
        <v>0</v>
      </c>
      <c r="E66" s="234">
        <f>SUMIFS('caseload data'!G:G,'caseload data'!$D:$D,"PO",'caseload data'!$C:$C,$B$6, 'caseload data'!$B:$B, "custody")</f>
        <v>0</v>
      </c>
      <c r="F66" s="234">
        <f>SUMIFS('caseload data'!H:H,'caseload data'!$D:$D,"PO",'caseload data'!$C:$C,$B$6, 'caseload data'!$B:$B, "custody")</f>
        <v>0</v>
      </c>
      <c r="G66" s="234">
        <f>SUMIFS('caseload data'!I:I,'caseload data'!$D:$D,"PO",'caseload data'!$C:$C,$B$6, 'caseload data'!$B:$B, "custody")</f>
        <v>0</v>
      </c>
      <c r="H66" s="234">
        <f>SUMIFS('caseload data'!J:J,'caseload data'!$D:$D,"PO",'caseload data'!$C:$C,$B$6, 'caseload data'!$B:$B, "custody")</f>
        <v>0</v>
      </c>
      <c r="I66" s="234">
        <f>SUMIFS('caseload data'!K:K,'caseload data'!$D:$D,"PO",'caseload data'!$C:$C,$B$6, 'caseload data'!$B:$B, "custody")</f>
        <v>0</v>
      </c>
      <c r="J66" s="234">
        <f>SUMIFS('caseload data'!L:L,'caseload data'!$D:$D,"PO",'caseload data'!$C:$C,$B$6, 'caseload data'!$B:$B, "custody")</f>
        <v>0</v>
      </c>
      <c r="K66" s="234">
        <f>SUMIFS('caseload data'!M:M,'caseload data'!$D:$D,"PO",'caseload data'!$C:$C,$B$6, 'caseload data'!$B:$B, "custody")</f>
        <v>0</v>
      </c>
      <c r="L66" s="234">
        <f>SUMIFS('caseload data'!N:N,'caseload data'!$D:$D,"PO",'caseload data'!$C:$C,$B$6, 'caseload data'!$B:$B, "custody")</f>
        <v>0</v>
      </c>
      <c r="M66" s="234">
        <f>SUMIFS('caseload data'!O:O,'caseload data'!$D:$D,"PO",'caseload data'!$C:$C,$B$6, 'caseload data'!$B:$B, "custody")</f>
        <v>0</v>
      </c>
      <c r="N66" s="234">
        <f>SUMIFS('caseload data'!P:P,'caseload data'!$D:$D,"PO",'caseload data'!$C:$C,$B$6, 'caseload data'!$B:$B, "custody")</f>
        <v>0</v>
      </c>
      <c r="O66" s="234">
        <f>SUMIFS('caseload data'!Q:Q,'caseload data'!$D:$D,"PO",'caseload data'!$C:$C,$B$6, 'caseload data'!$B:$B, "custody")</f>
        <v>0</v>
      </c>
      <c r="P66" s="234">
        <f>SUMIFS('caseload data'!R:R,'caseload data'!$D:$D,"PO",'caseload data'!$C:$C,$B$6, 'caseload data'!$B:$B, "custody")</f>
        <v>0</v>
      </c>
      <c r="Q66" s="234">
        <f>SUMIFS('caseload data'!S:S,'caseload data'!$D:$D,"PO",'caseload data'!$C:$C,$B$6, 'caseload data'!$B:$B, "custody")</f>
        <v>0</v>
      </c>
      <c r="R66" s="234">
        <f>SUMIFS('caseload data'!T:T,'caseload data'!$D:$D,"PO",'caseload data'!$C:$C,$B$6, 'caseload data'!$B:$B, "custody")</f>
        <v>0</v>
      </c>
      <c r="S66" s="234">
        <f>SUMIFS('caseload data'!U:U,'caseload data'!$D:$D,"PO",'caseload data'!$C:$C,$B$6, 'caseload data'!$B:$B, "custody")</f>
        <v>0</v>
      </c>
      <c r="T66" s="234">
        <f t="shared" si="4"/>
        <v>0</v>
      </c>
    </row>
    <row r="67" spans="2:21" ht="14.25" customHeight="1" x14ac:dyDescent="0.15">
      <c r="B67" s="75" t="s">
        <v>952</v>
      </c>
      <c r="C67" s="234">
        <f>SUMIFS('caseload data'!E:E,'caseload data'!$D:$D,"PSO",'caseload data'!$C:$C,$B$6, 'caseload data'!$B:$B, "custody")</f>
        <v>0</v>
      </c>
      <c r="D67" s="234">
        <f>SUMIFS('caseload data'!F:F,'caseload data'!$D:$D,"PSO",'caseload data'!$C:$C,$B$6, 'caseload data'!$B:$B, "custody")</f>
        <v>0</v>
      </c>
      <c r="E67" s="234">
        <f>SUMIFS('caseload data'!G:G,'caseload data'!$D:$D,"PSO",'caseload data'!$C:$C,$B$6, 'caseload data'!$B:$B, "custody")</f>
        <v>0</v>
      </c>
      <c r="F67" s="234">
        <f>SUMIFS('caseload data'!H:H,'caseload data'!$D:$D,"PSO",'caseload data'!$C:$C,$B$6, 'caseload data'!$B:$B, "custody")</f>
        <v>0</v>
      </c>
      <c r="G67" s="234">
        <f>SUMIFS('caseload data'!I:I,'caseload data'!$D:$D,"PSO",'caseload data'!$C:$C,$B$6, 'caseload data'!$B:$B, "custody")</f>
        <v>0</v>
      </c>
      <c r="H67" s="234">
        <f>SUMIFS('caseload data'!J:J,'caseload data'!$D:$D,"PSO",'caseload data'!$C:$C,$B$6, 'caseload data'!$B:$B, "custody")</f>
        <v>0</v>
      </c>
      <c r="I67" s="234">
        <f>SUMIFS('caseload data'!K:K,'caseload data'!$D:$D,"PSO",'caseload data'!$C:$C,$B$6, 'caseload data'!$B:$B, "custody")</f>
        <v>0</v>
      </c>
      <c r="J67" s="234">
        <f>SUMIFS('caseload data'!L:L,'caseload data'!$D:$D,"PSO",'caseload data'!$C:$C,$B$6, 'caseload data'!$B:$B, "custody")</f>
        <v>0</v>
      </c>
      <c r="K67" s="234">
        <f>SUMIFS('caseload data'!M:M,'caseload data'!$D:$D,"PSO",'caseload data'!$C:$C,$B$6, 'caseload data'!$B:$B, "custody")</f>
        <v>0</v>
      </c>
      <c r="L67" s="234">
        <f>SUMIFS('caseload data'!N:N,'caseload data'!$D:$D,"PSO",'caseload data'!$C:$C,$B$6, 'caseload data'!$B:$B, "custody")</f>
        <v>0</v>
      </c>
      <c r="M67" s="234">
        <f>SUMIFS('caseload data'!O:O,'caseload data'!$D:$D,"PSO",'caseload data'!$C:$C,$B$6, 'caseload data'!$B:$B, "custody")</f>
        <v>0</v>
      </c>
      <c r="N67" s="234">
        <f>SUMIFS('caseload data'!P:P,'caseload data'!$D:$D,"PSO",'caseload data'!$C:$C,$B$6, 'caseload data'!$B:$B, "custody")</f>
        <v>0</v>
      </c>
      <c r="O67" s="234">
        <f>SUMIFS('caseload data'!Q:Q,'caseload data'!$D:$D,"PSO",'caseload data'!$C:$C,$B$6, 'caseload data'!$B:$B, "custody")</f>
        <v>0</v>
      </c>
      <c r="P67" s="234">
        <f>SUMIFS('caseload data'!R:R,'caseload data'!$D:$D,"PSO",'caseload data'!$C:$C,$B$6, 'caseload data'!$B:$B, "custody")</f>
        <v>0</v>
      </c>
      <c r="Q67" s="234">
        <f>SUMIFS('caseload data'!S:S,'caseload data'!$D:$D,"PSO",'caseload data'!$C:$C,$B$6, 'caseload data'!$B:$B, "custody")</f>
        <v>0</v>
      </c>
      <c r="R67" s="234">
        <f>SUMIFS('caseload data'!T:T,'caseload data'!$D:$D,"PSO",'caseload data'!$C:$C,$B$6, 'caseload data'!$B:$B, "custody")</f>
        <v>0</v>
      </c>
      <c r="S67" s="234">
        <f>SUMIFS('caseload data'!U:U,'caseload data'!$D:$D,"PSO",'caseload data'!$C:$C,$B$6, 'caseload data'!$B:$B, "custody")</f>
        <v>0</v>
      </c>
      <c r="T67" s="234">
        <f t="shared" si="4"/>
        <v>0</v>
      </c>
    </row>
    <row r="68" spans="2:21" ht="14.25" customHeight="1" x14ac:dyDescent="0.15">
      <c r="B68" s="75" t="s">
        <v>953</v>
      </c>
      <c r="C68" s="234">
        <f>SUMIFS('caseload data'!E:E,'caseload data'!$D:$D,"TPO",'caseload data'!$C:$C,$B$6, 'caseload data'!$B:$B, "custody")</f>
        <v>0</v>
      </c>
      <c r="D68" s="234">
        <f>SUMIFS('caseload data'!F:F,'caseload data'!$D:$D,"TPO",'caseload data'!$C:$C,$B$6, 'caseload data'!$B:$B, "custody")</f>
        <v>0</v>
      </c>
      <c r="E68" s="234">
        <f>SUMIFS('caseload data'!G:G,'caseload data'!$D:$D,"TPO",'caseload data'!$C:$C,$B$6, 'caseload data'!$B:$B, "custody")</f>
        <v>0</v>
      </c>
      <c r="F68" s="234">
        <f>SUMIFS('caseload data'!H:H,'caseload data'!$D:$D,"TPO",'caseload data'!$C:$C,$B$6, 'caseload data'!$B:$B, "custody")</f>
        <v>0</v>
      </c>
      <c r="G68" s="234">
        <f>SUMIFS('caseload data'!I:I,'caseload data'!$D:$D,"TPO",'caseload data'!$C:$C,$B$6, 'caseload data'!$B:$B, "custody")</f>
        <v>0</v>
      </c>
      <c r="H68" s="234">
        <f>SUMIFS('caseload data'!J:J,'caseload data'!$D:$D,"TPO",'caseload data'!$C:$C,$B$6, 'caseload data'!$B:$B, "custody")</f>
        <v>0</v>
      </c>
      <c r="I68" s="234">
        <f>SUMIFS('caseload data'!K:K,'caseload data'!$D:$D,"TPO",'caseload data'!$C:$C,$B$6, 'caseload data'!$B:$B, "custody")</f>
        <v>0</v>
      </c>
      <c r="J68" s="234">
        <f>SUMIFS('caseload data'!L:L,'caseload data'!$D:$D,"TPO",'caseload data'!$C:$C,$B$6, 'caseload data'!$B:$B, "custody")</f>
        <v>0</v>
      </c>
      <c r="K68" s="234">
        <f>SUMIFS('caseload data'!M:M,'caseload data'!$D:$D,"TPO",'caseload data'!$C:$C,$B$6, 'caseload data'!$B:$B, "custody")</f>
        <v>0</v>
      </c>
      <c r="L68" s="234">
        <f>SUMIFS('caseload data'!N:N,'caseload data'!$D:$D,"TPO",'caseload data'!$C:$C,$B$6, 'caseload data'!$B:$B, "custody")</f>
        <v>0</v>
      </c>
      <c r="M68" s="234">
        <f>SUMIFS('caseload data'!O:O,'caseload data'!$D:$D,"TPO",'caseload data'!$C:$C,$B$6, 'caseload data'!$B:$B, "custody")</f>
        <v>0</v>
      </c>
      <c r="N68" s="234">
        <f>SUMIFS('caseload data'!P:P,'caseload data'!$D:$D,"TPO",'caseload data'!$C:$C,$B$6, 'caseload data'!$B:$B, "custody")</f>
        <v>0</v>
      </c>
      <c r="O68" s="234">
        <f>SUMIFS('caseload data'!Q:Q,'caseload data'!$D:$D,"TPO",'caseload data'!$C:$C,$B$6, 'caseload data'!$B:$B, "custody")</f>
        <v>0</v>
      </c>
      <c r="P68" s="234">
        <f>SUMIFS('caseload data'!R:R,'caseload data'!$D:$D,"TPO",'caseload data'!$C:$C,$B$6, 'caseload data'!$B:$B, "custody")</f>
        <v>0</v>
      </c>
      <c r="Q68" s="234">
        <f>SUMIFS('caseload data'!S:S,'caseload data'!$D:$D,"TPO",'caseload data'!$C:$C,$B$6, 'caseload data'!$B:$B, "custody")</f>
        <v>0</v>
      </c>
      <c r="R68" s="234">
        <f>SUMIFS('caseload data'!T:T,'caseload data'!$D:$D,"TPO",'caseload data'!$C:$C,$B$6, 'caseload data'!$B:$B, "custody")</f>
        <v>0</v>
      </c>
      <c r="S68" s="234">
        <f>SUMIFS('caseload data'!U:U,'caseload data'!$D:$D,"TPO",'caseload data'!$C:$C,$B$6, 'caseload data'!$B:$B, "custody")</f>
        <v>0</v>
      </c>
      <c r="T68" s="234">
        <f t="shared" si="4"/>
        <v>0</v>
      </c>
    </row>
    <row r="69" spans="2:21" ht="14.25" customHeight="1" x14ac:dyDescent="0.15">
      <c r="B69" s="75" t="s">
        <v>954</v>
      </c>
      <c r="C69" s="234">
        <f>SUMIFS('caseload data'!E:E,'caseload data'!$D:$D,"SPO",'caseload data'!$C:$C,$B$6, 'caseload data'!$B:$B, "custody")</f>
        <v>0</v>
      </c>
      <c r="D69" s="234">
        <f>SUMIFS('caseload data'!F:F,'caseload data'!$D:$D,"SPO",'caseload data'!$C:$C,$B$6, 'caseload data'!$B:$B, "custody")</f>
        <v>0</v>
      </c>
      <c r="E69" s="234">
        <f>SUMIFS('caseload data'!G:G,'caseload data'!$D:$D,"SPO",'caseload data'!$C:$C,$B$6, 'caseload data'!$B:$B, "custody")</f>
        <v>0</v>
      </c>
      <c r="F69" s="234">
        <f>SUMIFS('caseload data'!H:H,'caseload data'!$D:$D,"SPO",'caseload data'!$C:$C,$B$6, 'caseload data'!$B:$B, "custody")</f>
        <v>0</v>
      </c>
      <c r="G69" s="234">
        <f>SUMIFS('caseload data'!I:I,'caseload data'!$D:$D,"SPO",'caseload data'!$C:$C,$B$6, 'caseload data'!$B:$B, "custody")</f>
        <v>0</v>
      </c>
      <c r="H69" s="234">
        <f>SUMIFS('caseload data'!J:J,'caseload data'!$D:$D,"SPO",'caseload data'!$C:$C,$B$6, 'caseload data'!$B:$B, "custody")</f>
        <v>0</v>
      </c>
      <c r="I69" s="234">
        <f>SUMIFS('caseload data'!K:K,'caseload data'!$D:$D,"SPO",'caseload data'!$C:$C,$B$6, 'caseload data'!$B:$B, "custody")</f>
        <v>0</v>
      </c>
      <c r="J69" s="234">
        <f>SUMIFS('caseload data'!L:L,'caseload data'!$D:$D,"SPO",'caseload data'!$C:$C,$B$6, 'caseload data'!$B:$B, "custody")</f>
        <v>0</v>
      </c>
      <c r="K69" s="234">
        <f>SUMIFS('caseload data'!M:M,'caseload data'!$D:$D,"SPO",'caseload data'!$C:$C,$B$6, 'caseload data'!$B:$B, "custody")</f>
        <v>0</v>
      </c>
      <c r="L69" s="234">
        <f>SUMIFS('caseload data'!N:N,'caseload data'!$D:$D,"SPO",'caseload data'!$C:$C,$B$6, 'caseload data'!$B:$B, "custody")</f>
        <v>0</v>
      </c>
      <c r="M69" s="234">
        <f>SUMIFS('caseload data'!O:O,'caseload data'!$D:$D,"SPO",'caseload data'!$C:$C,$B$6, 'caseload data'!$B:$B, "custody")</f>
        <v>0</v>
      </c>
      <c r="N69" s="234">
        <f>SUMIFS('caseload data'!P:P,'caseload data'!$D:$D,"SPO",'caseload data'!$C:$C,$B$6, 'caseload data'!$B:$B, "custody")</f>
        <v>0</v>
      </c>
      <c r="O69" s="234">
        <f>SUMIFS('caseload data'!Q:Q,'caseload data'!$D:$D,"SPO",'caseload data'!$C:$C,$B$6, 'caseload data'!$B:$B, "custody")</f>
        <v>0</v>
      </c>
      <c r="P69" s="234">
        <f>SUMIFS('caseload data'!R:R,'caseload data'!$D:$D,"SPO",'caseload data'!$C:$C,$B$6, 'caseload data'!$B:$B, "custody")</f>
        <v>0</v>
      </c>
      <c r="Q69" s="234">
        <f>SUMIFS('caseload data'!S:S,'caseload data'!$D:$D,"SPO",'caseload data'!$C:$C,$B$6, 'caseload data'!$B:$B, "custody")</f>
        <v>0</v>
      </c>
      <c r="R69" s="234">
        <f>SUMIFS('caseload data'!T:T,'caseload data'!$D:$D,"SPO",'caseload data'!$C:$C,$B$6, 'caseload data'!$B:$B, "custody")</f>
        <v>0</v>
      </c>
      <c r="S69" s="234">
        <f>SUMIFS('caseload data'!U:U,'caseload data'!$D:$D,"SPO",'caseload data'!$C:$C,$B$6, 'caseload data'!$B:$B, "custody")</f>
        <v>0</v>
      </c>
      <c r="T69" s="234">
        <f t="shared" si="4"/>
        <v>0</v>
      </c>
      <c r="U69" s="239"/>
    </row>
    <row r="70" spans="2:21" ht="14.25" customHeight="1" x14ac:dyDescent="0.15">
      <c r="B70" s="75" t="s">
        <v>1286</v>
      </c>
      <c r="C70" s="234">
        <f>SUMIFS('caseload data'!E:E,'caseload data'!$D:$D,"DMY",'caseload data'!$C:$C,$B$6, 'caseload data'!$B:$B, "custody")</f>
        <v>0</v>
      </c>
      <c r="D70" s="234">
        <f>SUMIFS('caseload data'!F:F,'caseload data'!$D:$D,"DMY",'caseload data'!$C:$C,$B$6, 'caseload data'!$B:$B, "custody")</f>
        <v>0</v>
      </c>
      <c r="E70" s="234">
        <f>SUMIFS('caseload data'!G:G,'caseload data'!$D:$D,"DMY",'caseload data'!$C:$C,$B$6, 'caseload data'!$B:$B, "custody")</f>
        <v>0</v>
      </c>
      <c r="F70" s="234">
        <f>SUMIFS('caseload data'!H:H,'caseload data'!$D:$D,"DMY",'caseload data'!$C:$C,$B$6, 'caseload data'!$B:$B, "custody")</f>
        <v>0</v>
      </c>
      <c r="G70" s="234">
        <f>SUMIFS('caseload data'!I:I,'caseload data'!$D:$D,"DMY",'caseload data'!$C:$C,$B$6, 'caseload data'!$B:$B, "custody")</f>
        <v>0</v>
      </c>
      <c r="H70" s="234">
        <f>SUMIFS('caseload data'!J:J,'caseload data'!$D:$D,"DMY",'caseload data'!$C:$C,$B$6, 'caseload data'!$B:$B, "custody")</f>
        <v>0</v>
      </c>
      <c r="I70" s="234">
        <f>SUMIFS('caseload data'!K:K,'caseload data'!$D:$D,"DMY",'caseload data'!$C:$C,$B$6, 'caseload data'!$B:$B, "custody")</f>
        <v>0</v>
      </c>
      <c r="J70" s="234">
        <f>SUMIFS('caseload data'!L:L,'caseload data'!$D:$D,"DMY",'caseload data'!$C:$C,$B$6, 'caseload data'!$B:$B, "custody")</f>
        <v>0</v>
      </c>
      <c r="K70" s="234">
        <f>SUMIFS('caseload data'!M:M,'caseload data'!$D:$D,"DMY",'caseload data'!$C:$C,$B$6, 'caseload data'!$B:$B, "custody")</f>
        <v>0</v>
      </c>
      <c r="L70" s="234">
        <f>SUMIFS('caseload data'!N:N,'caseload data'!$D:$D,"DMY",'caseload data'!$C:$C,$B$6, 'caseload data'!$B:$B, "custody")</f>
        <v>0</v>
      </c>
      <c r="M70" s="234">
        <f>SUMIFS('caseload data'!O:O,'caseload data'!$D:$D,"DMY",'caseload data'!$C:$C,$B$6, 'caseload data'!$B:$B, "custody")</f>
        <v>0</v>
      </c>
      <c r="N70" s="234">
        <f>SUMIFS('caseload data'!P:P,'caseload data'!$D:$D,"DMY",'caseload data'!$C:$C,$B$6, 'caseload data'!$B:$B, "custody")</f>
        <v>0</v>
      </c>
      <c r="O70" s="234">
        <f>SUMIFS('caseload data'!Q:Q,'caseload data'!$D:$D,"DMY",'caseload data'!$C:$C,$B$6, 'caseload data'!$B:$B, "custody")</f>
        <v>0</v>
      </c>
      <c r="P70" s="234">
        <f>SUMIFS('caseload data'!R:R,'caseload data'!$D:$D,"DMY",'caseload data'!$C:$C,$B$6, 'caseload data'!$B:$B, "custody")</f>
        <v>0</v>
      </c>
      <c r="Q70" s="234">
        <f>SUMIFS('caseload data'!S:S,'caseload data'!$D:$D,"DMY",'caseload data'!$C:$C,$B$6, 'caseload data'!$B:$B, "custody")</f>
        <v>0</v>
      </c>
      <c r="R70" s="234">
        <f>SUMIFS('caseload data'!T:T,'caseload data'!$D:$D,"DMY",'caseload data'!$C:$C,$B$6, 'caseload data'!$B:$B, "custody")</f>
        <v>0</v>
      </c>
      <c r="S70" s="234">
        <f>SUMIFS('caseload data'!U:U,'caseload data'!$D:$D,"DMY",'caseload data'!$C:$C,$B$6, 'caseload data'!$B:$B, "custody")</f>
        <v>0</v>
      </c>
      <c r="T70" s="234">
        <f t="shared" ref="T70" si="42">SUM(C70:S70)</f>
        <v>0</v>
      </c>
      <c r="U70" s="239"/>
    </row>
    <row r="71" spans="2:21" ht="14.25" customHeight="1" x14ac:dyDescent="0.15">
      <c r="B71" s="424" t="s">
        <v>909</v>
      </c>
      <c r="C71" s="425">
        <f>SUM(C66:C70)</f>
        <v>0</v>
      </c>
      <c r="D71" s="425">
        <f t="shared" ref="D71" si="43">SUM(D66:D70)</f>
        <v>0</v>
      </c>
      <c r="E71" s="425">
        <f t="shared" ref="E71" si="44">SUM(E66:E70)</f>
        <v>0</v>
      </c>
      <c r="F71" s="425">
        <f t="shared" ref="F71" si="45">SUM(F66:F70)</f>
        <v>0</v>
      </c>
      <c r="G71" s="425">
        <f t="shared" ref="G71" si="46">SUM(G66:G70)</f>
        <v>0</v>
      </c>
      <c r="H71" s="425">
        <f t="shared" ref="H71" si="47">SUM(H66:H70)</f>
        <v>0</v>
      </c>
      <c r="I71" s="425">
        <f t="shared" ref="I71" si="48">SUM(I66:I70)</f>
        <v>0</v>
      </c>
      <c r="J71" s="425">
        <f t="shared" ref="J71" si="49">SUM(J66:J70)</f>
        <v>0</v>
      </c>
      <c r="K71" s="425">
        <f t="shared" ref="K71" si="50">SUM(K66:K70)</f>
        <v>0</v>
      </c>
      <c r="L71" s="425">
        <f t="shared" ref="L71" si="51">SUM(L66:L70)</f>
        <v>0</v>
      </c>
      <c r="M71" s="425">
        <f t="shared" ref="M71" si="52">SUM(M66:M70)</f>
        <v>0</v>
      </c>
      <c r="N71" s="425">
        <f t="shared" ref="N71" si="53">SUM(N66:N70)</f>
        <v>0</v>
      </c>
      <c r="O71" s="425">
        <f t="shared" ref="O71" si="54">SUM(O66:O70)</f>
        <v>0</v>
      </c>
      <c r="P71" s="425">
        <f t="shared" ref="P71" si="55">SUM(P66:P70)</f>
        <v>0</v>
      </c>
      <c r="Q71" s="425">
        <f t="shared" ref="Q71" si="56">SUM(Q66:Q70)</f>
        <v>0</v>
      </c>
      <c r="R71" s="425">
        <f t="shared" ref="R71" si="57">SUM(R66:R70)</f>
        <v>0</v>
      </c>
      <c r="S71" s="425">
        <f t="shared" ref="S71" si="58">SUM(S66:S70)</f>
        <v>0</v>
      </c>
      <c r="T71" s="425">
        <f t="shared" ref="T71" si="59">SUM(T66:T70)</f>
        <v>0</v>
      </c>
      <c r="U71" s="239"/>
    </row>
    <row r="72" spans="2:21" ht="14.25" customHeight="1" x14ac:dyDescent="0.15">
      <c r="T72" s="239"/>
    </row>
    <row r="73" spans="2:21" ht="39" customHeight="1" x14ac:dyDescent="0.15">
      <c r="B73" s="299" t="str">
        <f>$B$6</f>
        <v>Lambeth - N07</v>
      </c>
      <c r="C73" s="466" t="s">
        <v>979</v>
      </c>
      <c r="D73" s="462"/>
      <c r="E73" s="462"/>
      <c r="F73" s="462"/>
      <c r="G73" s="462"/>
      <c r="H73" s="462"/>
      <c r="I73" s="462"/>
      <c r="J73" s="462"/>
      <c r="K73" s="462"/>
      <c r="L73" s="462"/>
      <c r="M73" s="462"/>
      <c r="N73" s="462"/>
      <c r="O73" s="462"/>
      <c r="P73" s="462"/>
      <c r="Q73" s="462"/>
      <c r="R73" s="462"/>
      <c r="S73" s="462"/>
    </row>
    <row r="74" spans="2:21" ht="23.25" customHeight="1" x14ac:dyDescent="0.15">
      <c r="B74" s="95" t="s">
        <v>951</v>
      </c>
      <c r="C74" s="38" t="s">
        <v>814</v>
      </c>
      <c r="D74" s="38" t="s">
        <v>815</v>
      </c>
      <c r="E74" s="38" t="s">
        <v>816</v>
      </c>
      <c r="F74" s="38" t="s">
        <v>817</v>
      </c>
      <c r="G74" s="38" t="s">
        <v>818</v>
      </c>
      <c r="H74" s="38" t="s">
        <v>819</v>
      </c>
      <c r="I74" s="38" t="s">
        <v>820</v>
      </c>
      <c r="J74" s="38" t="s">
        <v>821</v>
      </c>
      <c r="K74" s="38" t="s">
        <v>822</v>
      </c>
      <c r="L74" s="38" t="s">
        <v>823</v>
      </c>
      <c r="M74" s="38" t="s">
        <v>824</v>
      </c>
      <c r="N74" s="38" t="s">
        <v>825</v>
      </c>
      <c r="O74" s="38" t="s">
        <v>826</v>
      </c>
      <c r="P74" s="38" t="s">
        <v>827</v>
      </c>
      <c r="Q74" s="38" t="s">
        <v>828</v>
      </c>
      <c r="R74" s="38" t="s">
        <v>829</v>
      </c>
      <c r="S74" s="38" t="s">
        <v>975</v>
      </c>
    </row>
    <row r="75" spans="2:21" x14ac:dyDescent="0.15">
      <c r="B75" s="75" t="s">
        <v>947</v>
      </c>
      <c r="C75" s="233" t="e">
        <f>AVERAGEIFS('caseload data'!E:E,'caseload data'!$D:$D,"PO",'caseload data'!$C:$C,$B$6)</f>
        <v>#DIV/0!</v>
      </c>
      <c r="D75" s="233" t="e">
        <f>AVERAGEIFS('caseload data'!F:F,'caseload data'!$D:$D,"PO",'caseload data'!$C:$C,$B$6)</f>
        <v>#DIV/0!</v>
      </c>
      <c r="E75" s="233" t="e">
        <f>AVERAGEIFS('caseload data'!G:G,'caseload data'!$D:$D,"PO",'caseload data'!$C:$C,$B$6)</f>
        <v>#DIV/0!</v>
      </c>
      <c r="F75" s="233" t="e">
        <f>AVERAGEIFS('caseload data'!H:H,'caseload data'!$D:$D,"PO",'caseload data'!$C:$C,$B$6)</f>
        <v>#DIV/0!</v>
      </c>
      <c r="G75" s="233" t="e">
        <f>AVERAGEIFS('caseload data'!I:I,'caseload data'!$D:$D,"PO",'caseload data'!$C:$C,$B$6)</f>
        <v>#DIV/0!</v>
      </c>
      <c r="H75" s="233" t="e">
        <f>AVERAGEIFS('caseload data'!J:J,'caseload data'!$D:$D,"PO",'caseload data'!$C:$C,$B$6)</f>
        <v>#DIV/0!</v>
      </c>
      <c r="I75" s="233" t="e">
        <f>AVERAGEIFS('caseload data'!K:K,'caseload data'!$D:$D,"PO",'caseload data'!$C:$C,$B$6)</f>
        <v>#DIV/0!</v>
      </c>
      <c r="J75" s="233" t="e">
        <f>AVERAGEIFS('caseload data'!L:L,'caseload data'!$D:$D,"PO",'caseload data'!$C:$C,$B$6)</f>
        <v>#DIV/0!</v>
      </c>
      <c r="K75" s="233" t="e">
        <f>AVERAGEIFS('caseload data'!M:M,'caseload data'!$D:$D,"PO",'caseload data'!$C:$C,$B$6)</f>
        <v>#DIV/0!</v>
      </c>
      <c r="L75" s="233" t="e">
        <f>AVERAGEIFS('caseload data'!N:N,'caseload data'!$D:$D,"PO",'caseload data'!$C:$C,$B$6)</f>
        <v>#DIV/0!</v>
      </c>
      <c r="M75" s="233" t="e">
        <f>AVERAGEIFS('caseload data'!O:O,'caseload data'!$D:$D,"PO",'caseload data'!$C:$C,$B$6)</f>
        <v>#DIV/0!</v>
      </c>
      <c r="N75" s="233" t="e">
        <f>AVERAGEIFS('caseload data'!P:P,'caseload data'!$D:$D,"PO",'caseload data'!$C:$C,$B$6)</f>
        <v>#DIV/0!</v>
      </c>
      <c r="O75" s="233" t="e">
        <f>AVERAGEIFS('caseload data'!Q:Q,'caseload data'!$D:$D,"PO",'caseload data'!$C:$C,$B$6)</f>
        <v>#DIV/0!</v>
      </c>
      <c r="P75" s="233" t="e">
        <f>AVERAGEIFS('caseload data'!R:R,'caseload data'!$D:$D,"PO",'caseload data'!$C:$C,$B$6)</f>
        <v>#DIV/0!</v>
      </c>
      <c r="Q75" s="233" t="e">
        <f>AVERAGEIFS('caseload data'!S:S,'caseload data'!$D:$D,"PO",'caseload data'!$C:$C,$B$6)</f>
        <v>#DIV/0!</v>
      </c>
      <c r="R75" s="233" t="e">
        <f>AVERAGEIFS('caseload data'!T:T,'caseload data'!$D:$D,"PO",'caseload data'!$C:$C,$B$6)</f>
        <v>#DIV/0!</v>
      </c>
      <c r="S75" s="233" t="e">
        <f>AVERAGEIFS('caseload data'!U:U,'caseload data'!$D:$D,"PO",'caseload data'!$C:$C,$B$6)</f>
        <v>#DIV/0!</v>
      </c>
    </row>
    <row r="76" spans="2:21" x14ac:dyDescent="0.15">
      <c r="B76" s="75" t="s">
        <v>952</v>
      </c>
      <c r="C76" s="233" t="e">
        <f>AVERAGEIFS('caseload data'!E:E,'caseload data'!$D:$D,"PSO",'caseload data'!$C:$C,$B$6)</f>
        <v>#DIV/0!</v>
      </c>
      <c r="D76" s="233" t="e">
        <f>AVERAGEIFS('caseload data'!F:F,'caseload data'!$D:$D,"PSO",'caseload data'!$C:$C,$B$6)</f>
        <v>#DIV/0!</v>
      </c>
      <c r="E76" s="233" t="e">
        <f>AVERAGEIFS('caseload data'!G:G,'caseload data'!$D:$D,"PSO",'caseload data'!$C:$C,$B$6)</f>
        <v>#DIV/0!</v>
      </c>
      <c r="F76" s="233" t="e">
        <f>AVERAGEIFS('caseload data'!H:H,'caseload data'!$D:$D,"PSO",'caseload data'!$C:$C,$B$6)</f>
        <v>#DIV/0!</v>
      </c>
      <c r="G76" s="233" t="e">
        <f>AVERAGEIFS('caseload data'!I:I,'caseload data'!$D:$D,"PSO",'caseload data'!$C:$C,$B$6)</f>
        <v>#DIV/0!</v>
      </c>
      <c r="H76" s="233" t="e">
        <f>AVERAGEIFS('caseload data'!J:J,'caseload data'!$D:$D,"PSO",'caseload data'!$C:$C,$B$6)</f>
        <v>#DIV/0!</v>
      </c>
      <c r="I76" s="233" t="e">
        <f>AVERAGEIFS('caseload data'!K:K,'caseload data'!$D:$D,"PSO",'caseload data'!$C:$C,$B$6)</f>
        <v>#DIV/0!</v>
      </c>
      <c r="J76" s="233" t="e">
        <f>AVERAGEIFS('caseload data'!L:L,'caseload data'!$D:$D,"PSO",'caseload data'!$C:$C,$B$6)</f>
        <v>#DIV/0!</v>
      </c>
      <c r="K76" s="233" t="e">
        <f>AVERAGEIFS('caseload data'!M:M,'caseload data'!$D:$D,"PSO",'caseload data'!$C:$C,$B$6)</f>
        <v>#DIV/0!</v>
      </c>
      <c r="L76" s="233" t="e">
        <f>AVERAGEIFS('caseload data'!N:N,'caseload data'!$D:$D,"PSO",'caseload data'!$C:$C,$B$6)</f>
        <v>#DIV/0!</v>
      </c>
      <c r="M76" s="233" t="e">
        <f>AVERAGEIFS('caseload data'!O:O,'caseload data'!$D:$D,"PSO",'caseload data'!$C:$C,$B$6)</f>
        <v>#DIV/0!</v>
      </c>
      <c r="N76" s="233" t="e">
        <f>AVERAGEIFS('caseload data'!P:P,'caseload data'!$D:$D,"PSO",'caseload data'!$C:$C,$B$6)</f>
        <v>#DIV/0!</v>
      </c>
      <c r="O76" s="233" t="e">
        <f>AVERAGEIFS('caseload data'!Q:Q,'caseload data'!$D:$D,"PSO",'caseload data'!$C:$C,$B$6)</f>
        <v>#DIV/0!</v>
      </c>
      <c r="P76" s="233" t="e">
        <f>AVERAGEIFS('caseload data'!R:R,'caseload data'!$D:$D,"PSO",'caseload data'!$C:$C,$B$6)</f>
        <v>#DIV/0!</v>
      </c>
      <c r="Q76" s="233" t="e">
        <f>AVERAGEIFS('caseload data'!S:S,'caseload data'!$D:$D,"PSO",'caseload data'!$C:$C,$B$6)</f>
        <v>#DIV/0!</v>
      </c>
      <c r="R76" s="233" t="e">
        <f>AVERAGEIFS('caseload data'!T:T,'caseload data'!$D:$D,"PSO",'caseload data'!$C:$C,$B$6)</f>
        <v>#DIV/0!</v>
      </c>
      <c r="S76" s="233" t="e">
        <f>AVERAGEIFS('caseload data'!U:U,'caseload data'!$D:$D,"PSO",'caseload data'!$C:$C,$B$6)</f>
        <v>#DIV/0!</v>
      </c>
    </row>
    <row r="77" spans="2:21" x14ac:dyDescent="0.15">
      <c r="B77" s="75" t="s">
        <v>953</v>
      </c>
      <c r="C77" s="233" t="e">
        <f>AVERAGEIFS('caseload data'!E:E,'caseload data'!$D:$D,"TPO",'caseload data'!$C:$C,$B$6)</f>
        <v>#DIV/0!</v>
      </c>
      <c r="D77" s="233" t="e">
        <f>AVERAGEIFS('caseload data'!F:F,'caseload data'!$D:$D,"TPO",'caseload data'!$C:$C,$B$6)</f>
        <v>#DIV/0!</v>
      </c>
      <c r="E77" s="233" t="e">
        <f>AVERAGEIFS('caseload data'!G:G,'caseload data'!$D:$D,"TPO",'caseload data'!$C:$C,$B$6)</f>
        <v>#DIV/0!</v>
      </c>
      <c r="F77" s="233" t="e">
        <f>AVERAGEIFS('caseload data'!H:H,'caseload data'!$D:$D,"TPO",'caseload data'!$C:$C,$B$6)</f>
        <v>#DIV/0!</v>
      </c>
      <c r="G77" s="233" t="e">
        <f>AVERAGEIFS('caseload data'!I:I,'caseload data'!$D:$D,"TPO",'caseload data'!$C:$C,$B$6)</f>
        <v>#DIV/0!</v>
      </c>
      <c r="H77" s="233" t="e">
        <f>AVERAGEIFS('caseload data'!J:J,'caseload data'!$D:$D,"TPO",'caseload data'!$C:$C,$B$6)</f>
        <v>#DIV/0!</v>
      </c>
      <c r="I77" s="233" t="e">
        <f>AVERAGEIFS('caseload data'!K:K,'caseload data'!$D:$D,"TPO",'caseload data'!$C:$C,$B$6)</f>
        <v>#DIV/0!</v>
      </c>
      <c r="J77" s="233" t="e">
        <f>AVERAGEIFS('caseload data'!L:L,'caseload data'!$D:$D,"TPO",'caseload data'!$C:$C,$B$6)</f>
        <v>#DIV/0!</v>
      </c>
      <c r="K77" s="233" t="e">
        <f>AVERAGEIFS('caseload data'!M:M,'caseload data'!$D:$D,"TPO",'caseload data'!$C:$C,$B$6)</f>
        <v>#DIV/0!</v>
      </c>
      <c r="L77" s="233" t="e">
        <f>AVERAGEIFS('caseload data'!N:N,'caseload data'!$D:$D,"TPO",'caseload data'!$C:$C,$B$6)</f>
        <v>#DIV/0!</v>
      </c>
      <c r="M77" s="233" t="e">
        <f>AVERAGEIFS('caseload data'!O:O,'caseload data'!$D:$D,"TPO",'caseload data'!$C:$C,$B$6)</f>
        <v>#DIV/0!</v>
      </c>
      <c r="N77" s="233" t="e">
        <f>AVERAGEIFS('caseload data'!P:P,'caseload data'!$D:$D,"TPO",'caseload data'!$C:$C,$B$6)</f>
        <v>#DIV/0!</v>
      </c>
      <c r="O77" s="233" t="e">
        <f>AVERAGEIFS('caseload data'!Q:Q,'caseload data'!$D:$D,"TPO",'caseload data'!$C:$C,$B$6)</f>
        <v>#DIV/0!</v>
      </c>
      <c r="P77" s="233" t="e">
        <f>AVERAGEIFS('caseload data'!R:R,'caseload data'!$D:$D,"TPO",'caseload data'!$C:$C,$B$6)</f>
        <v>#DIV/0!</v>
      </c>
      <c r="Q77" s="233" t="e">
        <f>AVERAGEIFS('caseload data'!S:S,'caseload data'!$D:$D,"TPO",'caseload data'!$C:$C,$B$6)</f>
        <v>#DIV/0!</v>
      </c>
      <c r="R77" s="233" t="e">
        <f>AVERAGEIFS('caseload data'!T:T,'caseload data'!$D:$D,"TPO",'caseload data'!$C:$C,$B$6)</f>
        <v>#DIV/0!</v>
      </c>
      <c r="S77" s="233" t="e">
        <f>AVERAGEIFS('caseload data'!U:U,'caseload data'!$D:$D,"TPO",'caseload data'!$C:$C,$B$6)</f>
        <v>#DIV/0!</v>
      </c>
    </row>
    <row r="78" spans="2:21" x14ac:dyDescent="0.15">
      <c r="B78" s="75" t="s">
        <v>954</v>
      </c>
      <c r="C78" s="233" t="e">
        <f>AVERAGEIFS('caseload data'!E:E,'caseload data'!$D:$D,"SPO",'caseload data'!$C:$C,$B$6)</f>
        <v>#DIV/0!</v>
      </c>
      <c r="D78" s="233" t="e">
        <f>AVERAGEIFS('caseload data'!F:F,'caseload data'!$D:$D,"SPO",'caseload data'!$C:$C,$B$6)</f>
        <v>#DIV/0!</v>
      </c>
      <c r="E78" s="233" t="e">
        <f>AVERAGEIFS('caseload data'!G:G,'caseload data'!$D:$D,"SPO",'caseload data'!$C:$C,$B$6)</f>
        <v>#DIV/0!</v>
      </c>
      <c r="F78" s="233" t="e">
        <f>AVERAGEIFS('caseload data'!H:H,'caseload data'!$D:$D,"SPO",'caseload data'!$C:$C,$B$6)</f>
        <v>#DIV/0!</v>
      </c>
      <c r="G78" s="233" t="e">
        <f>AVERAGEIFS('caseload data'!I:I,'caseload data'!$D:$D,"SPO",'caseload data'!$C:$C,$B$6)</f>
        <v>#DIV/0!</v>
      </c>
      <c r="H78" s="233" t="e">
        <f>AVERAGEIFS('caseload data'!J:J,'caseload data'!$D:$D,"SPO",'caseload data'!$C:$C,$B$6)</f>
        <v>#DIV/0!</v>
      </c>
      <c r="I78" s="233" t="e">
        <f>AVERAGEIFS('caseload data'!K:K,'caseload data'!$D:$D,"SPO",'caseload data'!$C:$C,$B$6)</f>
        <v>#DIV/0!</v>
      </c>
      <c r="J78" s="233" t="e">
        <f>AVERAGEIFS('caseload data'!L:L,'caseload data'!$D:$D,"SPO",'caseload data'!$C:$C,$B$6)</f>
        <v>#DIV/0!</v>
      </c>
      <c r="K78" s="233" t="e">
        <f>AVERAGEIFS('caseload data'!M:M,'caseload data'!$D:$D,"SPO",'caseload data'!$C:$C,$B$6)</f>
        <v>#DIV/0!</v>
      </c>
      <c r="L78" s="233" t="e">
        <f>AVERAGEIFS('caseload data'!N:N,'caseload data'!$D:$D,"SPO",'caseload data'!$C:$C,$B$6)</f>
        <v>#DIV/0!</v>
      </c>
      <c r="M78" s="233" t="e">
        <f>AVERAGEIFS('caseload data'!O:O,'caseload data'!$D:$D,"SPO",'caseload data'!$C:$C,$B$6)</f>
        <v>#DIV/0!</v>
      </c>
      <c r="N78" s="233" t="e">
        <f>AVERAGEIFS('caseload data'!P:P,'caseload data'!$D:$D,"SPO",'caseload data'!$C:$C,$B$6)</f>
        <v>#DIV/0!</v>
      </c>
      <c r="O78" s="233" t="e">
        <f>AVERAGEIFS('caseload data'!Q:Q,'caseload data'!$D:$D,"SPO",'caseload data'!$C:$C,$B$6)</f>
        <v>#DIV/0!</v>
      </c>
      <c r="P78" s="233" t="e">
        <f>AVERAGEIFS('caseload data'!R:R,'caseload data'!$D:$D,"SPO",'caseload data'!$C:$C,$B$6)</f>
        <v>#DIV/0!</v>
      </c>
      <c r="Q78" s="233" t="e">
        <f>AVERAGEIFS('caseload data'!S:S,'caseload data'!$D:$D,"SPO",'caseload data'!$C:$C,$B$6)</f>
        <v>#DIV/0!</v>
      </c>
      <c r="R78" s="233" t="e">
        <f>AVERAGEIFS('caseload data'!T:T,'caseload data'!$D:$D,"SPO",'caseload data'!$C:$C,$B$6)</f>
        <v>#DIV/0!</v>
      </c>
      <c r="S78" s="233" t="e">
        <f>AVERAGEIFS('caseload data'!U:U,'caseload data'!$D:$D,"SPO",'caseload data'!$C:$C,$B$6)</f>
        <v>#DIV/0!</v>
      </c>
    </row>
    <row r="79" spans="2:21" x14ac:dyDescent="0.15">
      <c r="B79" s="75" t="s">
        <v>1286</v>
      </c>
      <c r="C79" s="233" t="e">
        <f>AVERAGEIFS('caseload data'!E:E,'caseload data'!$D:$D,"DMY",'caseload data'!$C:$C,$B$6)</f>
        <v>#DIV/0!</v>
      </c>
      <c r="D79" s="233" t="e">
        <f>AVERAGEIFS('caseload data'!F:F,'caseload data'!$D:$D,"DMY",'caseload data'!$C:$C,$B$6)</f>
        <v>#DIV/0!</v>
      </c>
      <c r="E79" s="233" t="e">
        <f>AVERAGEIFS('caseload data'!G:G,'caseload data'!$D:$D,"DMY",'caseload data'!$C:$C,$B$6)</f>
        <v>#DIV/0!</v>
      </c>
      <c r="F79" s="233" t="e">
        <f>AVERAGEIFS('caseload data'!H:H,'caseload data'!$D:$D,"DMY",'caseload data'!$C:$C,$B$6)</f>
        <v>#DIV/0!</v>
      </c>
      <c r="G79" s="233" t="e">
        <f>AVERAGEIFS('caseload data'!I:I,'caseload data'!$D:$D,"DMY",'caseload data'!$C:$C,$B$6)</f>
        <v>#DIV/0!</v>
      </c>
      <c r="H79" s="233" t="e">
        <f>AVERAGEIFS('caseload data'!J:J,'caseload data'!$D:$D,"DMY",'caseload data'!$C:$C,$B$6)</f>
        <v>#DIV/0!</v>
      </c>
      <c r="I79" s="233" t="e">
        <f>AVERAGEIFS('caseload data'!K:K,'caseload data'!$D:$D,"DMY",'caseload data'!$C:$C,$B$6)</f>
        <v>#DIV/0!</v>
      </c>
      <c r="J79" s="233" t="e">
        <f>AVERAGEIFS('caseload data'!L:L,'caseload data'!$D:$D,"DMY",'caseload data'!$C:$C,$B$6)</f>
        <v>#DIV/0!</v>
      </c>
      <c r="K79" s="233" t="e">
        <f>AVERAGEIFS('caseload data'!M:M,'caseload data'!$D:$D,"DMY",'caseload data'!$C:$C,$B$6)</f>
        <v>#DIV/0!</v>
      </c>
      <c r="L79" s="233" t="e">
        <f>AVERAGEIFS('caseload data'!N:N,'caseload data'!$D:$D,"DMY",'caseload data'!$C:$C,$B$6)</f>
        <v>#DIV/0!</v>
      </c>
      <c r="M79" s="233" t="e">
        <f>AVERAGEIFS('caseload data'!O:O,'caseload data'!$D:$D,"DMY",'caseload data'!$C:$C,$B$6)</f>
        <v>#DIV/0!</v>
      </c>
      <c r="N79" s="233" t="e">
        <f>AVERAGEIFS('caseload data'!P:P,'caseload data'!$D:$D,"DMY",'caseload data'!$C:$C,$B$6)</f>
        <v>#DIV/0!</v>
      </c>
      <c r="O79" s="233" t="e">
        <f>AVERAGEIFS('caseload data'!Q:Q,'caseload data'!$D:$D,"DMY",'caseload data'!$C:$C,$B$6)</f>
        <v>#DIV/0!</v>
      </c>
      <c r="P79" s="233" t="e">
        <f>AVERAGEIFS('caseload data'!R:R,'caseload data'!$D:$D,"DMY",'caseload data'!$C:$C,$B$6)</f>
        <v>#DIV/0!</v>
      </c>
      <c r="Q79" s="233" t="e">
        <f>AVERAGEIFS('caseload data'!S:S,'caseload data'!$D:$D,"DMY",'caseload data'!$C:$C,$B$6)</f>
        <v>#DIV/0!</v>
      </c>
      <c r="R79" s="233" t="e">
        <f>AVERAGEIFS('caseload data'!T:T,'caseload data'!$D:$D,"DMY",'caseload data'!$C:$C,$B$6)</f>
        <v>#DIV/0!</v>
      </c>
      <c r="S79" s="233" t="e">
        <f>AVERAGEIFS('caseload data'!U:U,'caseload data'!$D:$D,"DMY",'caseload data'!$C:$C,$B$6)</f>
        <v>#DIV/0!</v>
      </c>
    </row>
  </sheetData>
  <mergeCells count="9">
    <mergeCell ref="A1:M1"/>
    <mergeCell ref="C64:T64"/>
    <mergeCell ref="C73:S73"/>
    <mergeCell ref="C37:T37"/>
    <mergeCell ref="C46:T46"/>
    <mergeCell ref="C55:T55"/>
    <mergeCell ref="A2:M2"/>
    <mergeCell ref="H9:N9"/>
    <mergeCell ref="H16:L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zoomScale="85" zoomScaleNormal="85" workbookViewId="0">
      <selection sqref="A1:M1"/>
    </sheetView>
  </sheetViews>
  <sheetFormatPr baseColWidth="10" defaultColWidth="8.83203125" defaultRowHeight="14" x14ac:dyDescent="0.15"/>
  <cols>
    <col min="2" max="2" width="46.66406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51.83203125" bestFit="1" customWidth="1"/>
  </cols>
  <sheetData>
    <row r="1" spans="1:19" ht="45.75" customHeight="1" x14ac:dyDescent="0.3">
      <c r="A1" s="459" t="s">
        <v>987</v>
      </c>
      <c r="B1" s="459"/>
      <c r="C1" s="459"/>
      <c r="D1" s="459"/>
      <c r="E1" s="459"/>
      <c r="F1" s="459"/>
      <c r="G1" s="459"/>
      <c r="H1" s="459"/>
      <c r="I1" s="459"/>
      <c r="J1" s="459"/>
      <c r="K1" s="459"/>
      <c r="L1" s="459"/>
      <c r="M1" s="459"/>
      <c r="N1" s="278"/>
      <c r="O1" s="278"/>
      <c r="P1" s="278"/>
      <c r="Q1" s="278"/>
      <c r="R1" s="278"/>
      <c r="S1" s="278"/>
    </row>
    <row r="2" spans="1:19" ht="37.5" customHeight="1" x14ac:dyDescent="0.15">
      <c r="A2" s="460" t="s">
        <v>1362</v>
      </c>
      <c r="B2" s="460"/>
      <c r="C2" s="460"/>
      <c r="D2" s="460"/>
      <c r="E2" s="460"/>
      <c r="F2" s="460"/>
      <c r="G2" s="460"/>
      <c r="H2" s="460"/>
      <c r="I2" s="460"/>
      <c r="J2" s="460"/>
      <c r="K2" s="460"/>
      <c r="L2" s="460"/>
      <c r="M2" s="460"/>
      <c r="N2" s="241"/>
      <c r="O2" s="241"/>
      <c r="P2" s="241"/>
      <c r="Q2" s="241"/>
      <c r="R2" s="241"/>
      <c r="S2" s="241"/>
    </row>
    <row r="4" spans="1:19" ht="57" customHeight="1" x14ac:dyDescent="0.15">
      <c r="B4" s="36" t="s">
        <v>988</v>
      </c>
    </row>
    <row r="5" spans="1:19" ht="24" customHeight="1" x14ac:dyDescent="0.15">
      <c r="B5" s="54" t="s">
        <v>21</v>
      </c>
      <c r="F5" s="40"/>
    </row>
    <row r="6" spans="1:19" ht="32.25" customHeight="1" x14ac:dyDescent="0.15">
      <c r="B6" s="55" t="s">
        <v>234</v>
      </c>
    </row>
    <row r="8" spans="1:19" ht="23" x14ac:dyDescent="0.15">
      <c r="B8" s="476" t="s">
        <v>886</v>
      </c>
      <c r="C8" s="477"/>
      <c r="D8" s="477"/>
      <c r="E8" s="477"/>
      <c r="F8" s="478"/>
    </row>
    <row r="9" spans="1:19" ht="56" x14ac:dyDescent="0.15">
      <c r="B9" s="327" t="str">
        <f>B6</f>
        <v>Hammersmith, Fulham, Kensington, Chelsea and Westminster</v>
      </c>
      <c r="C9" s="219" t="s">
        <v>887</v>
      </c>
      <c r="D9" s="63" t="s">
        <v>888</v>
      </c>
      <c r="E9" s="63" t="s">
        <v>889</v>
      </c>
      <c r="F9" s="63" t="s">
        <v>989</v>
      </c>
      <c r="H9" s="219" t="s">
        <v>990</v>
      </c>
      <c r="I9" s="219" t="s">
        <v>892</v>
      </c>
      <c r="J9" s="64"/>
      <c r="K9" s="219" t="s">
        <v>893</v>
      </c>
      <c r="L9" s="219" t="s">
        <v>894</v>
      </c>
    </row>
    <row r="10" spans="1:19" x14ac:dyDescent="0.15">
      <c r="B10" s="334"/>
      <c r="C10" s="122" t="str">
        <f>IFERROR(SUM((SUMIFS('capacity data'!$G:$G,'capacity data'!$E:$E,"PO",'capacity data'!$B:$B,B6))-SUMIFS('capacity data'!$H:$H,'capacity data'!$E:$E,"PO",'capacity data'!$B:$B,B6))/SUMIFS('capacity data'!$G:$G,'capacity data'!$E:$E,"PO",'capacity data'!$B:$B,B6),"")</f>
        <v/>
      </c>
      <c r="D10" s="123" t="str">
        <f>IFERROR(SUM((SUMIFS('capacity data'!$G:$G,'capacity data'!$E:$E,"PSO",'capacity data'!$B:$B,B6))-SUMIFS('capacity data'!$H:$H,'capacity data'!$E:$E,"PSO",'capacity data'!$B:$B,B6))/SUMIFS('capacity data'!$G:$G,'capacity data'!$E:$E,"PSO",'capacity data'!$B:$B,B6),"")</f>
        <v/>
      </c>
      <c r="E10" s="123" t="str">
        <f>IFERROR(SUM((SUMIFS('capacity data'!$G:$G,'capacity data'!$E:$E,"TPO",'capacity data'!$B:$B,B6))-SUMIFS('capacity data'!$H:$H,'capacity data'!$E:$E,"TPO",'capacity data'!$B:$B,B6))/SUMIFS('capacity data'!$G:$G,'capacity data'!$E:$E,"TPO",'capacity data'!$B:$B,B6),"")</f>
        <v/>
      </c>
      <c r="F10" s="123" t="str">
        <f>IFERROR(SUM((SUMIFS('capacity data'!G:G,'capacity data'!B:B,'cluster overview'!B6))-SUMIFS('capacity data'!H:H,'capacity data'!B:B,'cluster overview'!B6))/SUMIFS('capacity data'!G:G,'capacity data'!B:B,'cluster overview'!B6),"")</f>
        <v/>
      </c>
      <c r="H10" s="66" t="e">
        <f>SUMIFS('capacity data'!$L:$L,'capacity data'!$B:$B,$B$6,'capacity data'!$E:$E,"PSO")/SUM((SUMIFS('capacity data'!$G:$G,'capacity data'!$E:$E,"PSO",'capacity data'!$B:$B,$B$6))-SUMIFS('capacity data'!$H:$H,'capacity data'!$E:$E,"PSO",'capacity data'!$B:$B,$B$6))</f>
        <v>#DIV/0!</v>
      </c>
      <c r="I10" s="211" t="e">
        <f>SUMIFS('capacity data'!$L:$L,'capacity data'!$B:$B,$B$6,'capacity data'!$E:$E,"PSO")/SUMIFS('capacity data'!$G:$G,'capacity data'!$E:$E,"PSO",'capacity data'!$B:$B,$B$6)</f>
        <v>#DIV/0!</v>
      </c>
      <c r="J10" s="64"/>
      <c r="K10" s="66" t="e">
        <f>SUMIFS('capacity data'!$L:$L,'capacity data'!$B:$B,$B$6,'capacity data'!$E:$E,"TPO")/SUM((SUMIFS('capacity data'!$G:$G,'capacity data'!$E:$E,"TPO",'capacity data'!$B:$B,$B$6))-SUMIFS('capacity data'!$H:$H,'capacity data'!$E:$E,"TPO",'capacity data'!$B:$B,$B$6))</f>
        <v>#DIV/0!</v>
      </c>
      <c r="L10" s="211" t="e">
        <f>SUMIFS('capacity data'!$L:$L,'capacity data'!$B:$B,$B$6,'capacity data'!$E:$E,"TPO")/SUMIFS('capacity data'!$G:$G,'capacity data'!$E:$E,"TPO",'capacity data'!$B:$B,$B$6)</f>
        <v>#DIV/0!</v>
      </c>
    </row>
    <row r="11" spans="1:19" x14ac:dyDescent="0.15">
      <c r="B11" s="106" t="s">
        <v>895</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data'!E:E,"TPO",'capacity data'!G:G))-SUMIF('capacity data'!E:E,"TPO",'capacity data'!H:H))/SUMIF('capacity data'!E:E,"TPO",'capacity data'!G:G)</f>
        <v>#DIV/0!</v>
      </c>
      <c r="F11" s="82" t="e">
        <f>SUM((SUM('capacity data'!G:G)-SUM('capacity data'!H:H))/SUM('capacity data'!G:G))</f>
        <v>#DIV/0!</v>
      </c>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row>
    <row r="12" spans="1:19" x14ac:dyDescent="0.15">
      <c r="B12" s="119" t="s">
        <v>985</v>
      </c>
      <c r="C12" s="120" t="e">
        <f>+C10-C11</f>
        <v>#VALUE!</v>
      </c>
      <c r="D12" s="103" t="str">
        <f>IFERROR(+D10-D11,"N/A")</f>
        <v>N/A</v>
      </c>
      <c r="E12" s="103" t="str">
        <f>IFERROR(+E10-E11,"N/A")</f>
        <v>N/A</v>
      </c>
      <c r="F12" s="103" t="e">
        <f>+F10-F11</f>
        <v>#VALUE!</v>
      </c>
      <c r="H12" s="99" t="e">
        <f>+H10-H11</f>
        <v>#DIV/0!</v>
      </c>
      <c r="I12" s="121" t="e">
        <f>+I10-I11</f>
        <v>#DIV/0!</v>
      </c>
      <c r="J12" s="64"/>
      <c r="K12" s="99" t="e">
        <f>+K10-K11</f>
        <v>#DIV/0!</v>
      </c>
      <c r="L12" s="121" t="e">
        <f>+L10-L11</f>
        <v>#DIV/0!</v>
      </c>
    </row>
    <row r="14" spans="1:19" ht="63.75" customHeight="1" x14ac:dyDescent="0.15">
      <c r="B14" s="327" t="str">
        <f>B6</f>
        <v>Hammersmith, Fulham, Kensington, Chelsea and Westminster</v>
      </c>
      <c r="C14" s="70" t="s">
        <v>898</v>
      </c>
      <c r="D14" s="70" t="s">
        <v>899</v>
      </c>
      <c r="E14" s="70" t="s">
        <v>900</v>
      </c>
      <c r="F14" s="70" t="s">
        <v>901</v>
      </c>
      <c r="G14" s="70" t="s">
        <v>902</v>
      </c>
      <c r="H14" s="70" t="s">
        <v>903</v>
      </c>
      <c r="I14" s="70" t="s">
        <v>904</v>
      </c>
      <c r="J14" s="71" t="s">
        <v>905</v>
      </c>
      <c r="K14" s="70" t="s">
        <v>906</v>
      </c>
      <c r="L14" s="70" t="s">
        <v>907</v>
      </c>
      <c r="M14" s="70" t="s">
        <v>908</v>
      </c>
    </row>
    <row r="15" spans="1:19" ht="27.75" customHeight="1" x14ac:dyDescent="0.15">
      <c r="B15" s="328"/>
      <c r="C15" s="213">
        <f>COUNTIFS('capacity data'!B:B,'cluster overview'!B6,'capacity data'!E:E,"PO")</f>
        <v>0</v>
      </c>
      <c r="D15" s="213">
        <f>COUNTIFS('capacity data'!B:B,B6,'capacity data'!E:E,"PO",'capacity data'!F:F,"&gt;110%")</f>
        <v>0</v>
      </c>
      <c r="E15" s="73" t="e">
        <f>D15/C15</f>
        <v>#DIV/0!</v>
      </c>
      <c r="F15" s="213">
        <f>COUNTIFS('capacity data'!B:B,'cluster overview'!B6,'capacity data'!E:E,"PSO")</f>
        <v>0</v>
      </c>
      <c r="G15" s="213">
        <f>COUNTIFS('capacity data'!B:B,B6,'capacity data'!E:E,"PSO",'capacity data'!F:F,"&gt;110%")</f>
        <v>0</v>
      </c>
      <c r="H15" s="74" t="str">
        <f>IFERROR(G15/F15,"N/A")</f>
        <v>N/A</v>
      </c>
      <c r="I15" s="213">
        <f>COUNTIFS('capacity data'!B:B,B6,'capacity data'!E:E,"PSO",'capacity data'!F:F,"&lt;910%")</f>
        <v>0</v>
      </c>
      <c r="J15" s="74" t="str">
        <f>IFERROR(I15/F15,"")</f>
        <v/>
      </c>
      <c r="K15" s="213">
        <f>COUNTIFS('capacity data'!B:B,'cluster overview'!B6,'capacity data'!E:E,"TPO")</f>
        <v>0</v>
      </c>
      <c r="L15" s="213">
        <f>COUNTIFS('capacity data'!B:B,B6,'capacity data'!E:E,"TPO",'capacity data'!F:F,"&gt;110%")</f>
        <v>0</v>
      </c>
      <c r="M15" s="67" t="str">
        <f>IFERROR(L15/K15,"N/A")</f>
        <v>N/A</v>
      </c>
    </row>
    <row r="16" spans="1:19" x14ac:dyDescent="0.15">
      <c r="B16" s="106" t="s">
        <v>991</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985</v>
      </c>
      <c r="C17" s="100" t="s">
        <v>910</v>
      </c>
      <c r="D17" s="100" t="s">
        <v>910</v>
      </c>
      <c r="E17" s="101" t="e">
        <f>+E15-E16</f>
        <v>#DIV/0!</v>
      </c>
      <c r="F17" s="100" t="s">
        <v>910</v>
      </c>
      <c r="G17" s="100" t="s">
        <v>910</v>
      </c>
      <c r="H17" s="101" t="str">
        <f>IFERROR(+H15-H16,"N/A")</f>
        <v>N/A</v>
      </c>
      <c r="I17" s="100" t="s">
        <v>910</v>
      </c>
      <c r="J17" s="101" t="str">
        <f>IFERROR(+J15-J16,"N/A")</f>
        <v>N/A</v>
      </c>
      <c r="K17" s="100" t="s">
        <v>910</v>
      </c>
      <c r="L17" s="100" t="s">
        <v>910</v>
      </c>
      <c r="M17" s="101" t="str">
        <f>IFERROR(+M15-M16,"N/A")</f>
        <v>N/A</v>
      </c>
    </row>
    <row r="19" spans="2:13" ht="23" x14ac:dyDescent="0.15">
      <c r="B19" s="476" t="s">
        <v>911</v>
      </c>
      <c r="C19" s="477"/>
      <c r="D19" s="477"/>
      <c r="E19" s="477"/>
      <c r="F19" s="478"/>
      <c r="G19" s="479"/>
      <c r="H19" s="480"/>
    </row>
    <row r="20" spans="2:13" ht="51" customHeight="1" x14ac:dyDescent="0.15">
      <c r="B20" s="76"/>
      <c r="C20" s="63" t="s">
        <v>992</v>
      </c>
      <c r="D20" s="63" t="s">
        <v>993</v>
      </c>
      <c r="E20" s="63" t="s">
        <v>994</v>
      </c>
      <c r="F20" s="63" t="s">
        <v>915</v>
      </c>
      <c r="G20" s="219" t="s">
        <v>995</v>
      </c>
      <c r="H20" s="219" t="s">
        <v>996</v>
      </c>
    </row>
    <row r="21" spans="2:13" ht="28" x14ac:dyDescent="0.15">
      <c r="B21" s="333" t="str">
        <f>B6</f>
        <v>Hammersmith, Fulham, Kensington, Chelsea and Westminster</v>
      </c>
      <c r="C21" s="75">
        <f>SUMIFS('capacity data'!K:K,'capacity data'!B:B,'cluster overview'!B6,'capacity data'!E:E,"SPO")</f>
        <v>0</v>
      </c>
      <c r="D21" s="75">
        <f>SUMIFS('capacity data'!K:K,'capacity data'!B:B,'cluster overview'!B6,'capacity data'!E:E,"DMY")</f>
        <v>0</v>
      </c>
      <c r="E21" s="75">
        <f>SUM(C21:D21)</f>
        <v>0</v>
      </c>
      <c r="F21" s="77">
        <f>SUMIF('capacity data'!B:B,'cluster overview'!B6,'capacity data'!K:K)</f>
        <v>0</v>
      </c>
      <c r="G21" s="66" t="e">
        <f>E21/F21</f>
        <v>#DIV/0!</v>
      </c>
      <c r="H21" s="78">
        <f>SUMIF('caseload data'!C:C,'cluster overview'!B102,'caseload data'!U:U)</f>
        <v>0</v>
      </c>
    </row>
    <row r="22" spans="2:13" x14ac:dyDescent="0.15">
      <c r="B22" s="79" t="s">
        <v>991</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985</v>
      </c>
      <c r="C23" s="100" t="s">
        <v>910</v>
      </c>
      <c r="D23" s="100" t="s">
        <v>910</v>
      </c>
      <c r="E23" s="100" t="s">
        <v>910</v>
      </c>
      <c r="F23" s="104" t="s">
        <v>910</v>
      </c>
      <c r="G23" s="104" t="e">
        <f>+G21-G22</f>
        <v>#DIV/0!</v>
      </c>
      <c r="H23" s="100" t="s">
        <v>910</v>
      </c>
    </row>
    <row r="26" spans="2:13" ht="23" x14ac:dyDescent="0.15">
      <c r="B26" s="476" t="s">
        <v>918</v>
      </c>
      <c r="C26" s="477"/>
      <c r="D26" s="477"/>
      <c r="E26" s="477"/>
      <c r="F26" s="478"/>
      <c r="G26" s="479"/>
      <c r="H26" s="480"/>
      <c r="I26" s="479"/>
      <c r="J26" s="480"/>
      <c r="K26" s="480"/>
    </row>
    <row r="27" spans="2:13" ht="53.25" customHeight="1" x14ac:dyDescent="0.15">
      <c r="B27" s="84"/>
      <c r="C27" s="219" t="s">
        <v>919</v>
      </c>
      <c r="D27" s="219" t="s">
        <v>920</v>
      </c>
      <c r="E27" s="219" t="s">
        <v>921</v>
      </c>
      <c r="F27" s="219" t="s">
        <v>922</v>
      </c>
      <c r="G27" s="219" t="s">
        <v>923</v>
      </c>
      <c r="H27" s="219" t="s">
        <v>924</v>
      </c>
      <c r="I27" s="219" t="s">
        <v>925</v>
      </c>
      <c r="J27" s="219" t="s">
        <v>926</v>
      </c>
      <c r="K27" s="219" t="s">
        <v>927</v>
      </c>
    </row>
    <row r="28" spans="2:13" ht="28" x14ac:dyDescent="0.15">
      <c r="B28" s="333" t="str">
        <f>B6</f>
        <v>Hammersmith, Fulham, Kensington, Chelsea and Westminster</v>
      </c>
      <c r="C28" s="85">
        <f>SUMIFS('capacity data'!I:I,'capacity data'!B:B,'cluster overview'!B6,'capacity data'!E:E,"PO")</f>
        <v>0</v>
      </c>
      <c r="D28" s="86">
        <f>SUMIFS('capacity data'!J:J,'capacity data'!B:B,'cluster overview'!B6,'capacity data'!E:E,"PO")</f>
        <v>0</v>
      </c>
      <c r="E28" s="87" t="e">
        <f>D28/C28</f>
        <v>#DIV/0!</v>
      </c>
      <c r="F28" s="86">
        <f>SUMIFS('capacity data'!I:I,'capacity data'!B:B,'cluster overview'!B6,'capacity data'!E:E,"PSO")</f>
        <v>0</v>
      </c>
      <c r="G28" s="86">
        <f>SUMIFS('capacity data'!J:J,'capacity data'!B:B,'cluster overview'!B6,'capacity data'!E:E,"PSO")</f>
        <v>0</v>
      </c>
      <c r="H28" s="87" t="str">
        <f>IFERROR(G28/F28,"N/A")</f>
        <v>N/A</v>
      </c>
      <c r="I28" s="86">
        <f>SUMIFS('capacity data'!I:I,'capacity data'!B:B,'cluster overview'!B6,'capacity data'!E:E,"TPO")</f>
        <v>0</v>
      </c>
      <c r="J28" s="88">
        <f>SUMIFS('capacity data'!J:J,'capacity data'!B:B,'cluster overview'!B6,'capacity data'!E:E,"TPO")</f>
        <v>0</v>
      </c>
      <c r="K28" s="87" t="str">
        <f>IFERROR(J28/I28,"N/A")</f>
        <v>N/A</v>
      </c>
    </row>
    <row r="29" spans="2:13" x14ac:dyDescent="0.15">
      <c r="B29" s="106" t="s">
        <v>997</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985</v>
      </c>
      <c r="C30" s="100" t="s">
        <v>910</v>
      </c>
      <c r="D30" s="100" t="s">
        <v>910</v>
      </c>
      <c r="E30" s="99" t="e">
        <f>+E28-E29</f>
        <v>#DIV/0!</v>
      </c>
      <c r="F30" s="100" t="s">
        <v>910</v>
      </c>
      <c r="G30" s="100" t="s">
        <v>910</v>
      </c>
      <c r="H30" s="99" t="str">
        <f>IFERROR(+H28-H29,"N/A")</f>
        <v>N/A</v>
      </c>
      <c r="I30" s="100" t="s">
        <v>910</v>
      </c>
      <c r="J30" s="100" t="s">
        <v>910</v>
      </c>
      <c r="K30" s="99" t="str">
        <f>IFERROR(+K28-K29,"N/A")</f>
        <v>N/A</v>
      </c>
    </row>
    <row r="32" spans="2:13" ht="37.5" customHeight="1" x14ac:dyDescent="0.15">
      <c r="B32" s="489" t="s">
        <v>998</v>
      </c>
      <c r="C32" s="490"/>
      <c r="D32" s="490"/>
      <c r="F32" s="491" t="s">
        <v>999</v>
      </c>
      <c r="G32" s="492"/>
    </row>
    <row r="33" spans="1:7" ht="60.75" customHeight="1" x14ac:dyDescent="0.15">
      <c r="B33" s="76" t="s">
        <v>1000</v>
      </c>
      <c r="C33" s="219" t="s">
        <v>1001</v>
      </c>
      <c r="D33" s="219" t="s">
        <v>1002</v>
      </c>
      <c r="E33" s="64"/>
      <c r="F33" s="215" t="s">
        <v>1003</v>
      </c>
      <c r="G33" s="214">
        <f>COUNTIFS('reductions data'!B:B,'cluster overview'!B6,'reductions data'!K:K,"ACTIVE")</f>
        <v>0</v>
      </c>
    </row>
    <row r="34" spans="1:7" x14ac:dyDescent="0.15">
      <c r="B34" s="112" t="s">
        <v>842</v>
      </c>
      <c r="C34" s="89">
        <f>COUNTIFS('reductions data'!B:B,'cluster overview'!$B$6,'reductions data'!G:G,'cluster overview'!B34)</f>
        <v>0</v>
      </c>
      <c r="D34" s="90">
        <f>SUMIFS('reductions data'!H:H,'reductions data'!B:B,'cluster overview'!$B$6,'reductions data'!$G:$G,'cluster overview'!B34)</f>
        <v>0</v>
      </c>
      <c r="E34" s="64"/>
      <c r="F34" s="487" t="s">
        <v>1004</v>
      </c>
      <c r="G34" s="488">
        <f>SUMIF('reductions data'!B:B,'cluster overview'!B6,'reductions data'!H:H)</f>
        <v>0</v>
      </c>
    </row>
    <row r="35" spans="1:7" x14ac:dyDescent="0.15">
      <c r="B35" s="113" t="s">
        <v>844</v>
      </c>
      <c r="C35" s="89">
        <f>COUNTIFS('reductions data'!B:B,'cluster overview'!$B$6,'reductions data'!G:G,'cluster overview'!B35)</f>
        <v>0</v>
      </c>
      <c r="D35" s="90">
        <f>SUMIFS('reductions data'!H:H,'reductions data'!B:B,'cluster overview'!$B$6,'reductions data'!$G:$G,'cluster overview'!B35)</f>
        <v>0</v>
      </c>
      <c r="E35" s="64"/>
      <c r="F35" s="447"/>
      <c r="G35" s="447"/>
    </row>
    <row r="36" spans="1:7" x14ac:dyDescent="0.15">
      <c r="B36" s="113" t="s">
        <v>843</v>
      </c>
      <c r="C36" s="89">
        <f>COUNTIFS('reductions data'!B:B,'cluster overview'!$B$6,'reductions data'!G:G,'cluster overview'!B36)</f>
        <v>0</v>
      </c>
      <c r="D36" s="90">
        <f>SUMIFS('reductions data'!H:H,'reductions data'!B:B,'cluster overview'!$B$6,'reductions data'!$G:$G,'cluster overview'!B36)</f>
        <v>0</v>
      </c>
      <c r="E36" s="91"/>
      <c r="F36" s="447"/>
      <c r="G36" s="447"/>
    </row>
    <row r="37" spans="1:7" x14ac:dyDescent="0.15">
      <c r="B37" s="113" t="s">
        <v>845</v>
      </c>
      <c r="C37" s="89">
        <f>COUNTIFS('reductions data'!B:B,'cluster overview'!$B$6,'reductions data'!G:G,'cluster overview'!B37)</f>
        <v>0</v>
      </c>
      <c r="D37" s="90">
        <f>SUMIFS('reductions data'!H:H,'reductions data'!B:B,'cluster overview'!$B$6,'reductions data'!$G:$G,'cluster overview'!B37)</f>
        <v>0</v>
      </c>
      <c r="E37" s="91"/>
      <c r="F37" s="493" t="s">
        <v>1005</v>
      </c>
      <c r="G37" s="488">
        <f>SUMIF('capacity data'!B:B,'cluster overview'!B6,'capacity data'!I:I)</f>
        <v>0</v>
      </c>
    </row>
    <row r="38" spans="1:7" x14ac:dyDescent="0.15">
      <c r="B38" s="113" t="s">
        <v>846</v>
      </c>
      <c r="C38" s="89">
        <f>COUNTIFS('reductions data'!B:B,'cluster overview'!$B$6,'reductions data'!G:G,'cluster overview'!B38)</f>
        <v>0</v>
      </c>
      <c r="D38" s="90">
        <f>SUMIFS('reductions data'!H:H,'reductions data'!B:B,'cluster overview'!$B$6,'reductions data'!$G:$G,'cluster overview'!B38)</f>
        <v>0</v>
      </c>
      <c r="E38" s="91"/>
      <c r="F38" s="447"/>
      <c r="G38" s="447"/>
    </row>
    <row r="39" spans="1:7" x14ac:dyDescent="0.15">
      <c r="B39" s="113" t="s">
        <v>847</v>
      </c>
      <c r="C39" s="89">
        <f>COUNTIFS('reductions data'!B:B,'cluster overview'!$B$6,'reductions data'!G:G,'cluster overview'!B39)</f>
        <v>0</v>
      </c>
      <c r="D39" s="90">
        <f>SUMIFS('reductions data'!H:H,'reductions data'!B:B,'cluster overview'!$B$6,'reductions data'!$G:$G,'cluster overview'!B39)</f>
        <v>0</v>
      </c>
      <c r="E39" s="91"/>
      <c r="F39" s="447"/>
      <c r="G39" s="447"/>
    </row>
    <row r="40" spans="1:7" x14ac:dyDescent="0.15">
      <c r="B40" s="113" t="s">
        <v>848</v>
      </c>
      <c r="C40" s="89">
        <f>COUNTIFS('reductions data'!B:B,'cluster overview'!$B$6,'reductions data'!G:G,'cluster overview'!B40)</f>
        <v>0</v>
      </c>
      <c r="D40" s="90">
        <f>SUMIFS('reductions data'!H:H,'reductions data'!B:B,'cluster overview'!$B$6,'reductions data'!$G:$G,'cluster overview'!B40)</f>
        <v>0</v>
      </c>
      <c r="E40" s="91"/>
      <c r="F40" s="224"/>
      <c r="G40" s="224"/>
    </row>
    <row r="41" spans="1:7" ht="15.75" customHeight="1" x14ac:dyDescent="0.15">
      <c r="A41" s="91"/>
      <c r="B41" s="113" t="s">
        <v>849</v>
      </c>
      <c r="C41" s="89">
        <f>COUNTIFS('reductions data'!B:B,'cluster overview'!$B$6,'reductions data'!G:G,'cluster overview'!B41)</f>
        <v>0</v>
      </c>
      <c r="D41" s="90">
        <f>SUMIFS('reductions data'!H:H,'reductions data'!B:B,'cluster overview'!$B$6,'reductions data'!$G:$G,'cluster overview'!B41)</f>
        <v>0</v>
      </c>
      <c r="E41" s="91"/>
      <c r="F41" s="494" t="s">
        <v>1006</v>
      </c>
      <c r="G41" s="496" t="e">
        <f>G34/G37</f>
        <v>#DIV/0!</v>
      </c>
    </row>
    <row r="42" spans="1:7" ht="15.75" customHeight="1" x14ac:dyDescent="0.15">
      <c r="A42" s="91"/>
      <c r="B42" s="113" t="s">
        <v>1204</v>
      </c>
      <c r="C42" s="89">
        <f>COUNTIFS('reductions data'!B:B,'cluster overview'!$B$6,'reductions data'!G:G,'cluster overview'!B42)</f>
        <v>0</v>
      </c>
      <c r="D42" s="90">
        <f>SUMIFS('reductions data'!H:H,'reductions data'!B:B,'cluster overview'!$B$6,'reductions data'!$G:$G,'cluster overview'!B42)</f>
        <v>0</v>
      </c>
      <c r="E42" s="91"/>
      <c r="F42" s="495"/>
      <c r="G42" s="497"/>
    </row>
    <row r="43" spans="1:7" x14ac:dyDescent="0.15">
      <c r="B43" s="113" t="s">
        <v>850</v>
      </c>
      <c r="C43" s="89">
        <f>COUNTIFS('reductions data'!B:B,'cluster overview'!$B$6,'reductions data'!G:G,'cluster overview'!B43)</f>
        <v>0</v>
      </c>
      <c r="D43" s="90">
        <f>SUMIFS('reductions data'!H:H,'reductions data'!B:B,'cluster overview'!$B$6,'reductions data'!$G:$G,'cluster overview'!B43)</f>
        <v>0</v>
      </c>
      <c r="E43" s="91"/>
      <c r="F43" s="482"/>
      <c r="G43" s="485"/>
    </row>
    <row r="44" spans="1:7" x14ac:dyDescent="0.15">
      <c r="B44" s="113" t="s">
        <v>851</v>
      </c>
      <c r="C44" s="89">
        <f>COUNTIFS('reductions data'!B:B,'cluster overview'!$B$6,'reductions data'!G:G,'cluster overview'!B44)</f>
        <v>0</v>
      </c>
      <c r="D44" s="90">
        <f>SUMIFS('reductions data'!H:H,'reductions data'!B:B,'cluster overview'!$B$6,'reductions data'!$G:$G,'cluster overview'!B44)</f>
        <v>0</v>
      </c>
      <c r="E44" s="91"/>
      <c r="F44" s="482"/>
      <c r="G44" s="485"/>
    </row>
    <row r="45" spans="1:7" x14ac:dyDescent="0.15">
      <c r="B45" s="113" t="s">
        <v>852</v>
      </c>
      <c r="C45" s="89">
        <f>COUNTIFS('reductions data'!B:B,'cluster overview'!$B$6,'reductions data'!G:G,'cluster overview'!B45)</f>
        <v>0</v>
      </c>
      <c r="D45" s="90">
        <f>SUMIFS('reductions data'!H:H,'reductions data'!B:B,'cluster overview'!$B$6,'reductions data'!$G:$G,'cluster overview'!B45)</f>
        <v>0</v>
      </c>
      <c r="E45" s="91"/>
      <c r="F45" s="482"/>
      <c r="G45" s="485"/>
    </row>
    <row r="46" spans="1:7" x14ac:dyDescent="0.15">
      <c r="B46" s="113" t="s">
        <v>853</v>
      </c>
      <c r="C46" s="89">
        <f>COUNTIFS('reductions data'!B:B,'cluster overview'!$B$6,'reductions data'!G:G,'cluster overview'!B46)</f>
        <v>0</v>
      </c>
      <c r="D46" s="90">
        <f>SUMIFS('reductions data'!H:H,'reductions data'!B:B,'cluster overview'!$B$6,'reductions data'!$G:$G,'cluster overview'!B46)</f>
        <v>0</v>
      </c>
      <c r="E46" s="91"/>
      <c r="F46" s="483"/>
      <c r="G46" s="486"/>
    </row>
    <row r="47" spans="1:7" ht="15.75" customHeight="1" x14ac:dyDescent="0.15">
      <c r="B47" s="113" t="s">
        <v>855</v>
      </c>
      <c r="C47" s="89">
        <f>COUNTIFS('reductions data'!B:B,'cluster overview'!$B$6,'reductions data'!G:G,'cluster overview'!B47)</f>
        <v>0</v>
      </c>
      <c r="D47" s="90">
        <f>SUMIFS('reductions data'!H:H,'reductions data'!B:B,'cluster overview'!$B$6,'reductions data'!$G:$G,'cluster overview'!B47)</f>
        <v>0</v>
      </c>
      <c r="E47" s="91"/>
      <c r="F47" s="481" t="s">
        <v>1007</v>
      </c>
      <c r="G47" s="484" t="e">
        <f>+G41-'div &amp; regional reduction hours'!N18</f>
        <v>#DIV/0!</v>
      </c>
    </row>
    <row r="48" spans="1:7" x14ac:dyDescent="0.15">
      <c r="B48" s="113" t="s">
        <v>858</v>
      </c>
      <c r="C48" s="89">
        <f>COUNTIFS('reductions data'!B:B,'cluster overview'!$B$6,'reductions data'!G:G,'cluster overview'!B48)</f>
        <v>0</v>
      </c>
      <c r="D48" s="90">
        <f>SUMIFS('reductions data'!H:H,'reductions data'!B:B,'cluster overview'!$B$6,'reductions data'!$G:$G,'cluster overview'!B48)</f>
        <v>0</v>
      </c>
      <c r="E48" s="91"/>
      <c r="F48" s="482"/>
      <c r="G48" s="485"/>
    </row>
    <row r="49" spans="2:7" x14ac:dyDescent="0.15">
      <c r="B49" s="113" t="s">
        <v>854</v>
      </c>
      <c r="C49" s="89">
        <f>COUNTIFS('reductions data'!B:B,'cluster overview'!$B$6,'reductions data'!G:G,'cluster overview'!B49)</f>
        <v>0</v>
      </c>
      <c r="D49" s="90">
        <f>SUMIFS('reductions data'!H:H,'reductions data'!B:B,'cluster overview'!$B$6,'reductions data'!$G:$G,'cluster overview'!B49)</f>
        <v>0</v>
      </c>
      <c r="E49" s="91"/>
      <c r="F49" s="482"/>
      <c r="G49" s="485"/>
    </row>
    <row r="50" spans="2:7" x14ac:dyDescent="0.15">
      <c r="B50" s="113" t="s">
        <v>939</v>
      </c>
      <c r="C50" s="89">
        <f>COUNTIFS('reductions data'!B:B,'cluster overview'!$B$6,'reductions data'!G:G,'cluster overview'!B50)</f>
        <v>0</v>
      </c>
      <c r="D50" s="90">
        <f>SUMIFS('reductions data'!H:H,'reductions data'!B:B,'cluster overview'!$B$6,'reductions data'!$G:$G,'cluster overview'!B50)</f>
        <v>0</v>
      </c>
      <c r="E50" s="91"/>
      <c r="F50" s="482"/>
      <c r="G50" s="485"/>
    </row>
    <row r="51" spans="2:7" x14ac:dyDescent="0.15">
      <c r="B51" s="113" t="s">
        <v>859</v>
      </c>
      <c r="C51" s="89">
        <f>COUNTIFS('reductions data'!B:B,'cluster overview'!$B$6,'reductions data'!G:G,'cluster overview'!B51)</f>
        <v>0</v>
      </c>
      <c r="D51" s="90">
        <f>SUMIFS('reductions data'!H:H,'reductions data'!B:B,'cluster overview'!$B$6,'reductions data'!$G:$G,'cluster overview'!B51)</f>
        <v>0</v>
      </c>
      <c r="E51" s="91"/>
      <c r="F51" s="483"/>
      <c r="G51" s="486"/>
    </row>
    <row r="52" spans="2:7" x14ac:dyDescent="0.15">
      <c r="B52" s="113" t="s">
        <v>860</v>
      </c>
      <c r="C52" s="89">
        <f>COUNTIFS('reductions data'!B:B,'cluster overview'!$B$6,'reductions data'!G:G,'cluster overview'!B52)</f>
        <v>0</v>
      </c>
      <c r="D52" s="90">
        <f>SUMIFS('reductions data'!H:H,'reductions data'!B:B,'cluster overview'!$B$6,'reductions data'!$G:$G,'cluster overview'!B52)</f>
        <v>0</v>
      </c>
      <c r="E52" s="91"/>
      <c r="F52" s="91"/>
      <c r="G52" s="64"/>
    </row>
    <row r="53" spans="2:7" x14ac:dyDescent="0.15">
      <c r="B53" s="113" t="s">
        <v>861</v>
      </c>
      <c r="C53" s="89">
        <f>COUNTIFS('reductions data'!B:B,'cluster overview'!$B$6,'reductions data'!G:G,'cluster overview'!B53)</f>
        <v>0</v>
      </c>
      <c r="D53" s="90">
        <f>SUMIFS('reductions data'!H:H,'reductions data'!B:B,'cluster overview'!$B$6,'reductions data'!$G:$G,'cluster overview'!B53)</f>
        <v>0</v>
      </c>
      <c r="E53" s="91"/>
      <c r="F53" s="91"/>
      <c r="G53" s="64"/>
    </row>
    <row r="54" spans="2:7" x14ac:dyDescent="0.15">
      <c r="B54" s="113" t="s">
        <v>862</v>
      </c>
      <c r="C54" s="89">
        <f>COUNTIFS('reductions data'!B:B,'cluster overview'!$B$6,'reductions data'!G:G,'cluster overview'!B54)</f>
        <v>0</v>
      </c>
      <c r="D54" s="90">
        <f>SUMIFS('reductions data'!H:H,'reductions data'!B:B,'cluster overview'!$B$6,'reductions data'!$G:$G,'cluster overview'!B54)</f>
        <v>0</v>
      </c>
      <c r="E54" s="91"/>
      <c r="F54" s="91"/>
      <c r="G54" s="64"/>
    </row>
    <row r="55" spans="2:7" x14ac:dyDescent="0.15">
      <c r="B55" s="113" t="s">
        <v>863</v>
      </c>
      <c r="C55" s="89">
        <f>COUNTIFS('reductions data'!B:B,'cluster overview'!$B$6,'reductions data'!G:G,'cluster overview'!B55)</f>
        <v>0</v>
      </c>
      <c r="D55" s="90">
        <f>SUMIFS('reductions data'!H:H,'reductions data'!B:B,'cluster overview'!$B$6,'reductions data'!$G:$G,'cluster overview'!B55)</f>
        <v>0</v>
      </c>
      <c r="E55" s="91"/>
      <c r="F55" s="91"/>
      <c r="G55" s="64"/>
    </row>
    <row r="56" spans="2:7" x14ac:dyDescent="0.15">
      <c r="B56" s="113" t="s">
        <v>864</v>
      </c>
      <c r="C56" s="89">
        <f>COUNTIFS('reductions data'!B:B,'cluster overview'!$B$6,'reductions data'!G:G,'cluster overview'!B56)</f>
        <v>0</v>
      </c>
      <c r="D56" s="90">
        <f>SUMIFS('reductions data'!H:H,'reductions data'!B:B,'cluster overview'!$B$6,'reductions data'!$G:$G,'cluster overview'!B56)</f>
        <v>0</v>
      </c>
      <c r="E56" s="91"/>
      <c r="F56" s="91"/>
      <c r="G56" s="64"/>
    </row>
    <row r="57" spans="2:7" x14ac:dyDescent="0.15">
      <c r="B57" s="113" t="s">
        <v>865</v>
      </c>
      <c r="C57" s="89">
        <f>COUNTIFS('reductions data'!B:B,'cluster overview'!$B$6,'reductions data'!G:G,'cluster overview'!B57)</f>
        <v>0</v>
      </c>
      <c r="D57" s="90">
        <f>SUMIFS('reductions data'!H:H,'reductions data'!B:B,'cluster overview'!$B$6,'reductions data'!$G:$G,'cluster overview'!B57)</f>
        <v>0</v>
      </c>
      <c r="E57" s="91"/>
      <c r="F57" s="91"/>
      <c r="G57" s="64"/>
    </row>
    <row r="58" spans="2:7" ht="16.5" customHeight="1" x14ac:dyDescent="0.15">
      <c r="B58" s="113" t="s">
        <v>1197</v>
      </c>
      <c r="C58" s="89">
        <f>COUNTIFS('reductions data'!B:B,'cluster overview'!$B$6,'reductions data'!G:G,'cluster overview'!B58)</f>
        <v>0</v>
      </c>
      <c r="D58" s="90">
        <f>SUMIFS('reductions data'!H:H,'reductions data'!B:B,'cluster overview'!$B$6,'reductions data'!$G:$G,'cluster overview'!B58)</f>
        <v>0</v>
      </c>
      <c r="E58" s="91"/>
      <c r="F58" s="91"/>
      <c r="G58" s="64"/>
    </row>
    <row r="59" spans="2:7" x14ac:dyDescent="0.15">
      <c r="B59" s="113" t="s">
        <v>1198</v>
      </c>
      <c r="C59" s="89">
        <f>COUNTIFS('reductions data'!B:B,'cluster overview'!$B$6,'reductions data'!G:G,'cluster overview'!B59)</f>
        <v>0</v>
      </c>
      <c r="D59" s="90">
        <f>SUMIFS('reductions data'!H:H,'reductions data'!B:B,'cluster overview'!$B$6,'reductions data'!$G:$G,'cluster overview'!B59)</f>
        <v>0</v>
      </c>
      <c r="E59" s="91"/>
      <c r="F59" s="91"/>
      <c r="G59" s="64"/>
    </row>
    <row r="60" spans="2:7" x14ac:dyDescent="0.15">
      <c r="B60" s="320" t="s">
        <v>1195</v>
      </c>
      <c r="C60" s="89">
        <f>COUNTIFS('reductions data'!B:B,'cluster overview'!$B$6,'reductions data'!G:G,'cluster overview'!B60)</f>
        <v>0</v>
      </c>
      <c r="D60" s="90">
        <f>SUMIFS('reductions data'!H:H,'reductions data'!B:B,'cluster overview'!$B$6,'reductions data'!$G:$G,'cluster overview'!B60)</f>
        <v>0</v>
      </c>
      <c r="E60" s="91"/>
      <c r="F60" s="91"/>
      <c r="G60" s="64"/>
    </row>
    <row r="61" spans="2:7" x14ac:dyDescent="0.15">
      <c r="B61" s="320" t="s">
        <v>1196</v>
      </c>
      <c r="C61" s="89">
        <f>COUNTIFS('reductions data'!B:B,'cluster overview'!$B$6,'reductions data'!G:G,'cluster overview'!B61)</f>
        <v>0</v>
      </c>
      <c r="D61" s="90">
        <f>SUMIFS('reductions data'!H:H,'reductions data'!B:B,'cluster overview'!$B$6,'reductions data'!$G:$G,'cluster overview'!B61)</f>
        <v>0</v>
      </c>
      <c r="E61" s="91"/>
      <c r="F61" s="91"/>
      <c r="G61" s="64"/>
    </row>
    <row r="62" spans="2:7" x14ac:dyDescent="0.15">
      <c r="B62" s="320" t="s">
        <v>1205</v>
      </c>
      <c r="C62" s="89">
        <f>COUNTIFS('reductions data'!B:B,'cluster overview'!$B$6,'reductions data'!G:G,'cluster overview'!B62)</f>
        <v>0</v>
      </c>
      <c r="D62" s="90">
        <f>SUMIFS('reductions data'!H:H,'reductions data'!B:B,'cluster overview'!$B$6,'reductions data'!$G:$G,'cluster overview'!B62)</f>
        <v>0</v>
      </c>
      <c r="E62" s="91"/>
      <c r="F62" s="91"/>
      <c r="G62" s="64"/>
    </row>
    <row r="63" spans="2:7" x14ac:dyDescent="0.15">
      <c r="B63" s="320" t="s">
        <v>1201</v>
      </c>
      <c r="C63" s="325">
        <f>COUNTIFS('reductions data'!B:B,'cluster overview'!$B$6,'reductions data'!G:G,'cluster overview'!B63)</f>
        <v>0</v>
      </c>
      <c r="D63" s="90">
        <f>SUMIFS('reductions data'!H:H,'reductions data'!B:B,'cluster overview'!$B$6,'reductions data'!$G:$G,'cluster overview'!B63)</f>
        <v>0</v>
      </c>
      <c r="E63" s="91"/>
      <c r="F63" s="91"/>
      <c r="G63" s="64"/>
    </row>
    <row r="64" spans="2:7" x14ac:dyDescent="0.15">
      <c r="B64" s="320" t="s">
        <v>1202</v>
      </c>
      <c r="C64" s="325">
        <f>COUNTIFS('reductions data'!B:B,'cluster overview'!$B$6,'reductions data'!G:G,'cluster overview'!B64)</f>
        <v>0</v>
      </c>
      <c r="D64" s="90">
        <f>SUMIFS('reductions data'!H:H,'reductions data'!B:B,'cluster overview'!$B$6,'reductions data'!$G:$G,'cluster overview'!B64)</f>
        <v>0</v>
      </c>
      <c r="E64" s="91"/>
      <c r="F64" s="91"/>
      <c r="G64" s="64"/>
    </row>
    <row r="65" spans="2:7" x14ac:dyDescent="0.15">
      <c r="B65" s="320" t="s">
        <v>1206</v>
      </c>
      <c r="C65" s="325">
        <f>COUNTIFS('reductions data'!B:B,'cluster overview'!$B$6,'reductions data'!G:G,'cluster overview'!B65)</f>
        <v>0</v>
      </c>
      <c r="D65" s="90">
        <f>SUMIFS('reductions data'!H:H,'reductions data'!B:B,'cluster overview'!$B$6,'reductions data'!$G:$G,'cluster overview'!B65)</f>
        <v>0</v>
      </c>
      <c r="E65" s="91"/>
      <c r="F65" s="91"/>
      <c r="G65" s="64"/>
    </row>
    <row r="66" spans="2:7" x14ac:dyDescent="0.15">
      <c r="B66" s="112" t="s">
        <v>1199</v>
      </c>
      <c r="C66" s="89">
        <f>COUNTIFS('reductions data'!B:B,'cluster overview'!$B$6,'reductions data'!G:G,'cluster overview'!B66)</f>
        <v>0</v>
      </c>
      <c r="D66" s="90">
        <f>SUMIFS('reductions data'!H:H,'reductions data'!B:B,'cluster overview'!$B$6,'reductions data'!$G:$G,'cluster overview'!B66)</f>
        <v>0</v>
      </c>
      <c r="E66" s="91"/>
      <c r="F66" s="91"/>
      <c r="G66" s="64"/>
    </row>
    <row r="67" spans="2:7" x14ac:dyDescent="0.15">
      <c r="B67" s="113" t="s">
        <v>1200</v>
      </c>
      <c r="C67" s="89">
        <f>COUNTIFS('reductions data'!B:B,'cluster overview'!$B$6,'reductions data'!G:G,'cluster overview'!B67)</f>
        <v>0</v>
      </c>
      <c r="D67" s="90">
        <f>SUMIFS('reductions data'!H:H,'reductions data'!B:B,'cluster overview'!$B$6,'reductions data'!$G:$G,'cluster overview'!B67)</f>
        <v>0</v>
      </c>
      <c r="E67" s="91"/>
      <c r="F67" s="91"/>
      <c r="G67" s="64"/>
    </row>
    <row r="68" spans="2:7" x14ac:dyDescent="0.15">
      <c r="B68" s="113" t="s">
        <v>867</v>
      </c>
      <c r="C68" s="89">
        <f>COUNTIFS('reductions data'!B:B,'cluster overview'!$B$6,'reductions data'!G:G,'cluster overview'!B68)</f>
        <v>0</v>
      </c>
      <c r="D68" s="90">
        <f>SUMIFS('reductions data'!H:H,'reductions data'!B:B,'cluster overview'!$B$6,'reductions data'!$G:$G,'cluster overview'!B68)</f>
        <v>0</v>
      </c>
      <c r="E68" s="91"/>
      <c r="F68" s="91"/>
      <c r="G68" s="64"/>
    </row>
    <row r="69" spans="2:7" x14ac:dyDescent="0.15">
      <c r="B69" s="113" t="s">
        <v>868</v>
      </c>
      <c r="C69" s="89">
        <f>COUNTIFS('reductions data'!B:B,'cluster overview'!$B$6,'reductions data'!G:G,'cluster overview'!B69)</f>
        <v>0</v>
      </c>
      <c r="D69" s="90">
        <f>SUMIFS('reductions data'!H:H,'reductions data'!B:B,'cluster overview'!$B$6,'reductions data'!$G:$G,'cluster overview'!B69)</f>
        <v>0</v>
      </c>
      <c r="E69" s="91"/>
      <c r="F69" s="91"/>
      <c r="G69" s="64"/>
    </row>
    <row r="70" spans="2:7" x14ac:dyDescent="0.15">
      <c r="B70" s="113" t="s">
        <v>869</v>
      </c>
      <c r="C70" s="89">
        <f>COUNTIFS('reductions data'!B:B,'cluster overview'!$B$6,'reductions data'!G:G,'cluster overview'!B70)</f>
        <v>0</v>
      </c>
      <c r="D70" s="90">
        <f>SUMIFS('reductions data'!H:H,'reductions data'!B:B,'cluster overview'!$B$6,'reductions data'!$G:$G,'cluster overview'!B70)</f>
        <v>0</v>
      </c>
      <c r="E70" s="91"/>
      <c r="F70" s="91"/>
      <c r="G70" s="64"/>
    </row>
    <row r="71" spans="2:7" x14ac:dyDescent="0.15">
      <c r="B71" s="113" t="s">
        <v>870</v>
      </c>
      <c r="C71" s="89">
        <f>COUNTIFS('reductions data'!B:B,'cluster overview'!$B$6,'reductions data'!G:G,'cluster overview'!B71)</f>
        <v>0</v>
      </c>
      <c r="D71" s="90">
        <f>SUMIFS('reductions data'!H:H,'reductions data'!B:B,'cluster overview'!$B$6,'reductions data'!$G:$G,'cluster overview'!B71)</f>
        <v>0</v>
      </c>
      <c r="E71" s="91"/>
      <c r="F71" s="91"/>
      <c r="G71" s="64"/>
    </row>
    <row r="72" spans="2:7" x14ac:dyDescent="0.15">
      <c r="B72" s="113" t="s">
        <v>871</v>
      </c>
      <c r="C72" s="89">
        <f>COUNTIFS('reductions data'!B:B,'cluster overview'!$B$6,'reductions data'!G:G,'cluster overview'!B72)</f>
        <v>0</v>
      </c>
      <c r="D72" s="90">
        <f>SUMIFS('reductions data'!H:H,'reductions data'!B:B,'cluster overview'!$B$6,'reductions data'!$G:$G,'cluster overview'!B72)</f>
        <v>0</v>
      </c>
      <c r="E72" s="91"/>
      <c r="F72" s="91"/>
      <c r="G72" s="64"/>
    </row>
    <row r="73" spans="2:7" x14ac:dyDescent="0.15">
      <c r="B73" s="113" t="s">
        <v>872</v>
      </c>
      <c r="C73" s="89">
        <f>COUNTIFS('reductions data'!B:B,'cluster overview'!$B$6,'reductions data'!G:G,'cluster overview'!B73)</f>
        <v>0</v>
      </c>
      <c r="D73" s="90">
        <f>SUMIFS('reductions data'!H:H,'reductions data'!B:B,'cluster overview'!$B$6,'reductions data'!$G:$G,'cluster overview'!B73)</f>
        <v>0</v>
      </c>
      <c r="E73" s="91"/>
      <c r="F73" s="91"/>
      <c r="G73" s="64"/>
    </row>
    <row r="74" spans="2:7" x14ac:dyDescent="0.15">
      <c r="B74" s="113" t="s">
        <v>866</v>
      </c>
      <c r="C74" s="89">
        <f>COUNTIFS('reductions data'!B:B,'cluster overview'!$B$6,'reductions data'!G:G,'cluster overview'!B74)</f>
        <v>0</v>
      </c>
      <c r="D74" s="90">
        <f>SUMIFS('reductions data'!H:H,'reductions data'!B:B,'cluster overview'!$B$6,'reductions data'!$G:$G,'cluster overview'!B74)</f>
        <v>0</v>
      </c>
      <c r="E74" s="91"/>
      <c r="F74" s="91"/>
      <c r="G74" s="64"/>
    </row>
    <row r="75" spans="2:7" x14ac:dyDescent="0.15">
      <c r="B75" s="113" t="s">
        <v>873</v>
      </c>
      <c r="C75" s="89">
        <f>COUNTIFS('reductions data'!B:B,'cluster overview'!$B$6,'reductions data'!G:G,'cluster overview'!B75)</f>
        <v>0</v>
      </c>
      <c r="D75" s="90">
        <f>SUMIFS('reductions data'!H:H,'reductions data'!B:B,'cluster overview'!$B$6,'reductions data'!$G:$G,'cluster overview'!B75)</f>
        <v>0</v>
      </c>
      <c r="E75" s="91"/>
      <c r="F75" s="91"/>
      <c r="G75" s="64"/>
    </row>
    <row r="76" spans="2:7" x14ac:dyDescent="0.15">
      <c r="B76" s="113" t="s">
        <v>874</v>
      </c>
      <c r="C76" s="89">
        <f>COUNTIFS('reductions data'!B:B,'cluster overview'!$B$6,'reductions data'!G:G,'cluster overview'!B76)</f>
        <v>0</v>
      </c>
      <c r="D76" s="90">
        <f>SUMIFS('reductions data'!H:H,'reductions data'!B:B,'cluster overview'!$B$6,'reductions data'!$G:$G,'cluster overview'!B76)</f>
        <v>0</v>
      </c>
      <c r="E76" s="91"/>
      <c r="F76" s="91"/>
      <c r="G76" s="64"/>
    </row>
    <row r="77" spans="2:7" x14ac:dyDescent="0.15">
      <c r="B77" s="113" t="s">
        <v>875</v>
      </c>
      <c r="C77" s="89">
        <f>COUNTIFS('reductions data'!B:B,'cluster overview'!$B$6,'reductions data'!G:G,'cluster overview'!B77)</f>
        <v>0</v>
      </c>
      <c r="D77" s="90">
        <f>SUMIFS('reductions data'!H:H,'reductions data'!B:B,'cluster overview'!$B$6,'reductions data'!$G:$G,'cluster overview'!B77)</f>
        <v>0</v>
      </c>
      <c r="E77" s="91"/>
      <c r="F77" s="91"/>
      <c r="G77" s="64"/>
    </row>
    <row r="78" spans="2:7" x14ac:dyDescent="0.15">
      <c r="B78" s="113" t="s">
        <v>876</v>
      </c>
      <c r="C78" s="89">
        <f>COUNTIFS('reductions data'!B:B,'cluster overview'!$B$6,'reductions data'!G:G,'cluster overview'!B78)</f>
        <v>0</v>
      </c>
      <c r="D78" s="90">
        <f>SUMIFS('reductions data'!H:H,'reductions data'!B:B,'cluster overview'!$B$6,'reductions data'!$G:$G,'cluster overview'!B78)</f>
        <v>0</v>
      </c>
      <c r="E78" s="91"/>
      <c r="F78" s="91"/>
      <c r="G78" s="64"/>
    </row>
    <row r="79" spans="2:7" x14ac:dyDescent="0.15">
      <c r="B79" s="113" t="s">
        <v>877</v>
      </c>
      <c r="C79" s="89">
        <f>COUNTIFS('reductions data'!B:B,'cluster overview'!$B$6,'reductions data'!G:G,'cluster overview'!B79)</f>
        <v>0</v>
      </c>
      <c r="D79" s="90">
        <f>SUMIFS('reductions data'!H:H,'reductions data'!B:B,'cluster overview'!$B$6,'reductions data'!$G:$G,'cluster overview'!B79)</f>
        <v>0</v>
      </c>
      <c r="E79" s="91"/>
      <c r="F79" s="91"/>
      <c r="G79" s="64"/>
    </row>
    <row r="80" spans="2:7" x14ac:dyDescent="0.15">
      <c r="B80" s="113" t="s">
        <v>878</v>
      </c>
      <c r="C80" s="89">
        <f>COUNTIFS('reductions data'!B:B,'cluster overview'!$B$6,'reductions data'!G:G,'cluster overview'!B80)</f>
        <v>0</v>
      </c>
      <c r="D80" s="90">
        <f>SUMIFS('reductions data'!H:H,'reductions data'!B:B,'cluster overview'!$B$6,'reductions data'!$G:$G,'cluster overview'!B80)</f>
        <v>0</v>
      </c>
      <c r="E80" s="91"/>
      <c r="F80" s="91"/>
      <c r="G80" s="64"/>
    </row>
    <row r="81" spans="2:19" x14ac:dyDescent="0.15">
      <c r="B81" s="113" t="s">
        <v>879</v>
      </c>
      <c r="C81" s="89">
        <f>COUNTIFS('reductions data'!B:B,'cluster overview'!$B$6,'reductions data'!G:G,'cluster overview'!B81)</f>
        <v>0</v>
      </c>
      <c r="D81" s="90">
        <f>SUMIFS('reductions data'!H:H,'reductions data'!B:B,'cluster overview'!$B$6,'reductions data'!$G:$G,'cluster overview'!B81)</f>
        <v>0</v>
      </c>
      <c r="E81" s="91"/>
      <c r="F81" s="91"/>
      <c r="G81" s="64"/>
    </row>
    <row r="82" spans="2:19" x14ac:dyDescent="0.15">
      <c r="B82" s="113" t="s">
        <v>880</v>
      </c>
      <c r="C82" s="89">
        <f>COUNTIFS('reductions data'!B:B,'cluster overview'!$B$6,'reductions data'!G:G,'cluster overview'!B82)</f>
        <v>0</v>
      </c>
      <c r="D82" s="90">
        <f>SUMIFS('reductions data'!H:H,'reductions data'!B:B,'cluster overview'!$B$6,'reductions data'!$G:$G,'cluster overview'!B82)</f>
        <v>0</v>
      </c>
      <c r="E82" s="91"/>
      <c r="F82" s="91"/>
      <c r="G82" s="64"/>
    </row>
    <row r="83" spans="2:19" x14ac:dyDescent="0.15">
      <c r="B83" s="91"/>
      <c r="C83" s="91"/>
      <c r="D83" s="91"/>
      <c r="E83" s="91"/>
      <c r="F83" s="91"/>
      <c r="G83" s="64"/>
    </row>
    <row r="84" spans="2:19" ht="16" x14ac:dyDescent="0.15">
      <c r="B84" s="58"/>
      <c r="C84" s="56"/>
      <c r="D84" s="57"/>
      <c r="E84" s="91"/>
      <c r="F84" s="91"/>
      <c r="G84" s="64"/>
    </row>
    <row r="85" spans="2:19" ht="16" x14ac:dyDescent="0.15">
      <c r="B85" s="58"/>
      <c r="C85" s="56"/>
      <c r="D85" s="57"/>
      <c r="E85" s="91"/>
      <c r="F85" s="91"/>
      <c r="G85" s="64"/>
    </row>
    <row r="86" spans="2:19" ht="20" x14ac:dyDescent="0.15">
      <c r="B86" s="475" t="s">
        <v>1008</v>
      </c>
      <c r="C86" s="475"/>
      <c r="D86" s="475"/>
      <c r="E86" s="475"/>
      <c r="F86" s="475"/>
      <c r="G86" s="475"/>
      <c r="H86" s="475"/>
      <c r="I86" s="475"/>
      <c r="J86" s="475"/>
      <c r="K86" s="475"/>
      <c r="L86" s="475"/>
      <c r="M86" s="475"/>
      <c r="N86" s="475"/>
      <c r="O86" s="475"/>
      <c r="P86" s="475"/>
      <c r="Q86" s="475"/>
      <c r="R86" s="475"/>
      <c r="S86" s="475"/>
    </row>
    <row r="87" spans="2:19" ht="28" x14ac:dyDescent="0.15">
      <c r="B87" s="332" t="str">
        <f>B6</f>
        <v>Hammersmith, Fulham, Kensington, Chelsea and Westminster</v>
      </c>
      <c r="C87" s="38" t="s">
        <v>814</v>
      </c>
      <c r="D87" s="38" t="s">
        <v>815</v>
      </c>
      <c r="E87" s="38" t="s">
        <v>816</v>
      </c>
      <c r="F87" s="38" t="s">
        <v>817</v>
      </c>
      <c r="G87" s="38" t="s">
        <v>818</v>
      </c>
      <c r="H87" s="38" t="s">
        <v>819</v>
      </c>
      <c r="I87" s="38" t="s">
        <v>820</v>
      </c>
      <c r="J87" s="38" t="s">
        <v>821</v>
      </c>
      <c r="K87" s="38" t="s">
        <v>822</v>
      </c>
      <c r="L87" s="38" t="s">
        <v>823</v>
      </c>
      <c r="M87" s="38" t="s">
        <v>824</v>
      </c>
      <c r="N87" s="38" t="s">
        <v>825</v>
      </c>
      <c r="O87" s="38" t="s">
        <v>826</v>
      </c>
      <c r="P87" s="38" t="s">
        <v>827</v>
      </c>
      <c r="Q87" s="38" t="s">
        <v>828</v>
      </c>
      <c r="R87" s="38" t="s">
        <v>829</v>
      </c>
      <c r="S87" s="38" t="s">
        <v>944</v>
      </c>
    </row>
    <row r="88" spans="2:19" x14ac:dyDescent="0.15">
      <c r="B88" s="75" t="s">
        <v>941</v>
      </c>
      <c r="C88" s="94">
        <f>SUMIFS('caseload data'!E:E,'caseload data'!$B:$B,"custody",'caseload data'!$C:$C,$B$87)</f>
        <v>0</v>
      </c>
      <c r="D88" s="94">
        <f>SUMIFS('caseload data'!F:F,'caseload data'!$B:$B,"custody",'caseload data'!$C:$C,$B$87)</f>
        <v>0</v>
      </c>
      <c r="E88" s="94">
        <f>SUMIFS('caseload data'!G:G,'caseload data'!$B:$B,"custody",'caseload data'!$C:$C,$B$87)</f>
        <v>0</v>
      </c>
      <c r="F88" s="94">
        <f>SUMIFS('caseload data'!H:H,'caseload data'!$B:$B,"custody",'caseload data'!$C:$C,$B$87)</f>
        <v>0</v>
      </c>
      <c r="G88" s="94">
        <f>SUMIFS('caseload data'!I:I,'caseload data'!$B:$B,"custody",'caseload data'!$C:$C,$B$87)</f>
        <v>0</v>
      </c>
      <c r="H88" s="94">
        <f>SUMIFS('caseload data'!J:J,'caseload data'!$B:$B,"custody",'caseload data'!$C:$C,$B$87)</f>
        <v>0</v>
      </c>
      <c r="I88" s="94">
        <f>SUMIFS('caseload data'!K:K,'caseload data'!$B:$B,"custody",'caseload data'!$C:$C,$B$87)</f>
        <v>0</v>
      </c>
      <c r="J88" s="94">
        <f>SUMIFS('caseload data'!L:L,'caseload data'!$B:$B,"custody",'caseload data'!$C:$C,$B$87)</f>
        <v>0</v>
      </c>
      <c r="K88" s="94">
        <f>SUMIFS('caseload data'!M:M,'caseload data'!$B:$B,"custody",'caseload data'!$C:$C,$B$87)</f>
        <v>0</v>
      </c>
      <c r="L88" s="94">
        <f>SUMIFS('caseload data'!N:N,'caseload data'!$B:$B,"custody",'caseload data'!$C:$C,$B$87)</f>
        <v>0</v>
      </c>
      <c r="M88" s="94">
        <f>SUMIFS('caseload data'!O:O,'caseload data'!$B:$B,"custody",'caseload data'!$C:$C,$B$87)</f>
        <v>0</v>
      </c>
      <c r="N88" s="94">
        <f>SUMIFS('caseload data'!P:P,'caseload data'!$B:$B,"custody",'caseload data'!$C:$C,$B$87)</f>
        <v>0</v>
      </c>
      <c r="O88" s="94">
        <f>SUMIFS('caseload data'!Q:Q,'caseload data'!$B:$B,"custody",'caseload data'!$C:$C,$B$87)</f>
        <v>0</v>
      </c>
      <c r="P88" s="94">
        <f>SUMIFS('caseload data'!R:R,'caseload data'!$B:$B,"custody",'caseload data'!$C:$C,$B$87)</f>
        <v>0</v>
      </c>
      <c r="Q88" s="94">
        <f>SUMIFS('caseload data'!S:S,'caseload data'!$B:$B,"custody",'caseload data'!$C:$C,$B$87)</f>
        <v>0</v>
      </c>
      <c r="R88" s="94">
        <f>SUMIFS('caseload data'!T:T,'caseload data'!$B:$B,"custody",'caseload data'!$C:$C,$B$87)</f>
        <v>0</v>
      </c>
      <c r="S88" s="94">
        <f>SUMIFS('caseload data'!$V:$V,'caseload data'!C:C,$B$87,'caseload data'!B:B,"custody")</f>
        <v>0</v>
      </c>
    </row>
    <row r="89" spans="2:19" x14ac:dyDescent="0.15">
      <c r="B89" s="75" t="s">
        <v>942</v>
      </c>
      <c r="C89" s="75">
        <f>SUMIFS('caseload data'!E:E,'caseload data'!$B:$B,"licence",'caseload data'!$C:$C,$B$87)</f>
        <v>0</v>
      </c>
      <c r="D89" s="75">
        <f>SUMIFS('caseload data'!F:F,'caseload data'!$B:$B,"licence",'caseload data'!$C:$C,$B$87)</f>
        <v>0</v>
      </c>
      <c r="E89" s="75">
        <f>SUMIFS('caseload data'!G:G,'caseload data'!$B:$B,"licence",'caseload data'!$C:$C,$B$87)</f>
        <v>0</v>
      </c>
      <c r="F89" s="75">
        <f>SUMIFS('caseload data'!H:H,'caseload data'!$B:$B,"licence",'caseload data'!$C:$C,$B$87)</f>
        <v>0</v>
      </c>
      <c r="G89" s="75">
        <f>SUMIFS('caseload data'!I:I,'caseload data'!$B:$B,"licence",'caseload data'!$C:$C,$B$87)</f>
        <v>0</v>
      </c>
      <c r="H89" s="75">
        <f>SUMIFS('caseload data'!J:J,'caseload data'!$B:$B,"licence",'caseload data'!$C:$C,$B$87)</f>
        <v>0</v>
      </c>
      <c r="I89" s="75">
        <f>SUMIFS('caseload data'!K:K,'caseload data'!$B:$B,"licence",'caseload data'!$C:$C,$B$87)</f>
        <v>0</v>
      </c>
      <c r="J89" s="75">
        <f>SUMIFS('caseload data'!L:L,'caseload data'!$B:$B,"licence",'caseload data'!$C:$C,$B$87)</f>
        <v>0</v>
      </c>
      <c r="K89" s="75">
        <f>SUMIFS('caseload data'!M:M,'caseload data'!$B:$B,"licence",'caseload data'!$C:$C,$B$87)</f>
        <v>0</v>
      </c>
      <c r="L89" s="75">
        <f>SUMIFS('caseload data'!N:N,'caseload data'!$B:$B,"licence",'caseload data'!$C:$C,$B$87)</f>
        <v>0</v>
      </c>
      <c r="M89" s="75">
        <f>SUMIFS('caseload data'!O:O,'caseload data'!$B:$B,"licence",'caseload data'!$C:$C,$B$87)</f>
        <v>0</v>
      </c>
      <c r="N89" s="75">
        <f>SUMIFS('caseload data'!P:P,'caseload data'!$B:$B,"licence",'caseload data'!$C:$C,$B$87)</f>
        <v>0</v>
      </c>
      <c r="O89" s="75">
        <f>SUMIFS('caseload data'!Q:Q,'caseload data'!$B:$B,"licence",'caseload data'!$C:$C,$B$87)</f>
        <v>0</v>
      </c>
      <c r="P89" s="75">
        <f>SUMIFS('caseload data'!R:R,'caseload data'!$B:$B,"licence",'caseload data'!$C:$C,$B$87)</f>
        <v>0</v>
      </c>
      <c r="Q89" s="75">
        <f>SUMIFS('caseload data'!S:S,'caseload data'!$B:$B,"licence",'caseload data'!$C:$C,$B$87)</f>
        <v>0</v>
      </c>
      <c r="R89" s="75">
        <f>SUMIFS('caseload data'!T:T,'caseload data'!$B:$B,"licence",'caseload data'!$C:$C,$B$87)</f>
        <v>0</v>
      </c>
      <c r="S89" s="75">
        <f>SUMIFS('caseload data'!$V:$V,'caseload data'!C:C,$B$87,'caseload data'!B:B,"licence")</f>
        <v>0</v>
      </c>
    </row>
    <row r="90" spans="2:19" x14ac:dyDescent="0.15">
      <c r="B90" s="75" t="s">
        <v>943</v>
      </c>
      <c r="C90" s="75">
        <f>SUMIFS('caseload data'!E:E,'caseload data'!$B:$B,"community",'caseload data'!$C:$C,$B$87)</f>
        <v>0</v>
      </c>
      <c r="D90" s="75">
        <f>SUMIFS('caseload data'!F:F,'caseload data'!$B:$B,"community",'caseload data'!$C:$C,$B$87)</f>
        <v>0</v>
      </c>
      <c r="E90" s="75">
        <f>SUMIFS('caseload data'!G:G,'caseload data'!$B:$B,"community",'caseload data'!$C:$C,$B$87)</f>
        <v>0</v>
      </c>
      <c r="F90" s="75">
        <f>SUMIFS('caseload data'!H:H,'caseload data'!$B:$B,"community",'caseload data'!$C:$C,$B$87)</f>
        <v>0</v>
      </c>
      <c r="G90" s="75">
        <f>SUMIFS('caseload data'!I:I,'caseload data'!$B:$B,"community",'caseload data'!$C:$C,$B$87)</f>
        <v>0</v>
      </c>
      <c r="H90" s="75">
        <f>SUMIFS('caseload data'!J:J,'caseload data'!$B:$B,"community",'caseload data'!$C:$C,$B$87)</f>
        <v>0</v>
      </c>
      <c r="I90" s="75">
        <f>SUMIFS('caseload data'!K:K,'caseload data'!$B:$B,"community",'caseload data'!$C:$C,$B$87)</f>
        <v>0</v>
      </c>
      <c r="J90" s="75">
        <f>SUMIFS('caseload data'!L:L,'caseload data'!$B:$B,"community",'caseload data'!$C:$C,$B$87)</f>
        <v>0</v>
      </c>
      <c r="K90" s="75">
        <f>SUMIFS('caseload data'!M:M,'caseload data'!$B:$B,"community",'caseload data'!$C:$C,$B$87)</f>
        <v>0</v>
      </c>
      <c r="L90" s="75">
        <f>SUMIFS('caseload data'!N:N,'caseload data'!$B:$B,"community",'caseload data'!$C:$C,$B$87)</f>
        <v>0</v>
      </c>
      <c r="M90" s="75">
        <f>SUMIFS('caseload data'!O:O,'caseload data'!$B:$B,"community",'caseload data'!$C:$C,$B$87)</f>
        <v>0</v>
      </c>
      <c r="N90" s="75">
        <f>SUMIFS('caseload data'!P:P,'caseload data'!$B:$B,"community",'caseload data'!$C:$C,$B$87)</f>
        <v>0</v>
      </c>
      <c r="O90" s="75">
        <f>SUMIFS('caseload data'!Q:Q,'caseload data'!$B:$B,"community",'caseload data'!$C:$C,$B$87)</f>
        <v>0</v>
      </c>
      <c r="P90" s="75">
        <f>SUMIFS('caseload data'!R:R,'caseload data'!$B:$B,"community",'caseload data'!$C:$C,$B$87)</f>
        <v>0</v>
      </c>
      <c r="Q90" s="75">
        <f>SUMIFS('caseload data'!S:S,'caseload data'!$B:$B,"community",'caseload data'!$C:$C,$B$87)</f>
        <v>0</v>
      </c>
      <c r="R90" s="75">
        <f>SUMIFS('caseload data'!T:T,'caseload data'!$B:$B,"community",'caseload data'!$C:$C,$B$87)</f>
        <v>0</v>
      </c>
      <c r="S90" s="75">
        <f>SUMIFS('caseload data'!$V:$V,'caseload data'!C:C,$B$87,'caseload data'!B:B,"community")</f>
        <v>0</v>
      </c>
    </row>
    <row r="91" spans="2:19" x14ac:dyDescent="0.15">
      <c r="B91" s="110" t="s">
        <v>944</v>
      </c>
      <c r="C91" s="110">
        <f>SUMIF('caseload data'!$C:$C,$B$87,'caseload data'!E:E)</f>
        <v>0</v>
      </c>
      <c r="D91" s="110">
        <f>SUMIF('caseload data'!$C:$C,$B$87,'caseload data'!F:F)</f>
        <v>0</v>
      </c>
      <c r="E91" s="110">
        <f>SUMIF('caseload data'!$C:$C,$B$87,'caseload data'!G:G)</f>
        <v>0</v>
      </c>
      <c r="F91" s="110">
        <f>SUMIF('caseload data'!$C:$C,$B$87,'caseload data'!H:H)</f>
        <v>0</v>
      </c>
      <c r="G91" s="110">
        <f>SUMIF('caseload data'!$C:$C,$B$87,'caseload data'!I:I)</f>
        <v>0</v>
      </c>
      <c r="H91" s="110">
        <f>SUMIF('caseload data'!$C:$C,$B$87,'caseload data'!J:J)</f>
        <v>0</v>
      </c>
      <c r="I91" s="110">
        <f>SUMIF('caseload data'!$C:$C,$B$87,'caseload data'!K:K)</f>
        <v>0</v>
      </c>
      <c r="J91" s="110">
        <f>SUMIF('caseload data'!$C:$C,$B$87,'caseload data'!L:L)</f>
        <v>0</v>
      </c>
      <c r="K91" s="110">
        <f>SUMIF('caseload data'!$C:$C,$B$87,'caseload data'!M:M)</f>
        <v>0</v>
      </c>
      <c r="L91" s="110">
        <f>SUMIF('caseload data'!$C:$C,$B$87,'caseload data'!N:N)</f>
        <v>0</v>
      </c>
      <c r="M91" s="110">
        <f>SUMIF('caseload data'!$C:$C,$B$87,'caseload data'!O:O)</f>
        <v>0</v>
      </c>
      <c r="N91" s="110">
        <f>SUMIF('caseload data'!$C:$C,$B$87,'caseload data'!P:P)</f>
        <v>0</v>
      </c>
      <c r="O91" s="110">
        <f>SUMIF('caseload data'!$C:$C,$B$87,'caseload data'!Q:Q)</f>
        <v>0</v>
      </c>
      <c r="P91" s="110">
        <f>SUMIF('caseload data'!$C:$C,$B$87,'caseload data'!R:R)</f>
        <v>0</v>
      </c>
      <c r="Q91" s="110">
        <f>SUMIF('caseload data'!$C:$C,$B$87,'caseload data'!S:S)</f>
        <v>0</v>
      </c>
      <c r="R91" s="110">
        <f>SUMIF('caseload data'!$C:$C,$B$87,'caseload data'!T:T)</f>
        <v>0</v>
      </c>
      <c r="S91" s="110">
        <f>SUMIF('caseload data'!C:C,B87,'caseload data'!V:V)</f>
        <v>0</v>
      </c>
    </row>
    <row r="92" spans="2:19" ht="30" customHeight="1" x14ac:dyDescent="0.2">
      <c r="E92" s="1"/>
      <c r="F92" s="1"/>
    </row>
    <row r="93" spans="2:19" ht="20" x14ac:dyDescent="0.15">
      <c r="B93" s="475" t="s">
        <v>1009</v>
      </c>
      <c r="C93" s="475"/>
      <c r="D93" s="475"/>
      <c r="E93" s="475"/>
      <c r="F93" s="475"/>
      <c r="G93" s="475"/>
      <c r="H93" s="475"/>
      <c r="I93" s="475"/>
      <c r="J93" s="475"/>
      <c r="K93" s="475"/>
      <c r="L93" s="475"/>
      <c r="M93" s="475"/>
      <c r="N93" s="475"/>
      <c r="O93" s="475"/>
      <c r="P93" s="475"/>
      <c r="Q93" s="475"/>
      <c r="R93" s="475"/>
    </row>
    <row r="94" spans="2:19" ht="28" x14ac:dyDescent="0.15">
      <c r="B94" s="332" t="str">
        <f>B6</f>
        <v>Hammersmith, Fulham, Kensington, Chelsea and Westminster</v>
      </c>
      <c r="C94" s="38" t="s">
        <v>814</v>
      </c>
      <c r="D94" s="38" t="s">
        <v>815</v>
      </c>
      <c r="E94" s="38" t="s">
        <v>816</v>
      </c>
      <c r="F94" s="38" t="s">
        <v>817</v>
      </c>
      <c r="G94" s="38" t="s">
        <v>818</v>
      </c>
      <c r="H94" s="38" t="s">
        <v>819</v>
      </c>
      <c r="I94" s="38" t="s">
        <v>820</v>
      </c>
      <c r="J94" s="38" t="s">
        <v>821</v>
      </c>
      <c r="K94" s="38" t="s">
        <v>822</v>
      </c>
      <c r="L94" s="38" t="s">
        <v>823</v>
      </c>
      <c r="M94" s="38" t="s">
        <v>824</v>
      </c>
      <c r="N94" s="38" t="s">
        <v>825</v>
      </c>
      <c r="O94" s="38" t="s">
        <v>826</v>
      </c>
      <c r="P94" s="38" t="s">
        <v>827</v>
      </c>
      <c r="Q94" s="38" t="s">
        <v>828</v>
      </c>
      <c r="R94" s="38" t="s">
        <v>829</v>
      </c>
    </row>
    <row r="95" spans="2:19" x14ac:dyDescent="0.15">
      <c r="B95" s="75" t="s">
        <v>941</v>
      </c>
      <c r="C95" s="66" t="e">
        <f t="shared" ref="C95:P95" si="0">C88/$S$88</f>
        <v>#DIV/0!</v>
      </c>
      <c r="D95" s="66" t="e">
        <f t="shared" si="0"/>
        <v>#DIV/0!</v>
      </c>
      <c r="E95" s="66" t="e">
        <f t="shared" si="0"/>
        <v>#DIV/0!</v>
      </c>
      <c r="F95" s="66" t="e">
        <f t="shared" si="0"/>
        <v>#DIV/0!</v>
      </c>
      <c r="G95" s="66" t="e">
        <f t="shared" si="0"/>
        <v>#DIV/0!</v>
      </c>
      <c r="H95" s="66" t="e">
        <f t="shared" si="0"/>
        <v>#DIV/0!</v>
      </c>
      <c r="I95" s="66" t="e">
        <f t="shared" si="0"/>
        <v>#DIV/0!</v>
      </c>
      <c r="J95" s="66" t="e">
        <f t="shared" si="0"/>
        <v>#DIV/0!</v>
      </c>
      <c r="K95" s="66" t="e">
        <f t="shared" si="0"/>
        <v>#DIV/0!</v>
      </c>
      <c r="L95" s="66" t="e">
        <f t="shared" si="0"/>
        <v>#DIV/0!</v>
      </c>
      <c r="M95" s="66" t="e">
        <f t="shared" si="0"/>
        <v>#DIV/0!</v>
      </c>
      <c r="N95" s="66" t="e">
        <f t="shared" si="0"/>
        <v>#DIV/0!</v>
      </c>
      <c r="O95" s="66" t="e">
        <f t="shared" si="0"/>
        <v>#DIV/0!</v>
      </c>
      <c r="P95" s="66" t="e">
        <f t="shared" si="0"/>
        <v>#DIV/0!</v>
      </c>
      <c r="Q95" s="66" t="e">
        <f t="shared" ref="Q95:R95" si="1">Q88/$S$88</f>
        <v>#DIV/0!</v>
      </c>
      <c r="R95" s="66" t="e">
        <f t="shared" si="1"/>
        <v>#DIV/0!</v>
      </c>
    </row>
    <row r="96" spans="2:19" x14ac:dyDescent="0.15">
      <c r="B96" s="75" t="s">
        <v>942</v>
      </c>
      <c r="C96" s="66" t="e">
        <f>C89/$S$88</f>
        <v>#DIV/0!</v>
      </c>
      <c r="D96" s="66" t="e">
        <f t="shared" ref="D96:P96" si="2">D89/$S$89</f>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ref="Q96:R96" si="3">Q89/$S$89</f>
        <v>#DIV/0!</v>
      </c>
      <c r="R96" s="66" t="e">
        <f t="shared" si="3"/>
        <v>#DIV/0!</v>
      </c>
    </row>
    <row r="97" spans="2:37" x14ac:dyDescent="0.15">
      <c r="B97" s="75" t="s">
        <v>943</v>
      </c>
      <c r="C97" s="66" t="e">
        <f>C90/$S$88</f>
        <v>#DIV/0!</v>
      </c>
      <c r="D97" s="66" t="e">
        <f t="shared" ref="D97:P97" si="4">D90/$S$90</f>
        <v>#DIV/0!</v>
      </c>
      <c r="E97" s="66" t="e">
        <f t="shared" si="4"/>
        <v>#DIV/0!</v>
      </c>
      <c r="F97" s="66" t="e">
        <f t="shared" si="4"/>
        <v>#DIV/0!</v>
      </c>
      <c r="G97" s="66" t="e">
        <f t="shared" si="4"/>
        <v>#DIV/0!</v>
      </c>
      <c r="H97" s="66" t="e">
        <f t="shared" si="4"/>
        <v>#DIV/0!</v>
      </c>
      <c r="I97" s="66" t="e">
        <f t="shared" si="4"/>
        <v>#DIV/0!</v>
      </c>
      <c r="J97" s="66" t="e">
        <f t="shared" si="4"/>
        <v>#DIV/0!</v>
      </c>
      <c r="K97" s="66" t="e">
        <f t="shared" si="4"/>
        <v>#DIV/0!</v>
      </c>
      <c r="L97" s="66" t="e">
        <f t="shared" si="4"/>
        <v>#DIV/0!</v>
      </c>
      <c r="M97" s="66" t="e">
        <f t="shared" si="4"/>
        <v>#DIV/0!</v>
      </c>
      <c r="N97" s="66" t="e">
        <f t="shared" si="4"/>
        <v>#DIV/0!</v>
      </c>
      <c r="O97" s="66" t="e">
        <f t="shared" si="4"/>
        <v>#DIV/0!</v>
      </c>
      <c r="P97" s="66" t="e">
        <f t="shared" si="4"/>
        <v>#DIV/0!</v>
      </c>
      <c r="Q97" s="66" t="e">
        <f t="shared" ref="Q97:R97" si="5">Q90/$S$90</f>
        <v>#DIV/0!</v>
      </c>
      <c r="R97" s="66" t="e">
        <f t="shared" si="5"/>
        <v>#DIV/0!</v>
      </c>
    </row>
    <row r="98" spans="2:37" x14ac:dyDescent="0.15">
      <c r="B98" s="110" t="s">
        <v>944</v>
      </c>
      <c r="C98" s="115" t="e">
        <f t="shared" ref="C98:P98" si="6">C91/$S$91</f>
        <v>#DIV/0!</v>
      </c>
      <c r="D98" s="115" t="e">
        <f t="shared" si="6"/>
        <v>#DIV/0!</v>
      </c>
      <c r="E98" s="115" t="e">
        <f t="shared" si="6"/>
        <v>#DIV/0!</v>
      </c>
      <c r="F98" s="115" t="e">
        <f t="shared" si="6"/>
        <v>#DIV/0!</v>
      </c>
      <c r="G98" s="115" t="e">
        <f t="shared" si="6"/>
        <v>#DIV/0!</v>
      </c>
      <c r="H98" s="115" t="e">
        <f t="shared" si="6"/>
        <v>#DIV/0!</v>
      </c>
      <c r="I98" s="115" t="e">
        <f t="shared" si="6"/>
        <v>#DIV/0!</v>
      </c>
      <c r="J98" s="115" t="e">
        <f t="shared" si="6"/>
        <v>#DIV/0!</v>
      </c>
      <c r="K98" s="115" t="e">
        <f t="shared" si="6"/>
        <v>#DIV/0!</v>
      </c>
      <c r="L98" s="115" t="e">
        <f t="shared" si="6"/>
        <v>#DIV/0!</v>
      </c>
      <c r="M98" s="115" t="e">
        <f t="shared" si="6"/>
        <v>#DIV/0!</v>
      </c>
      <c r="N98" s="115" t="e">
        <f t="shared" si="6"/>
        <v>#DIV/0!</v>
      </c>
      <c r="O98" s="115" t="e">
        <f t="shared" si="6"/>
        <v>#DIV/0!</v>
      </c>
      <c r="P98" s="115" t="e">
        <f t="shared" si="6"/>
        <v>#DIV/0!</v>
      </c>
      <c r="Q98" s="115" t="e">
        <f t="shared" ref="Q98:R98" si="7">Q91/$S$91</f>
        <v>#DIV/0!</v>
      </c>
      <c r="R98" s="115" t="e">
        <f t="shared" si="7"/>
        <v>#DIV/0!</v>
      </c>
    </row>
    <row r="99" spans="2:37" ht="30.75" customHeight="1" x14ac:dyDescent="0.15"/>
    <row r="102" spans="2:37" ht="29" x14ac:dyDescent="0.2">
      <c r="B102" s="332" t="str">
        <f>B6</f>
        <v>Hammersmith, Fulham, Kensington, Chelsea and Westminster</v>
      </c>
      <c r="C102" s="474" t="s">
        <v>948</v>
      </c>
      <c r="D102" s="475"/>
      <c r="E102" s="475"/>
      <c r="F102" s="475"/>
      <c r="G102" s="475"/>
      <c r="H102" s="475"/>
      <c r="I102" s="475"/>
      <c r="J102" s="475"/>
      <c r="K102" s="475"/>
      <c r="L102" s="475"/>
      <c r="M102" s="475"/>
      <c r="N102" s="475"/>
      <c r="O102" s="475"/>
      <c r="P102" s="475"/>
      <c r="Q102" s="475"/>
      <c r="R102" s="475"/>
      <c r="U102" s="114" t="str">
        <f>B6</f>
        <v>Hammersmith, Fulham, Kensington, Chelsea and Westminster</v>
      </c>
      <c r="V102" s="471" t="s">
        <v>1303</v>
      </c>
      <c r="W102" s="472"/>
      <c r="X102" s="472"/>
      <c r="Y102" s="472"/>
      <c r="Z102" s="472"/>
      <c r="AA102" s="472"/>
      <c r="AB102" s="472"/>
      <c r="AC102" s="472"/>
      <c r="AD102" s="472"/>
      <c r="AE102" s="472"/>
      <c r="AF102" s="472"/>
      <c r="AG102" s="472"/>
      <c r="AH102" s="472"/>
      <c r="AI102" s="472"/>
      <c r="AJ102" s="472"/>
      <c r="AK102" s="473"/>
    </row>
    <row r="103" spans="2:37" ht="15.75" customHeight="1" x14ac:dyDescent="0.15">
      <c r="B103" s="396"/>
      <c r="C103" s="38" t="s">
        <v>814</v>
      </c>
      <c r="D103" s="38" t="s">
        <v>815</v>
      </c>
      <c r="E103" s="38" t="s">
        <v>816</v>
      </c>
      <c r="F103" s="38" t="s">
        <v>817</v>
      </c>
      <c r="G103" s="38" t="s">
        <v>818</v>
      </c>
      <c r="H103" s="38" t="s">
        <v>819</v>
      </c>
      <c r="I103" s="38" t="s">
        <v>820</v>
      </c>
      <c r="J103" s="38" t="s">
        <v>821</v>
      </c>
      <c r="K103" s="38" t="s">
        <v>822</v>
      </c>
      <c r="L103" s="38" t="s">
        <v>823</v>
      </c>
      <c r="M103" s="38" t="s">
        <v>824</v>
      </c>
      <c r="N103" s="38" t="s">
        <v>825</v>
      </c>
      <c r="O103" s="38" t="s">
        <v>826</v>
      </c>
      <c r="P103" s="38" t="s">
        <v>827</v>
      </c>
      <c r="Q103" s="38" t="s">
        <v>828</v>
      </c>
      <c r="R103" s="38" t="s">
        <v>829</v>
      </c>
      <c r="U103" s="95" t="s">
        <v>951</v>
      </c>
      <c r="V103" s="38" t="s">
        <v>814</v>
      </c>
      <c r="W103" s="38" t="s">
        <v>815</v>
      </c>
      <c r="X103" s="38" t="s">
        <v>816</v>
      </c>
      <c r="Y103" s="38" t="s">
        <v>817</v>
      </c>
      <c r="Z103" s="38" t="s">
        <v>818</v>
      </c>
      <c r="AA103" s="38" t="s">
        <v>819</v>
      </c>
      <c r="AB103" s="38" t="s">
        <v>820</v>
      </c>
      <c r="AC103" s="38" t="s">
        <v>821</v>
      </c>
      <c r="AD103" s="38" t="s">
        <v>822</v>
      </c>
      <c r="AE103" s="38" t="s">
        <v>823</v>
      </c>
      <c r="AF103" s="38" t="s">
        <v>824</v>
      </c>
      <c r="AG103" s="38" t="s">
        <v>825</v>
      </c>
      <c r="AH103" s="38" t="s">
        <v>826</v>
      </c>
      <c r="AI103" s="38" t="s">
        <v>827</v>
      </c>
      <c r="AJ103" s="38" t="s">
        <v>828</v>
      </c>
      <c r="AK103" s="38" t="s">
        <v>829</v>
      </c>
    </row>
    <row r="104" spans="2:37" ht="14.25" customHeight="1" x14ac:dyDescent="0.15">
      <c r="B104" s="75" t="s">
        <v>947</v>
      </c>
      <c r="C104" s="75">
        <f>SUMIFS('caseload data'!E:E,'caseload data'!$D:$D,"PO",'caseload data'!$C:$C,'cluster overview'!$B$102,'caseload data'!$B:$B,"community")</f>
        <v>0</v>
      </c>
      <c r="D104" s="75">
        <f>SUMIFS('caseload data'!F:F,'caseload data'!$D:$D,"PO",'caseload data'!$C:$C,'cluster overview'!$B$102,'caseload data'!$B:$B,"community")</f>
        <v>0</v>
      </c>
      <c r="E104" s="75">
        <f>SUMIFS('caseload data'!G:G,'caseload data'!$D:$D,"PO",'caseload data'!$C:$C,'cluster overview'!$B$102,'caseload data'!$B:$B,"community")</f>
        <v>0</v>
      </c>
      <c r="F104" s="75">
        <f>SUMIFS('caseload data'!H:H,'caseload data'!$D:$D,"PO",'caseload data'!$C:$C,'cluster overview'!$B$102,'caseload data'!$B:$B,"community")</f>
        <v>0</v>
      </c>
      <c r="G104" s="75">
        <f>SUMIFS('caseload data'!I:I,'caseload data'!$D:$D,"PO",'caseload data'!$C:$C,'cluster overview'!$B$102,'caseload data'!$B:$B,"community")</f>
        <v>0</v>
      </c>
      <c r="H104" s="75">
        <f>SUMIFS('caseload data'!J:J,'caseload data'!$D:$D,"PO",'caseload data'!$C:$C,'cluster overview'!$B$102,'caseload data'!$B:$B,"community")</f>
        <v>0</v>
      </c>
      <c r="I104" s="75">
        <f>SUMIFS('caseload data'!K:K,'caseload data'!$D:$D,"PO",'caseload data'!$C:$C,'cluster overview'!$B$102,'caseload data'!$B:$B,"community")</f>
        <v>0</v>
      </c>
      <c r="J104" s="75">
        <f>SUMIFS('caseload data'!L:L,'caseload data'!$D:$D,"PO",'caseload data'!$C:$C,'cluster overview'!$B$102,'caseload data'!$B:$B,"community")</f>
        <v>0</v>
      </c>
      <c r="K104" s="75">
        <f>SUMIFS('caseload data'!M:M,'caseload data'!$D:$D,"PO",'caseload data'!$C:$C,'cluster overview'!$B$102,'caseload data'!$B:$B,"community")</f>
        <v>0</v>
      </c>
      <c r="L104" s="75">
        <f>SUMIFS('caseload data'!N:N,'caseload data'!$D:$D,"PO",'caseload data'!$C:$C,'cluster overview'!$B$102,'caseload data'!$B:$B,"community")</f>
        <v>0</v>
      </c>
      <c r="M104" s="75">
        <f>SUMIFS('caseload data'!O:O,'caseload data'!$D:$D,"PO",'caseload data'!$C:$C,'cluster overview'!$B$102,'caseload data'!$B:$B,"community")</f>
        <v>0</v>
      </c>
      <c r="N104" s="75">
        <f>SUMIFS('caseload data'!P:P,'caseload data'!$D:$D,"PO",'caseload data'!$C:$C,'cluster overview'!$B$102,'caseload data'!$B:$B,"community")</f>
        <v>0</v>
      </c>
      <c r="O104" s="75">
        <f>SUMIFS('caseload data'!Q:Q,'caseload data'!$D:$D,"PO",'caseload data'!$C:$C,'cluster overview'!$B$102,'caseload data'!$B:$B,"community")</f>
        <v>0</v>
      </c>
      <c r="P104" s="75">
        <f>SUMIFS('caseload data'!R:R,'caseload data'!$D:$D,"PO",'caseload data'!$C:$C,'cluster overview'!$B$102,'caseload data'!$B:$B,"community")</f>
        <v>0</v>
      </c>
      <c r="Q104" s="75">
        <f>SUMIFS('caseload data'!S:S,'caseload data'!$D:$D,"PO",'caseload data'!$C:$C,'cluster overview'!$B$102,'caseload data'!$B:$B,"community")</f>
        <v>0</v>
      </c>
      <c r="R104" s="75">
        <f>SUMIFS('caseload data'!T:T,'caseload data'!$D:$D,"PO",'caseload data'!$C:$C,'cluster overview'!$B$102,'caseload data'!$B:$B,"community")</f>
        <v>0</v>
      </c>
      <c r="U104" s="75" t="s">
        <v>947</v>
      </c>
      <c r="V104" s="67" t="str">
        <f>IFERROR(C$104/SUM(C$104:C$107),"")</f>
        <v/>
      </c>
      <c r="W104" s="67" t="str">
        <f>IFERROR(D$104/SUM(D$104:D$107),"")</f>
        <v/>
      </c>
      <c r="X104" s="67" t="str">
        <f t="shared" ref="X104:AK104" si="8">IFERROR(E$104/SUM(E$104:E$107),"")</f>
        <v/>
      </c>
      <c r="Y104" s="67" t="str">
        <f t="shared" si="8"/>
        <v/>
      </c>
      <c r="Z104" s="67" t="str">
        <f t="shared" si="8"/>
        <v/>
      </c>
      <c r="AA104" s="67" t="str">
        <f t="shared" si="8"/>
        <v/>
      </c>
      <c r="AB104" s="67" t="str">
        <f t="shared" si="8"/>
        <v/>
      </c>
      <c r="AC104" s="67" t="str">
        <f t="shared" si="8"/>
        <v/>
      </c>
      <c r="AD104" s="67" t="str">
        <f t="shared" si="8"/>
        <v/>
      </c>
      <c r="AE104" s="67" t="str">
        <f t="shared" si="8"/>
        <v/>
      </c>
      <c r="AF104" s="67" t="str">
        <f t="shared" si="8"/>
        <v/>
      </c>
      <c r="AG104" s="67" t="str">
        <f t="shared" si="8"/>
        <v/>
      </c>
      <c r="AH104" s="67" t="str">
        <f t="shared" si="8"/>
        <v/>
      </c>
      <c r="AI104" s="67" t="str">
        <f t="shared" si="8"/>
        <v/>
      </c>
      <c r="AJ104" s="67" t="str">
        <f t="shared" si="8"/>
        <v/>
      </c>
      <c r="AK104" s="67" t="str">
        <f t="shared" si="8"/>
        <v/>
      </c>
    </row>
    <row r="105" spans="2:37" ht="14.25" customHeight="1" x14ac:dyDescent="0.15">
      <c r="B105" s="75" t="s">
        <v>952</v>
      </c>
      <c r="C105" s="75">
        <f>SUMIFS('caseload data'!E:E,'caseload data'!$D:$D,"PSO",'caseload data'!$C:$C,'cluster overview'!$B$102,'caseload data'!$B:$B,"community")</f>
        <v>0</v>
      </c>
      <c r="D105" s="75">
        <f>SUMIFS('caseload data'!F:F,'caseload data'!$D:$D,"PSO",'caseload data'!$C:$C,'cluster overview'!$B$102,'caseload data'!$B:$B,"community")</f>
        <v>0</v>
      </c>
      <c r="E105" s="75">
        <f>SUMIFS('caseload data'!G:G,'caseload data'!$D:$D,"PSO",'caseload data'!$C:$C,'cluster overview'!$B$102,'caseload data'!$B:$B,"community")</f>
        <v>0</v>
      </c>
      <c r="F105" s="75">
        <f>SUMIFS('caseload data'!H:H,'caseload data'!$D:$D,"PSO",'caseload data'!$C:$C,'cluster overview'!$B$102,'caseload data'!$B:$B,"community")</f>
        <v>0</v>
      </c>
      <c r="G105" s="75">
        <f>SUMIFS('caseload data'!I:I,'caseload data'!$D:$D,"PSO",'caseload data'!$C:$C,'cluster overview'!$B$102,'caseload data'!$B:$B,"community")</f>
        <v>0</v>
      </c>
      <c r="H105" s="75">
        <f>SUMIFS('caseload data'!J:J,'caseload data'!$D:$D,"PSO",'caseload data'!$C:$C,'cluster overview'!$B$102,'caseload data'!$B:$B,"community")</f>
        <v>0</v>
      </c>
      <c r="I105" s="75">
        <f>SUMIFS('caseload data'!K:K,'caseload data'!$D:$D,"PSO",'caseload data'!$C:$C,'cluster overview'!$B$102,'caseload data'!$B:$B,"community")</f>
        <v>0</v>
      </c>
      <c r="J105" s="75">
        <f>SUMIFS('caseload data'!L:L,'caseload data'!$D:$D,"PSO",'caseload data'!$C:$C,'cluster overview'!$B$102,'caseload data'!$B:$B,"community")</f>
        <v>0</v>
      </c>
      <c r="K105" s="75">
        <f>SUMIFS('caseload data'!M:M,'caseload data'!$D:$D,"PSO",'caseload data'!$C:$C,'cluster overview'!$B$102,'caseload data'!$B:$B,"community")</f>
        <v>0</v>
      </c>
      <c r="L105" s="75">
        <f>SUMIFS('caseload data'!N:N,'caseload data'!$D:$D,"PSO",'caseload data'!$C:$C,'cluster overview'!$B$102,'caseload data'!$B:$B,"community")</f>
        <v>0</v>
      </c>
      <c r="M105" s="75">
        <f>SUMIFS('caseload data'!O:O,'caseload data'!$D:$D,"PSO",'caseload data'!$C:$C,'cluster overview'!$B$102,'caseload data'!$B:$B,"community")</f>
        <v>0</v>
      </c>
      <c r="N105" s="75">
        <f>SUMIFS('caseload data'!P:P,'caseload data'!$D:$D,"PSO",'caseload data'!$C:$C,'cluster overview'!$B$102,'caseload data'!$B:$B,"community")</f>
        <v>0</v>
      </c>
      <c r="O105" s="75">
        <f>SUMIFS('caseload data'!Q:Q,'caseload data'!$D:$D,"PSO",'caseload data'!$C:$C,'cluster overview'!$B$102,'caseload data'!$B:$B,"community")</f>
        <v>0</v>
      </c>
      <c r="P105" s="75">
        <f>SUMIFS('caseload data'!R:R,'caseload data'!$D:$D,"PSO",'caseload data'!$C:$C,'cluster overview'!$B$102,'caseload data'!$B:$B,"community")</f>
        <v>0</v>
      </c>
      <c r="Q105" s="75">
        <f>SUMIFS('caseload data'!S:S,'caseload data'!$D:$D,"PSO",'caseload data'!$C:$C,'cluster overview'!$B$102,'caseload data'!$B:$B,"community")</f>
        <v>0</v>
      </c>
      <c r="R105" s="75">
        <f>SUMIFS('caseload data'!T:T,'caseload data'!$D:$D,"PSO",'caseload data'!$C:$C,'cluster overview'!$B$102,'caseload data'!$B:$B,"community")</f>
        <v>0</v>
      </c>
      <c r="U105" s="75" t="s">
        <v>952</v>
      </c>
      <c r="V105" s="67" t="str">
        <f>IFERROR(C$105/SUM(C$104:C$107),"")</f>
        <v/>
      </c>
      <c r="W105" s="67" t="str">
        <f>IFERROR(D$105/SUM(D$104:D$107),"")</f>
        <v/>
      </c>
      <c r="X105" s="67" t="str">
        <f t="shared" ref="X105:AK105" si="9">IFERROR(E$105/SUM(E$104:E$107),"")</f>
        <v/>
      </c>
      <c r="Y105" s="67" t="str">
        <f t="shared" si="9"/>
        <v/>
      </c>
      <c r="Z105" s="67" t="str">
        <f t="shared" si="9"/>
        <v/>
      </c>
      <c r="AA105" s="67" t="str">
        <f t="shared" si="9"/>
        <v/>
      </c>
      <c r="AB105" s="67" t="str">
        <f t="shared" si="9"/>
        <v/>
      </c>
      <c r="AC105" s="67" t="str">
        <f t="shared" si="9"/>
        <v/>
      </c>
      <c r="AD105" s="67" t="str">
        <f t="shared" si="9"/>
        <v/>
      </c>
      <c r="AE105" s="67" t="str">
        <f t="shared" si="9"/>
        <v/>
      </c>
      <c r="AF105" s="67" t="str">
        <f t="shared" si="9"/>
        <v/>
      </c>
      <c r="AG105" s="67" t="str">
        <f t="shared" si="9"/>
        <v/>
      </c>
      <c r="AH105" s="67" t="str">
        <f t="shared" si="9"/>
        <v/>
      </c>
      <c r="AI105" s="67" t="str">
        <f t="shared" si="9"/>
        <v/>
      </c>
      <c r="AJ105" s="67" t="str">
        <f t="shared" si="9"/>
        <v/>
      </c>
      <c r="AK105" s="67" t="str">
        <f t="shared" si="9"/>
        <v/>
      </c>
    </row>
    <row r="106" spans="2:37" ht="14.25" customHeight="1" x14ac:dyDescent="0.15">
      <c r="B106" s="75" t="s">
        <v>953</v>
      </c>
      <c r="C106" s="75">
        <f>SUMIFS('caseload data'!E:E,'caseload data'!$D:$D,"TPO",'caseload data'!$C:$C,'cluster overview'!$B$102,'caseload data'!$B:$B,"community")</f>
        <v>0</v>
      </c>
      <c r="D106" s="75">
        <f>SUMIFS('caseload data'!F:F,'caseload data'!$D:$D,"TPO",'caseload data'!$C:$C,'cluster overview'!$B$102,'caseload data'!$B:$B,"community")</f>
        <v>0</v>
      </c>
      <c r="E106" s="75">
        <f>SUMIFS('caseload data'!G:G,'caseload data'!$D:$D,"TPO",'caseload data'!$C:$C,'cluster overview'!$B$102,'caseload data'!$B:$B,"community")</f>
        <v>0</v>
      </c>
      <c r="F106" s="75">
        <f>SUMIFS('caseload data'!H:H,'caseload data'!$D:$D,"TPO",'caseload data'!$C:$C,'cluster overview'!$B$102,'caseload data'!$B:$B,"community")</f>
        <v>0</v>
      </c>
      <c r="G106" s="75">
        <f>SUMIFS('caseload data'!I:I,'caseload data'!$D:$D,"TPO",'caseload data'!$C:$C,'cluster overview'!$B$102,'caseload data'!$B:$B,"community")</f>
        <v>0</v>
      </c>
      <c r="H106" s="75">
        <f>SUMIFS('caseload data'!J:J,'caseload data'!$D:$D,"TPO",'caseload data'!$C:$C,'cluster overview'!$B$102,'caseload data'!$B:$B,"community")</f>
        <v>0</v>
      </c>
      <c r="I106" s="75">
        <f>SUMIFS('caseload data'!K:K,'caseload data'!$D:$D,"TPO",'caseload data'!$C:$C,'cluster overview'!$B$102,'caseload data'!$B:$B,"community")</f>
        <v>0</v>
      </c>
      <c r="J106" s="75">
        <f>SUMIFS('caseload data'!L:L,'caseload data'!$D:$D,"TPO",'caseload data'!$C:$C,'cluster overview'!$B$102,'caseload data'!$B:$B,"community")</f>
        <v>0</v>
      </c>
      <c r="K106" s="75">
        <f>SUMIFS('caseload data'!M:M,'caseload data'!$D:$D,"TPO",'caseload data'!$C:$C,'cluster overview'!$B$102,'caseload data'!$B:$B,"community")</f>
        <v>0</v>
      </c>
      <c r="L106" s="75">
        <f>SUMIFS('caseload data'!N:N,'caseload data'!$D:$D,"TPO",'caseload data'!$C:$C,'cluster overview'!$B$102,'caseload data'!$B:$B,"community")</f>
        <v>0</v>
      </c>
      <c r="M106" s="75">
        <f>SUMIFS('caseload data'!O:O,'caseload data'!$D:$D,"TPO",'caseload data'!$C:$C,'cluster overview'!$B$102,'caseload data'!$B:$B,"community")</f>
        <v>0</v>
      </c>
      <c r="N106" s="75">
        <f>SUMIFS('caseload data'!P:P,'caseload data'!$D:$D,"TPO",'caseload data'!$C:$C,'cluster overview'!$B$102,'caseload data'!$B:$B,"community")</f>
        <v>0</v>
      </c>
      <c r="O106" s="75">
        <f>SUMIFS('caseload data'!Q:Q,'caseload data'!$D:$D,"TPO",'caseload data'!$C:$C,'cluster overview'!$B$102,'caseload data'!$B:$B,"community")</f>
        <v>0</v>
      </c>
      <c r="P106" s="75">
        <f>SUMIFS('caseload data'!R:R,'caseload data'!$D:$D,"TPO",'caseload data'!$C:$C,'cluster overview'!$B$102,'caseload data'!$B:$B,"community")</f>
        <v>0</v>
      </c>
      <c r="Q106" s="75">
        <f>SUMIFS('caseload data'!S:S,'caseload data'!$D:$D,"TPO",'caseload data'!$C:$C,'cluster overview'!$B$102,'caseload data'!$B:$B,"community")</f>
        <v>0</v>
      </c>
      <c r="R106" s="75">
        <f>SUMIFS('caseload data'!T:T,'caseload data'!$D:$D,"TPO",'caseload data'!$C:$C,'cluster overview'!$B$102,'caseload data'!$B:$B,"community")</f>
        <v>0</v>
      </c>
      <c r="U106" s="75" t="s">
        <v>953</v>
      </c>
      <c r="V106" s="67" t="str">
        <f>IFERROR(C$106/SUM(C$104:C$107),"")</f>
        <v/>
      </c>
      <c r="W106" s="67" t="str">
        <f>IFERROR(D$106/SUM(D$104:D$107),"")</f>
        <v/>
      </c>
      <c r="X106" s="67" t="str">
        <f t="shared" ref="X106:AK106" si="10">IFERROR(E$106/SUM(E$104:E$107),"")</f>
        <v/>
      </c>
      <c r="Y106" s="67" t="str">
        <f t="shared" si="10"/>
        <v/>
      </c>
      <c r="Z106" s="67" t="str">
        <f t="shared" si="10"/>
        <v/>
      </c>
      <c r="AA106" s="67" t="str">
        <f t="shared" si="10"/>
        <v/>
      </c>
      <c r="AB106" s="67" t="str">
        <f t="shared" si="10"/>
        <v/>
      </c>
      <c r="AC106" s="67" t="str">
        <f t="shared" si="10"/>
        <v/>
      </c>
      <c r="AD106" s="67" t="str">
        <f t="shared" si="10"/>
        <v/>
      </c>
      <c r="AE106" s="67" t="str">
        <f t="shared" si="10"/>
        <v/>
      </c>
      <c r="AF106" s="67" t="str">
        <f t="shared" si="10"/>
        <v/>
      </c>
      <c r="AG106" s="67" t="str">
        <f t="shared" si="10"/>
        <v/>
      </c>
      <c r="AH106" s="67" t="str">
        <f t="shared" si="10"/>
        <v/>
      </c>
      <c r="AI106" s="67" t="str">
        <f t="shared" si="10"/>
        <v/>
      </c>
      <c r="AJ106" s="67" t="str">
        <f t="shared" si="10"/>
        <v/>
      </c>
      <c r="AK106" s="67" t="str">
        <f t="shared" si="10"/>
        <v/>
      </c>
    </row>
    <row r="107" spans="2:37" ht="14.25" customHeight="1" x14ac:dyDescent="0.15">
      <c r="B107" s="75" t="s">
        <v>954</v>
      </c>
      <c r="C107" s="75">
        <f>SUMIFS('caseload data'!E:E,'caseload data'!$D:$D,"SPO",'caseload data'!$C:$C,'cluster overview'!$B$102,'caseload data'!$B:$B,"community")</f>
        <v>0</v>
      </c>
      <c r="D107" s="75">
        <f>SUMIFS('caseload data'!F:F,'caseload data'!$D:$D,"SPO",'caseload data'!$C:$C,'cluster overview'!$B$102,'caseload data'!$B:$B,"community")</f>
        <v>0</v>
      </c>
      <c r="E107" s="75">
        <f>SUMIFS('caseload data'!G:G,'caseload data'!$D:$D,"SPO",'caseload data'!$C:$C,'cluster overview'!$B$102,'caseload data'!$B:$B,"community")</f>
        <v>0</v>
      </c>
      <c r="F107" s="75">
        <f>SUMIFS('caseload data'!H:H,'caseload data'!$D:$D,"SPO",'caseload data'!$C:$C,'cluster overview'!$B$102,'caseload data'!$B:$B,"community")</f>
        <v>0</v>
      </c>
      <c r="G107" s="75">
        <f>SUMIFS('caseload data'!I:I,'caseload data'!$D:$D,"SPO",'caseload data'!$C:$C,'cluster overview'!$B$102,'caseload data'!$B:$B,"community")</f>
        <v>0</v>
      </c>
      <c r="H107" s="75">
        <f>SUMIFS('caseload data'!J:J,'caseload data'!$D:$D,"SPO",'caseload data'!$C:$C,'cluster overview'!$B$102,'caseload data'!$B:$B,"community")</f>
        <v>0</v>
      </c>
      <c r="I107" s="75">
        <f>SUMIFS('caseload data'!K:K,'caseload data'!$D:$D,"SPO",'caseload data'!$C:$C,'cluster overview'!$B$102,'caseload data'!$B:$B,"community")</f>
        <v>0</v>
      </c>
      <c r="J107" s="75">
        <f>SUMIFS('caseload data'!L:L,'caseload data'!$D:$D,"SPO",'caseload data'!$C:$C,'cluster overview'!$B$102,'caseload data'!$B:$B,"community")</f>
        <v>0</v>
      </c>
      <c r="K107" s="75">
        <f>SUMIFS('caseload data'!M:M,'caseload data'!$D:$D,"SPO",'caseload data'!$C:$C,'cluster overview'!$B$102,'caseload data'!$B:$B,"community")</f>
        <v>0</v>
      </c>
      <c r="L107" s="75">
        <f>SUMIFS('caseload data'!N:N,'caseload data'!$D:$D,"SPO",'caseload data'!$C:$C,'cluster overview'!$B$102,'caseload data'!$B:$B,"community")</f>
        <v>0</v>
      </c>
      <c r="M107" s="75">
        <f>SUMIFS('caseload data'!O:O,'caseload data'!$D:$D,"SPO",'caseload data'!$C:$C,'cluster overview'!$B$102,'caseload data'!$B:$B,"community")</f>
        <v>0</v>
      </c>
      <c r="N107" s="75">
        <f>SUMIFS('caseload data'!P:P,'caseload data'!$D:$D,"SPO",'caseload data'!$C:$C,'cluster overview'!$B$102,'caseload data'!$B:$B,"community")</f>
        <v>0</v>
      </c>
      <c r="O107" s="75">
        <f>SUMIFS('caseload data'!Q:Q,'caseload data'!$D:$D,"SPO",'caseload data'!$C:$C,'cluster overview'!$B$102,'caseload data'!$B:$B,"community")</f>
        <v>0</v>
      </c>
      <c r="P107" s="75">
        <f>SUMIFS('caseload data'!R:R,'caseload data'!$D:$D,"SPO",'caseload data'!$C:$C,'cluster overview'!$B$102,'caseload data'!$B:$B,"community")</f>
        <v>0</v>
      </c>
      <c r="Q107" s="75">
        <f>SUMIFS('caseload data'!S:S,'caseload data'!$D:$D,"SPO",'caseload data'!$C:$C,'cluster overview'!$B$102,'caseload data'!$B:$B,"community")</f>
        <v>0</v>
      </c>
      <c r="R107" s="75">
        <f>SUMIFS('caseload data'!T:T,'caseload data'!$D:$D,"SPO",'caseload data'!$C:$C,'cluster overview'!$B$102,'caseload data'!$B:$B,"community")</f>
        <v>0</v>
      </c>
      <c r="U107" s="75" t="s">
        <v>954</v>
      </c>
      <c r="V107" s="67" t="str">
        <f>IFERROR(C$107/SUM(C$104:C$107),"")</f>
        <v/>
      </c>
      <c r="W107" s="67" t="str">
        <f>IFERROR(D$107/SUM(D$104:D$107),"")</f>
        <v/>
      </c>
      <c r="X107" s="67" t="str">
        <f t="shared" ref="X107:AK107" si="11">IFERROR(E$107/SUM(E$104:E$107),"")</f>
        <v/>
      </c>
      <c r="Y107" s="67" t="str">
        <f t="shared" si="11"/>
        <v/>
      </c>
      <c r="Z107" s="67" t="str">
        <f t="shared" si="11"/>
        <v/>
      </c>
      <c r="AA107" s="67" t="str">
        <f t="shared" si="11"/>
        <v/>
      </c>
      <c r="AB107" s="67" t="str">
        <f t="shared" si="11"/>
        <v/>
      </c>
      <c r="AC107" s="67" t="str">
        <f t="shared" si="11"/>
        <v/>
      </c>
      <c r="AD107" s="67" t="str">
        <f t="shared" si="11"/>
        <v/>
      </c>
      <c r="AE107" s="67" t="str">
        <f t="shared" si="11"/>
        <v/>
      </c>
      <c r="AF107" s="67" t="str">
        <f t="shared" si="11"/>
        <v/>
      </c>
      <c r="AG107" s="67" t="str">
        <f t="shared" si="11"/>
        <v/>
      </c>
      <c r="AH107" s="67" t="str">
        <f t="shared" si="11"/>
        <v/>
      </c>
      <c r="AI107" s="67" t="str">
        <f t="shared" si="11"/>
        <v/>
      </c>
      <c r="AJ107" s="67" t="str">
        <f t="shared" si="11"/>
        <v/>
      </c>
      <c r="AK107" s="67" t="str">
        <f t="shared" si="11"/>
        <v/>
      </c>
    </row>
    <row r="108" spans="2:37" ht="32.25" customHeight="1" x14ac:dyDescent="0.15">
      <c r="B108" s="21"/>
    </row>
    <row r="109" spans="2:37" ht="14.25" customHeight="1" x14ac:dyDescent="0.2">
      <c r="B109" s="332" t="str">
        <f>B6</f>
        <v>Hammersmith, Fulham, Kensington, Chelsea and Westminster</v>
      </c>
      <c r="C109" s="474" t="s">
        <v>955</v>
      </c>
      <c r="D109" s="475"/>
      <c r="E109" s="475"/>
      <c r="F109" s="475"/>
      <c r="G109" s="475"/>
      <c r="H109" s="475"/>
      <c r="I109" s="475"/>
      <c r="J109" s="475"/>
      <c r="K109" s="475"/>
      <c r="L109" s="475"/>
      <c r="M109" s="475"/>
      <c r="N109" s="475"/>
      <c r="O109" s="475"/>
      <c r="P109" s="475"/>
      <c r="Q109" s="475"/>
      <c r="R109" s="475"/>
      <c r="U109" s="114" t="str">
        <f>B6</f>
        <v>Hammersmith, Fulham, Kensington, Chelsea and Westminster</v>
      </c>
      <c r="V109" s="471" t="s">
        <v>1304</v>
      </c>
      <c r="W109" s="472"/>
      <c r="X109" s="472"/>
      <c r="Y109" s="472"/>
      <c r="Z109" s="472"/>
      <c r="AA109" s="472"/>
      <c r="AB109" s="472"/>
      <c r="AC109" s="472"/>
      <c r="AD109" s="472"/>
      <c r="AE109" s="472"/>
      <c r="AF109" s="472"/>
      <c r="AG109" s="472"/>
      <c r="AH109" s="472"/>
      <c r="AI109" s="472"/>
      <c r="AJ109" s="472"/>
      <c r="AK109" s="473"/>
    </row>
    <row r="110" spans="2:37" ht="14.25" customHeight="1" x14ac:dyDescent="0.15">
      <c r="B110" s="95" t="s">
        <v>950</v>
      </c>
      <c r="C110" s="38" t="s">
        <v>814</v>
      </c>
      <c r="D110" s="38" t="s">
        <v>815</v>
      </c>
      <c r="E110" s="38" t="s">
        <v>816</v>
      </c>
      <c r="F110" s="38" t="s">
        <v>817</v>
      </c>
      <c r="G110" s="38" t="s">
        <v>818</v>
      </c>
      <c r="H110" s="38" t="s">
        <v>819</v>
      </c>
      <c r="I110" s="38" t="s">
        <v>820</v>
      </c>
      <c r="J110" s="38" t="s">
        <v>821</v>
      </c>
      <c r="K110" s="38" t="s">
        <v>822</v>
      </c>
      <c r="L110" s="38" t="s">
        <v>823</v>
      </c>
      <c r="M110" s="38" t="s">
        <v>824</v>
      </c>
      <c r="N110" s="38" t="s">
        <v>825</v>
      </c>
      <c r="O110" s="38" t="s">
        <v>826</v>
      </c>
      <c r="P110" s="38" t="s">
        <v>827</v>
      </c>
      <c r="Q110" s="38" t="s">
        <v>828</v>
      </c>
      <c r="R110" s="38" t="s">
        <v>829</v>
      </c>
      <c r="U110" s="95" t="s">
        <v>951</v>
      </c>
      <c r="V110" s="38" t="s">
        <v>814</v>
      </c>
      <c r="W110" s="38" t="s">
        <v>815</v>
      </c>
      <c r="X110" s="38" t="s">
        <v>816</v>
      </c>
      <c r="Y110" s="38" t="s">
        <v>817</v>
      </c>
      <c r="Z110" s="38" t="s">
        <v>818</v>
      </c>
      <c r="AA110" s="38" t="s">
        <v>819</v>
      </c>
      <c r="AB110" s="38" t="s">
        <v>820</v>
      </c>
      <c r="AC110" s="38" t="s">
        <v>821</v>
      </c>
      <c r="AD110" s="38" t="s">
        <v>822</v>
      </c>
      <c r="AE110" s="38" t="s">
        <v>823</v>
      </c>
      <c r="AF110" s="38" t="s">
        <v>824</v>
      </c>
      <c r="AG110" s="38" t="s">
        <v>825</v>
      </c>
      <c r="AH110" s="38" t="s">
        <v>826</v>
      </c>
      <c r="AI110" s="38" t="s">
        <v>827</v>
      </c>
      <c r="AJ110" s="38" t="s">
        <v>828</v>
      </c>
      <c r="AK110" s="38" t="s">
        <v>829</v>
      </c>
    </row>
    <row r="111" spans="2:37" ht="14.25" customHeight="1" x14ac:dyDescent="0.15">
      <c r="B111" s="75" t="s">
        <v>947</v>
      </c>
      <c r="C111" s="75">
        <f>SUMIFS('caseload data'!E:E,'caseload data'!$D:$D,"PO",'caseload data'!$C:$C,'cluster overview'!$B$102,'caseload data'!$B:$B,"licence")</f>
        <v>0</v>
      </c>
      <c r="D111" s="75">
        <f>SUMIFS('caseload data'!F:F,'caseload data'!$D:$D,"PO",'caseload data'!$C:$C,'cluster overview'!$B$102,'caseload data'!$B:$B,"licence")</f>
        <v>0</v>
      </c>
      <c r="E111" s="75">
        <f>SUMIFS('caseload data'!G:G,'caseload data'!$D:$D,"PO",'caseload data'!$C:$C,'cluster overview'!$B$102,'caseload data'!$B:$B,"licence")</f>
        <v>0</v>
      </c>
      <c r="F111" s="75">
        <f>SUMIFS('caseload data'!H:H,'caseload data'!$D:$D,"PO",'caseload data'!$C:$C,'cluster overview'!$B$102,'caseload data'!$B:$B,"licence")</f>
        <v>0</v>
      </c>
      <c r="G111" s="75">
        <f>SUMIFS('caseload data'!I:I,'caseload data'!$D:$D,"PO",'caseload data'!$C:$C,'cluster overview'!$B$102,'caseload data'!$B:$B,"licence")</f>
        <v>0</v>
      </c>
      <c r="H111" s="75">
        <f>SUMIFS('caseload data'!J:J,'caseload data'!$D:$D,"PO",'caseload data'!$C:$C,'cluster overview'!$B$102,'caseload data'!$B:$B,"licence")</f>
        <v>0</v>
      </c>
      <c r="I111" s="75">
        <f>SUMIFS('caseload data'!K:K,'caseload data'!$D:$D,"PO",'caseload data'!$C:$C,'cluster overview'!$B$102,'caseload data'!$B:$B,"licence")</f>
        <v>0</v>
      </c>
      <c r="J111" s="75">
        <f>SUMIFS('caseload data'!L:L,'caseload data'!$D:$D,"PO",'caseload data'!$C:$C,'cluster overview'!$B$102,'caseload data'!$B:$B,"licence")</f>
        <v>0</v>
      </c>
      <c r="K111" s="75">
        <f>SUMIFS('caseload data'!M:M,'caseload data'!$D:$D,"PO",'caseload data'!$C:$C,'cluster overview'!$B$102,'caseload data'!$B:$B,"licence")</f>
        <v>0</v>
      </c>
      <c r="L111" s="75">
        <f>SUMIFS('caseload data'!N:N,'caseload data'!$D:$D,"PO",'caseload data'!$C:$C,'cluster overview'!$B$102,'caseload data'!$B:$B,"licence")</f>
        <v>0</v>
      </c>
      <c r="M111" s="75">
        <f>SUMIFS('caseload data'!O:O,'caseload data'!$D:$D,"PO",'caseload data'!$C:$C,'cluster overview'!$B$102,'caseload data'!$B:$B,"licence")</f>
        <v>0</v>
      </c>
      <c r="N111" s="75">
        <f>SUMIFS('caseload data'!P:P,'caseload data'!$D:$D,"PO",'caseload data'!$C:$C,'cluster overview'!$B$102,'caseload data'!$B:$B,"licence")</f>
        <v>0</v>
      </c>
      <c r="O111" s="75">
        <f>SUMIFS('caseload data'!Q:Q,'caseload data'!$D:$D,"PO",'caseload data'!$C:$C,'cluster overview'!$B$102,'caseload data'!$B:$B,"licence")</f>
        <v>0</v>
      </c>
      <c r="P111" s="75">
        <f>SUMIFS('caseload data'!R:R,'caseload data'!$D:$D,"PO",'caseload data'!$C:$C,'cluster overview'!$B$102,'caseload data'!$B:$B,"licence")</f>
        <v>0</v>
      </c>
      <c r="Q111" s="75">
        <f>SUMIFS('caseload data'!S:S,'caseload data'!$D:$D,"PO",'caseload data'!$C:$C,'cluster overview'!$B$102,'caseload data'!$B:$B,"licence")</f>
        <v>0</v>
      </c>
      <c r="R111" s="75">
        <f>SUMIFS('caseload data'!T:T,'caseload data'!$D:$D,"PO",'caseload data'!$C:$C,'cluster overview'!$B$102,'caseload data'!$B:$B,"licence")</f>
        <v>0</v>
      </c>
      <c r="U111" s="75" t="s">
        <v>947</v>
      </c>
      <c r="V111" s="67" t="str">
        <f>IFERROR(C$111/SUM(C$111:C$114),"")</f>
        <v/>
      </c>
      <c r="W111" s="67" t="str">
        <f>IFERROR(D$111/SUM(D$111:D$114),"")</f>
        <v/>
      </c>
      <c r="X111" s="67" t="str">
        <f t="shared" ref="X111:AK111" si="12">IFERROR(E$111/SUM(E$111:E$114),"")</f>
        <v/>
      </c>
      <c r="Y111" s="67" t="str">
        <f t="shared" si="12"/>
        <v/>
      </c>
      <c r="Z111" s="67" t="str">
        <f t="shared" si="12"/>
        <v/>
      </c>
      <c r="AA111" s="67" t="str">
        <f t="shared" si="12"/>
        <v/>
      </c>
      <c r="AB111" s="67" t="str">
        <f t="shared" si="12"/>
        <v/>
      </c>
      <c r="AC111" s="67" t="str">
        <f t="shared" si="12"/>
        <v/>
      </c>
      <c r="AD111" s="67" t="str">
        <f t="shared" si="12"/>
        <v/>
      </c>
      <c r="AE111" s="67" t="str">
        <f t="shared" si="12"/>
        <v/>
      </c>
      <c r="AF111" s="67" t="str">
        <f t="shared" si="12"/>
        <v/>
      </c>
      <c r="AG111" s="67" t="str">
        <f t="shared" si="12"/>
        <v/>
      </c>
      <c r="AH111" s="67" t="str">
        <f t="shared" si="12"/>
        <v/>
      </c>
      <c r="AI111" s="67" t="str">
        <f t="shared" si="12"/>
        <v/>
      </c>
      <c r="AJ111" s="67" t="str">
        <f t="shared" si="12"/>
        <v/>
      </c>
      <c r="AK111" s="67" t="str">
        <f t="shared" si="12"/>
        <v/>
      </c>
    </row>
    <row r="112" spans="2:37" ht="14.25" customHeight="1" x14ac:dyDescent="0.15">
      <c r="B112" s="75" t="s">
        <v>952</v>
      </c>
      <c r="C112" s="75">
        <f>SUMIFS('caseload data'!E:E,'caseload data'!$D:$D,"PSO",'caseload data'!$C:$C,'cluster overview'!$B$102,'caseload data'!$B:$B,"licence")</f>
        <v>0</v>
      </c>
      <c r="D112" s="75">
        <f>SUMIFS('caseload data'!F:F,'caseload data'!$D:$D,"PSO",'caseload data'!$C:$C,'cluster overview'!$B$102,'caseload data'!$B:$B,"licence")</f>
        <v>0</v>
      </c>
      <c r="E112" s="75">
        <f>SUMIFS('caseload data'!G:G,'caseload data'!$D:$D,"PSO",'caseload data'!$C:$C,'cluster overview'!$B$102,'caseload data'!$B:$B,"licence")</f>
        <v>0</v>
      </c>
      <c r="F112" s="75">
        <f>SUMIFS('caseload data'!H:H,'caseload data'!$D:$D,"PSO",'caseload data'!$C:$C,'cluster overview'!$B$102,'caseload data'!$B:$B,"licence")</f>
        <v>0</v>
      </c>
      <c r="G112" s="75">
        <f>SUMIFS('caseload data'!I:I,'caseload data'!$D:$D,"PSO",'caseload data'!$C:$C,'cluster overview'!$B$102,'caseload data'!$B:$B,"licence")</f>
        <v>0</v>
      </c>
      <c r="H112" s="75">
        <f>SUMIFS('caseload data'!J:J,'caseload data'!$D:$D,"PSO",'caseload data'!$C:$C,'cluster overview'!$B$102,'caseload data'!$B:$B,"licence")</f>
        <v>0</v>
      </c>
      <c r="I112" s="75">
        <f>SUMIFS('caseload data'!K:K,'caseload data'!$D:$D,"PSO",'caseload data'!$C:$C,'cluster overview'!$B$102,'caseload data'!$B:$B,"licence")</f>
        <v>0</v>
      </c>
      <c r="J112" s="75">
        <f>SUMIFS('caseload data'!L:L,'caseload data'!$D:$D,"PSO",'caseload data'!$C:$C,'cluster overview'!$B$102,'caseload data'!$B:$B,"licence")</f>
        <v>0</v>
      </c>
      <c r="K112" s="75">
        <f>SUMIFS('caseload data'!M:M,'caseload data'!$D:$D,"PSO",'caseload data'!$C:$C,'cluster overview'!$B$102,'caseload data'!$B:$B,"licence")</f>
        <v>0</v>
      </c>
      <c r="L112" s="75">
        <f>SUMIFS('caseload data'!N:N,'caseload data'!$D:$D,"PSO",'caseload data'!$C:$C,'cluster overview'!$B$102,'caseload data'!$B:$B,"licence")</f>
        <v>0</v>
      </c>
      <c r="M112" s="75">
        <f>SUMIFS('caseload data'!O:O,'caseload data'!$D:$D,"PSO",'caseload data'!$C:$C,'cluster overview'!$B$102,'caseload data'!$B:$B,"licence")</f>
        <v>0</v>
      </c>
      <c r="N112" s="75">
        <f>SUMIFS('caseload data'!P:P,'caseload data'!$D:$D,"PSO",'caseload data'!$C:$C,'cluster overview'!$B$102,'caseload data'!$B:$B,"licence")</f>
        <v>0</v>
      </c>
      <c r="O112" s="75">
        <f>SUMIFS('caseload data'!Q:Q,'caseload data'!$D:$D,"PSO",'caseload data'!$C:$C,'cluster overview'!$B$102,'caseload data'!$B:$B,"licence")</f>
        <v>0</v>
      </c>
      <c r="P112" s="75">
        <f>SUMIFS('caseload data'!R:R,'caseload data'!$D:$D,"PSO",'caseload data'!$C:$C,'cluster overview'!$B$102,'caseload data'!$B:$B,"licence")</f>
        <v>0</v>
      </c>
      <c r="Q112" s="75">
        <f>SUMIFS('caseload data'!S:S,'caseload data'!$D:$D,"PSO",'caseload data'!$C:$C,'cluster overview'!$B$102,'caseload data'!$B:$B,"licence")</f>
        <v>0</v>
      </c>
      <c r="R112" s="75">
        <f>SUMIFS('caseload data'!T:T,'caseload data'!$D:$D,"PSO",'caseload data'!$C:$C,'cluster overview'!$B$102,'caseload data'!$B:$B,"licence")</f>
        <v>0</v>
      </c>
      <c r="U112" s="75" t="s">
        <v>952</v>
      </c>
      <c r="V112" s="67" t="str">
        <f>IFERROR(C$112/SUM(C$111:C$114),"")</f>
        <v/>
      </c>
      <c r="W112" s="67" t="str">
        <f>IFERROR(D$112/SUM(D$111:D$114),"")</f>
        <v/>
      </c>
      <c r="X112" s="67" t="str">
        <f t="shared" ref="X112:AK112" si="13">IFERROR(E$112/SUM(E$111:E$114),"")</f>
        <v/>
      </c>
      <c r="Y112" s="67" t="str">
        <f t="shared" si="13"/>
        <v/>
      </c>
      <c r="Z112" s="67" t="str">
        <f t="shared" si="13"/>
        <v/>
      </c>
      <c r="AA112" s="67" t="str">
        <f t="shared" si="13"/>
        <v/>
      </c>
      <c r="AB112" s="67" t="str">
        <f t="shared" si="13"/>
        <v/>
      </c>
      <c r="AC112" s="67" t="str">
        <f t="shared" si="13"/>
        <v/>
      </c>
      <c r="AD112" s="67" t="str">
        <f t="shared" si="13"/>
        <v/>
      </c>
      <c r="AE112" s="67" t="str">
        <f t="shared" si="13"/>
        <v/>
      </c>
      <c r="AF112" s="67" t="str">
        <f t="shared" si="13"/>
        <v/>
      </c>
      <c r="AG112" s="67" t="str">
        <f t="shared" si="13"/>
        <v/>
      </c>
      <c r="AH112" s="67" t="str">
        <f t="shared" si="13"/>
        <v/>
      </c>
      <c r="AI112" s="67" t="str">
        <f t="shared" si="13"/>
        <v/>
      </c>
      <c r="AJ112" s="67" t="str">
        <f t="shared" si="13"/>
        <v/>
      </c>
      <c r="AK112" s="67" t="str">
        <f t="shared" si="13"/>
        <v/>
      </c>
    </row>
    <row r="113" spans="2:37" ht="14.25" customHeight="1" x14ac:dyDescent="0.15">
      <c r="B113" s="75" t="s">
        <v>953</v>
      </c>
      <c r="C113" s="75">
        <f>SUMIFS('caseload data'!E:E,'caseload data'!$D:$D,"TPO",'caseload data'!$C:$C,'cluster overview'!$B$102,'caseload data'!$B:$B,"licence")</f>
        <v>0</v>
      </c>
      <c r="D113" s="75">
        <f>SUMIFS('caseload data'!F:F,'caseload data'!$D:$D,"TPO",'caseload data'!$C:$C,'cluster overview'!$B$102,'caseload data'!$B:$B,"licence")</f>
        <v>0</v>
      </c>
      <c r="E113" s="75">
        <f>SUMIFS('caseload data'!G:G,'caseload data'!$D:$D,"TPO",'caseload data'!$C:$C,'cluster overview'!$B$102,'caseload data'!$B:$B,"licence")</f>
        <v>0</v>
      </c>
      <c r="F113" s="75">
        <f>SUMIFS('caseload data'!H:H,'caseload data'!$D:$D,"TPO",'caseload data'!$C:$C,'cluster overview'!$B$102,'caseload data'!$B:$B,"licence")</f>
        <v>0</v>
      </c>
      <c r="G113" s="75">
        <f>SUMIFS('caseload data'!I:I,'caseload data'!$D:$D,"TPO",'caseload data'!$C:$C,'cluster overview'!$B$102,'caseload data'!$B:$B,"licence")</f>
        <v>0</v>
      </c>
      <c r="H113" s="75">
        <f>SUMIFS('caseload data'!J:J,'caseload data'!$D:$D,"TPO",'caseload data'!$C:$C,'cluster overview'!$B$102,'caseload data'!$B:$B,"licence")</f>
        <v>0</v>
      </c>
      <c r="I113" s="75">
        <f>SUMIFS('caseload data'!K:K,'caseload data'!$D:$D,"TPO",'caseload data'!$C:$C,'cluster overview'!$B$102,'caseload data'!$B:$B,"licence")</f>
        <v>0</v>
      </c>
      <c r="J113" s="75">
        <f>SUMIFS('caseload data'!L:L,'caseload data'!$D:$D,"TPO",'caseload data'!$C:$C,'cluster overview'!$B$102,'caseload data'!$B:$B,"licence")</f>
        <v>0</v>
      </c>
      <c r="K113" s="75">
        <f>SUMIFS('caseload data'!M:M,'caseload data'!$D:$D,"TPO",'caseload data'!$C:$C,'cluster overview'!$B$102,'caseload data'!$B:$B,"licence")</f>
        <v>0</v>
      </c>
      <c r="L113" s="75">
        <f>SUMIFS('caseload data'!N:N,'caseload data'!$D:$D,"TPO",'caseload data'!$C:$C,'cluster overview'!$B$102,'caseload data'!$B:$B,"licence")</f>
        <v>0</v>
      </c>
      <c r="M113" s="75">
        <f>SUMIFS('caseload data'!O:O,'caseload data'!$D:$D,"TPO",'caseload data'!$C:$C,'cluster overview'!$B$102,'caseload data'!$B:$B,"licence")</f>
        <v>0</v>
      </c>
      <c r="N113" s="75">
        <f>SUMIFS('caseload data'!P:P,'caseload data'!$D:$D,"TPO",'caseload data'!$C:$C,'cluster overview'!$B$102,'caseload data'!$B:$B,"licence")</f>
        <v>0</v>
      </c>
      <c r="O113" s="75">
        <f>SUMIFS('caseload data'!Q:Q,'caseload data'!$D:$D,"TPO",'caseload data'!$C:$C,'cluster overview'!$B$102,'caseload data'!$B:$B,"licence")</f>
        <v>0</v>
      </c>
      <c r="P113" s="75">
        <f>SUMIFS('caseload data'!R:R,'caseload data'!$D:$D,"TPO",'caseload data'!$C:$C,'cluster overview'!$B$102,'caseload data'!$B:$B,"licence")</f>
        <v>0</v>
      </c>
      <c r="Q113" s="75">
        <f>SUMIFS('caseload data'!S:S,'caseload data'!$D:$D,"TPO",'caseload data'!$C:$C,'cluster overview'!$B$102,'caseload data'!$B:$B,"licence")</f>
        <v>0</v>
      </c>
      <c r="R113" s="75">
        <f>SUMIFS('caseload data'!T:T,'caseload data'!$D:$D,"TPO",'caseload data'!$C:$C,'cluster overview'!$B$102,'caseload data'!$B:$B,"licence")</f>
        <v>0</v>
      </c>
      <c r="U113" s="75" t="s">
        <v>953</v>
      </c>
      <c r="V113" s="67" t="str">
        <f>IFERROR(C$113/SUM(C$111:C$114),"")</f>
        <v/>
      </c>
      <c r="W113" s="67" t="str">
        <f>IFERROR(D$113/SUM(D$111:D$114),"")</f>
        <v/>
      </c>
      <c r="X113" s="67" t="str">
        <f t="shared" ref="X113:AK113" si="14">IFERROR(E$113/SUM(E$111:E$114),"")</f>
        <v/>
      </c>
      <c r="Y113" s="67" t="str">
        <f t="shared" si="14"/>
        <v/>
      </c>
      <c r="Z113" s="67" t="str">
        <f t="shared" si="14"/>
        <v/>
      </c>
      <c r="AA113" s="67" t="str">
        <f t="shared" si="14"/>
        <v/>
      </c>
      <c r="AB113" s="67" t="str">
        <f t="shared" si="14"/>
        <v/>
      </c>
      <c r="AC113" s="67" t="str">
        <f t="shared" si="14"/>
        <v/>
      </c>
      <c r="AD113" s="67" t="str">
        <f t="shared" si="14"/>
        <v/>
      </c>
      <c r="AE113" s="67" t="str">
        <f t="shared" si="14"/>
        <v/>
      </c>
      <c r="AF113" s="67" t="str">
        <f t="shared" si="14"/>
        <v/>
      </c>
      <c r="AG113" s="67" t="str">
        <f t="shared" si="14"/>
        <v/>
      </c>
      <c r="AH113" s="67" t="str">
        <f t="shared" si="14"/>
        <v/>
      </c>
      <c r="AI113" s="67" t="str">
        <f t="shared" si="14"/>
        <v/>
      </c>
      <c r="AJ113" s="67" t="str">
        <f t="shared" si="14"/>
        <v/>
      </c>
      <c r="AK113" s="67" t="str">
        <f t="shared" si="14"/>
        <v/>
      </c>
    </row>
    <row r="114" spans="2:37" ht="14.25" customHeight="1" x14ac:dyDescent="0.15">
      <c r="B114" s="75" t="s">
        <v>954</v>
      </c>
      <c r="C114" s="75">
        <f>SUMIFS('caseload data'!E:E,'caseload data'!$D:$D,"SPO",'caseload data'!$C:$C,'cluster overview'!$B$102,'caseload data'!$B:$B,"licence")</f>
        <v>0</v>
      </c>
      <c r="D114" s="75">
        <f>SUMIFS('caseload data'!F:F,'caseload data'!$D:$D,"SPO",'caseload data'!$C:$C,'cluster overview'!$B$102,'caseload data'!$B:$B,"licence")</f>
        <v>0</v>
      </c>
      <c r="E114" s="75">
        <f>SUMIFS('caseload data'!G:G,'caseload data'!$D:$D,"SPO",'caseload data'!$C:$C,'cluster overview'!$B$102,'caseload data'!$B:$B,"licence")</f>
        <v>0</v>
      </c>
      <c r="F114" s="75">
        <f>SUMIFS('caseload data'!H:H,'caseload data'!$D:$D,"SPO",'caseload data'!$C:$C,'cluster overview'!$B$102,'caseload data'!$B:$B,"licence")</f>
        <v>0</v>
      </c>
      <c r="G114" s="75">
        <f>SUMIFS('caseload data'!I:I,'caseload data'!$D:$D,"SPO",'caseload data'!$C:$C,'cluster overview'!$B$102,'caseload data'!$B:$B,"licence")</f>
        <v>0</v>
      </c>
      <c r="H114" s="75">
        <f>SUMIFS('caseload data'!J:J,'caseload data'!$D:$D,"SPO",'caseload data'!$C:$C,'cluster overview'!$B$102,'caseload data'!$B:$B,"licence")</f>
        <v>0</v>
      </c>
      <c r="I114" s="75">
        <f>SUMIFS('caseload data'!K:K,'caseload data'!$D:$D,"SPO",'caseload data'!$C:$C,'cluster overview'!$B$102,'caseload data'!$B:$B,"licence")</f>
        <v>0</v>
      </c>
      <c r="J114" s="75">
        <f>SUMIFS('caseload data'!L:L,'caseload data'!$D:$D,"SPO",'caseload data'!$C:$C,'cluster overview'!$B$102,'caseload data'!$B:$B,"licence")</f>
        <v>0</v>
      </c>
      <c r="K114" s="75">
        <f>SUMIFS('caseload data'!M:M,'caseload data'!$D:$D,"SPO",'caseload data'!$C:$C,'cluster overview'!$B$102,'caseload data'!$B:$B,"licence")</f>
        <v>0</v>
      </c>
      <c r="L114" s="75">
        <f>SUMIFS('caseload data'!N:N,'caseload data'!$D:$D,"SPO",'caseload data'!$C:$C,'cluster overview'!$B$102,'caseload data'!$B:$B,"licence")</f>
        <v>0</v>
      </c>
      <c r="M114" s="75">
        <f>SUMIFS('caseload data'!O:O,'caseload data'!$D:$D,"SPO",'caseload data'!$C:$C,'cluster overview'!$B$102,'caseload data'!$B:$B,"licence")</f>
        <v>0</v>
      </c>
      <c r="N114" s="75">
        <f>SUMIFS('caseload data'!P:P,'caseload data'!$D:$D,"SPO",'caseload data'!$C:$C,'cluster overview'!$B$102,'caseload data'!$B:$B,"licence")</f>
        <v>0</v>
      </c>
      <c r="O114" s="75">
        <f>SUMIFS('caseload data'!Q:Q,'caseload data'!$D:$D,"SPO",'caseload data'!$C:$C,'cluster overview'!$B$102,'caseload data'!$B:$B,"licence")</f>
        <v>0</v>
      </c>
      <c r="P114" s="75">
        <f>SUMIFS('caseload data'!R:R,'caseload data'!$D:$D,"SPO",'caseload data'!$C:$C,'cluster overview'!$B$102,'caseload data'!$B:$B,"licence")</f>
        <v>0</v>
      </c>
      <c r="Q114" s="75">
        <f>SUMIFS('caseload data'!S:S,'caseload data'!$D:$D,"SPO",'caseload data'!$C:$C,'cluster overview'!$B$102,'caseload data'!$B:$B,"licence")</f>
        <v>0</v>
      </c>
      <c r="R114" s="75">
        <f>SUMIFS('caseload data'!T:T,'caseload data'!$D:$D,"SPO",'caseload data'!$C:$C,'cluster overview'!$B$102,'caseload data'!$B:$B,"licence")</f>
        <v>0</v>
      </c>
      <c r="U114" s="75" t="s">
        <v>954</v>
      </c>
      <c r="V114" s="67" t="str">
        <f>IFERROR(C$114/SUM(C$111:C$114),"")</f>
        <v/>
      </c>
      <c r="W114" s="67" t="str">
        <f>IFERROR(D$114/SUM(D$111:D$114),"")</f>
        <v/>
      </c>
      <c r="X114" s="67" t="str">
        <f t="shared" ref="X114:AK114" si="15">IFERROR(E$114/SUM(E$111:E$114),"")</f>
        <v/>
      </c>
      <c r="Y114" s="67" t="str">
        <f t="shared" si="15"/>
        <v/>
      </c>
      <c r="Z114" s="67" t="str">
        <f t="shared" si="15"/>
        <v/>
      </c>
      <c r="AA114" s="67" t="str">
        <f t="shared" si="15"/>
        <v/>
      </c>
      <c r="AB114" s="67" t="str">
        <f t="shared" si="15"/>
        <v/>
      </c>
      <c r="AC114" s="67" t="str">
        <f t="shared" si="15"/>
        <v/>
      </c>
      <c r="AD114" s="67" t="str">
        <f t="shared" si="15"/>
        <v/>
      </c>
      <c r="AE114" s="67" t="str">
        <f t="shared" si="15"/>
        <v/>
      </c>
      <c r="AF114" s="67" t="str">
        <f t="shared" si="15"/>
        <v/>
      </c>
      <c r="AG114" s="67" t="str">
        <f t="shared" si="15"/>
        <v/>
      </c>
      <c r="AH114" s="67" t="str">
        <f t="shared" si="15"/>
        <v/>
      </c>
      <c r="AI114" s="67" t="str">
        <f t="shared" si="15"/>
        <v/>
      </c>
      <c r="AJ114" s="67" t="str">
        <f t="shared" si="15"/>
        <v/>
      </c>
      <c r="AK114" s="67" t="str">
        <f t="shared" si="15"/>
        <v/>
      </c>
    </row>
    <row r="115" spans="2:37" ht="39" customHeight="1" x14ac:dyDescent="0.15">
      <c r="B115" s="21"/>
    </row>
    <row r="116" spans="2:37" ht="14.25" customHeight="1" x14ac:dyDescent="0.2">
      <c r="B116" s="332" t="str">
        <f>B6</f>
        <v>Hammersmith, Fulham, Kensington, Chelsea and Westminster</v>
      </c>
      <c r="C116" s="474" t="s">
        <v>956</v>
      </c>
      <c r="D116" s="475"/>
      <c r="E116" s="475"/>
      <c r="F116" s="475"/>
      <c r="G116" s="475"/>
      <c r="H116" s="475"/>
      <c r="I116" s="475"/>
      <c r="J116" s="475"/>
      <c r="K116" s="475"/>
      <c r="L116" s="475"/>
      <c r="M116" s="475"/>
      <c r="N116" s="475"/>
      <c r="O116" s="475"/>
      <c r="P116" s="475"/>
      <c r="Q116" s="475"/>
      <c r="R116" s="475"/>
      <c r="U116" s="114" t="str">
        <f>B6</f>
        <v>Hammersmith, Fulham, Kensington, Chelsea and Westminster</v>
      </c>
      <c r="V116" s="471" t="s">
        <v>1302</v>
      </c>
      <c r="W116" s="472"/>
      <c r="X116" s="472"/>
      <c r="Y116" s="472"/>
      <c r="Z116" s="472"/>
      <c r="AA116" s="472"/>
      <c r="AB116" s="472"/>
      <c r="AC116" s="472"/>
      <c r="AD116" s="472"/>
      <c r="AE116" s="472"/>
      <c r="AF116" s="472"/>
      <c r="AG116" s="472"/>
      <c r="AH116" s="472"/>
      <c r="AI116" s="472"/>
      <c r="AJ116" s="472"/>
      <c r="AK116" s="473"/>
    </row>
    <row r="117" spans="2:37" ht="14.25" customHeight="1" x14ac:dyDescent="0.15">
      <c r="B117" s="95" t="s">
        <v>950</v>
      </c>
      <c r="C117" s="38" t="s">
        <v>814</v>
      </c>
      <c r="D117" s="38" t="s">
        <v>815</v>
      </c>
      <c r="E117" s="38" t="s">
        <v>816</v>
      </c>
      <c r="F117" s="38" t="s">
        <v>817</v>
      </c>
      <c r="G117" s="38" t="s">
        <v>818</v>
      </c>
      <c r="H117" s="38" t="s">
        <v>819</v>
      </c>
      <c r="I117" s="38" t="s">
        <v>820</v>
      </c>
      <c r="J117" s="38" t="s">
        <v>821</v>
      </c>
      <c r="K117" s="38" t="s">
        <v>822</v>
      </c>
      <c r="L117" s="38" t="s">
        <v>823</v>
      </c>
      <c r="M117" s="38" t="s">
        <v>824</v>
      </c>
      <c r="N117" s="38" t="s">
        <v>825</v>
      </c>
      <c r="O117" s="38" t="s">
        <v>826</v>
      </c>
      <c r="P117" s="38" t="s">
        <v>827</v>
      </c>
      <c r="Q117" s="38" t="s">
        <v>828</v>
      </c>
      <c r="R117" s="38" t="s">
        <v>829</v>
      </c>
      <c r="U117" s="95" t="s">
        <v>951</v>
      </c>
      <c r="V117" s="38" t="s">
        <v>814</v>
      </c>
      <c r="W117" s="38" t="s">
        <v>815</v>
      </c>
      <c r="X117" s="38" t="s">
        <v>816</v>
      </c>
      <c r="Y117" s="38" t="s">
        <v>817</v>
      </c>
      <c r="Z117" s="38" t="s">
        <v>818</v>
      </c>
      <c r="AA117" s="38" t="s">
        <v>819</v>
      </c>
      <c r="AB117" s="38" t="s">
        <v>820</v>
      </c>
      <c r="AC117" s="38" t="s">
        <v>821</v>
      </c>
      <c r="AD117" s="38" t="s">
        <v>822</v>
      </c>
      <c r="AE117" s="38" t="s">
        <v>823</v>
      </c>
      <c r="AF117" s="38" t="s">
        <v>824</v>
      </c>
      <c r="AG117" s="38" t="s">
        <v>825</v>
      </c>
      <c r="AH117" s="38" t="s">
        <v>826</v>
      </c>
      <c r="AI117" s="38" t="s">
        <v>827</v>
      </c>
      <c r="AJ117" s="38" t="s">
        <v>828</v>
      </c>
      <c r="AK117" s="38" t="s">
        <v>829</v>
      </c>
    </row>
    <row r="118" spans="2:37" ht="14.25" customHeight="1" x14ac:dyDescent="0.15">
      <c r="B118" s="75" t="s">
        <v>947</v>
      </c>
      <c r="C118" s="75">
        <f>SUMIFS('caseload data'!E:E,'caseload data'!$D:$D,"PO",'caseload data'!$C:$C,'cluster overview'!$B$102,'caseload data'!$B:$B,"custody")</f>
        <v>0</v>
      </c>
      <c r="D118" s="75">
        <f>SUMIFS('caseload data'!F:F,'caseload data'!$D:$D,"PO",'caseload data'!$C:$C,'cluster overview'!$B$102,'caseload data'!$B:$B,"custody")</f>
        <v>0</v>
      </c>
      <c r="E118" s="75">
        <f>SUMIFS('caseload data'!G:G,'caseload data'!$D:$D,"PO",'caseload data'!$C:$C,'cluster overview'!$B$102,'caseload data'!$B:$B,"custody")</f>
        <v>0</v>
      </c>
      <c r="F118" s="75">
        <f>SUMIFS('caseload data'!H:H,'caseload data'!$D:$D,"PO",'caseload data'!$C:$C,'cluster overview'!$B$102,'caseload data'!$B:$B,"custody")</f>
        <v>0</v>
      </c>
      <c r="G118" s="75">
        <f>SUMIFS('caseload data'!I:I,'caseload data'!$D:$D,"PO",'caseload data'!$C:$C,'cluster overview'!$B$102,'caseload data'!$B:$B,"custody")</f>
        <v>0</v>
      </c>
      <c r="H118" s="75">
        <f>SUMIFS('caseload data'!J:J,'caseload data'!$D:$D,"PO",'caseload data'!$C:$C,'cluster overview'!$B$102,'caseload data'!$B:$B,"custody")</f>
        <v>0</v>
      </c>
      <c r="I118" s="75">
        <f>SUMIFS('caseload data'!K:K,'caseload data'!$D:$D,"PO",'caseload data'!$C:$C,'cluster overview'!$B$102,'caseload data'!$B:$B,"custody")</f>
        <v>0</v>
      </c>
      <c r="J118" s="75">
        <f>SUMIFS('caseload data'!L:L,'caseload data'!$D:$D,"PO",'caseload data'!$C:$C,'cluster overview'!$B$102,'caseload data'!$B:$B,"custody")</f>
        <v>0</v>
      </c>
      <c r="K118" s="75">
        <f>SUMIFS('caseload data'!M:M,'caseload data'!$D:$D,"PO",'caseload data'!$C:$C,'cluster overview'!$B$102,'caseload data'!$B:$B,"custody")</f>
        <v>0</v>
      </c>
      <c r="L118" s="75">
        <f>SUMIFS('caseload data'!N:N,'caseload data'!$D:$D,"PO",'caseload data'!$C:$C,'cluster overview'!$B$102,'caseload data'!$B:$B,"custody")</f>
        <v>0</v>
      </c>
      <c r="M118" s="75">
        <f>SUMIFS('caseload data'!O:O,'caseload data'!$D:$D,"PO",'caseload data'!$C:$C,'cluster overview'!$B$102,'caseload data'!$B:$B,"custody")</f>
        <v>0</v>
      </c>
      <c r="N118" s="75">
        <f>SUMIFS('caseload data'!P:P,'caseload data'!$D:$D,"PO",'caseload data'!$C:$C,'cluster overview'!$B$102,'caseload data'!$B:$B,"custody")</f>
        <v>0</v>
      </c>
      <c r="O118" s="75">
        <f>SUMIFS('caseload data'!Q:Q,'caseload data'!$D:$D,"PO",'caseload data'!$C:$C,'cluster overview'!$B$102,'caseload data'!$B:$B,"custody")</f>
        <v>0</v>
      </c>
      <c r="P118" s="75">
        <f>SUMIFS('caseload data'!R:R,'caseload data'!$D:$D,"PO",'caseload data'!$C:$C,'cluster overview'!$B$102,'caseload data'!$B:$B,"custody")</f>
        <v>0</v>
      </c>
      <c r="Q118" s="75">
        <f>SUMIFS('caseload data'!S:S,'caseload data'!$D:$D,"PO",'caseload data'!$C:$C,'cluster overview'!$B$102,'caseload data'!$B:$B,"custody")</f>
        <v>0</v>
      </c>
      <c r="R118" s="75">
        <f>SUMIFS('caseload data'!T:T,'caseload data'!$D:$D,"PO",'caseload data'!$C:$C,'cluster overview'!$B$102,'caseload data'!$B:$B,"custody")</f>
        <v>0</v>
      </c>
      <c r="U118" s="75" t="s">
        <v>947</v>
      </c>
      <c r="V118" s="67" t="str">
        <f>IFERROR(C$118/SUM(C$118:C$121),"")</f>
        <v/>
      </c>
      <c r="W118" s="67" t="str">
        <f>IFERROR(D$118/SUM(D$118:D$121),"")</f>
        <v/>
      </c>
      <c r="X118" s="67" t="str">
        <f t="shared" ref="X118:AK118" si="16">IFERROR(E$118/SUM(E$118:E$121),"")</f>
        <v/>
      </c>
      <c r="Y118" s="67" t="str">
        <f t="shared" si="16"/>
        <v/>
      </c>
      <c r="Z118" s="67" t="str">
        <f t="shared" si="16"/>
        <v/>
      </c>
      <c r="AA118" s="67" t="str">
        <f t="shared" si="16"/>
        <v/>
      </c>
      <c r="AB118" s="67" t="str">
        <f t="shared" si="16"/>
        <v/>
      </c>
      <c r="AC118" s="67" t="str">
        <f t="shared" si="16"/>
        <v/>
      </c>
      <c r="AD118" s="67" t="str">
        <f t="shared" si="16"/>
        <v/>
      </c>
      <c r="AE118" s="67" t="str">
        <f t="shared" si="16"/>
        <v/>
      </c>
      <c r="AF118" s="67" t="str">
        <f t="shared" si="16"/>
        <v/>
      </c>
      <c r="AG118" s="67" t="str">
        <f t="shared" si="16"/>
        <v/>
      </c>
      <c r="AH118" s="67" t="str">
        <f t="shared" si="16"/>
        <v/>
      </c>
      <c r="AI118" s="67" t="str">
        <f t="shared" si="16"/>
        <v/>
      </c>
      <c r="AJ118" s="67" t="str">
        <f t="shared" si="16"/>
        <v/>
      </c>
      <c r="AK118" s="67" t="str">
        <f t="shared" si="16"/>
        <v/>
      </c>
    </row>
    <row r="119" spans="2:37" ht="14.25" customHeight="1" x14ac:dyDescent="0.15">
      <c r="B119" s="75" t="s">
        <v>952</v>
      </c>
      <c r="C119" s="75">
        <f>SUMIFS('caseload data'!E:E,'caseload data'!$D:$D,"PSO",'caseload data'!$C:$C,'cluster overview'!$B$102,'caseload data'!$B:$B,"custody")</f>
        <v>0</v>
      </c>
      <c r="D119" s="75">
        <f>SUMIFS('caseload data'!F:F,'caseload data'!$D:$D,"PSO",'caseload data'!$C:$C,'cluster overview'!$B$102,'caseload data'!$B:$B,"custody")</f>
        <v>0</v>
      </c>
      <c r="E119" s="75">
        <f>SUMIFS('caseload data'!G:G,'caseload data'!$D:$D,"PSO",'caseload data'!$C:$C,'cluster overview'!$B$102,'caseload data'!$B:$B,"custody")</f>
        <v>0</v>
      </c>
      <c r="F119" s="75">
        <f>SUMIFS('caseload data'!H:H,'caseload data'!$D:$D,"PSO",'caseload data'!$C:$C,'cluster overview'!$B$102,'caseload data'!$B:$B,"custody")</f>
        <v>0</v>
      </c>
      <c r="G119" s="75">
        <f>SUMIFS('caseload data'!I:I,'caseload data'!$D:$D,"PSO",'caseload data'!$C:$C,'cluster overview'!$B$102,'caseload data'!$B:$B,"custody")</f>
        <v>0</v>
      </c>
      <c r="H119" s="75">
        <f>SUMIFS('caseload data'!J:J,'caseload data'!$D:$D,"PSO",'caseload data'!$C:$C,'cluster overview'!$B$102,'caseload data'!$B:$B,"custody")</f>
        <v>0</v>
      </c>
      <c r="I119" s="75">
        <f>SUMIFS('caseload data'!K:K,'caseload data'!$D:$D,"PSO",'caseload data'!$C:$C,'cluster overview'!$B$102,'caseload data'!$B:$B,"custody")</f>
        <v>0</v>
      </c>
      <c r="J119" s="75">
        <f>SUMIFS('caseload data'!L:L,'caseload data'!$D:$D,"PSO",'caseload data'!$C:$C,'cluster overview'!$B$102,'caseload data'!$B:$B,"custody")</f>
        <v>0</v>
      </c>
      <c r="K119" s="75">
        <f>SUMIFS('caseload data'!M:M,'caseload data'!$D:$D,"PSO",'caseload data'!$C:$C,'cluster overview'!$B$102,'caseload data'!$B:$B,"custody")</f>
        <v>0</v>
      </c>
      <c r="L119" s="75">
        <f>SUMIFS('caseload data'!N:N,'caseload data'!$D:$D,"PSO",'caseload data'!$C:$C,'cluster overview'!$B$102,'caseload data'!$B:$B,"custody")</f>
        <v>0</v>
      </c>
      <c r="M119" s="75">
        <f>SUMIFS('caseload data'!O:O,'caseload data'!$D:$D,"PSO",'caseload data'!$C:$C,'cluster overview'!$B$102,'caseload data'!$B:$B,"custody")</f>
        <v>0</v>
      </c>
      <c r="N119" s="75">
        <f>SUMIFS('caseload data'!P:P,'caseload data'!$D:$D,"PSO",'caseload data'!$C:$C,'cluster overview'!$B$102,'caseload data'!$B:$B,"custody")</f>
        <v>0</v>
      </c>
      <c r="O119" s="75">
        <f>SUMIFS('caseload data'!Q:Q,'caseload data'!$D:$D,"PSO",'caseload data'!$C:$C,'cluster overview'!$B$102,'caseload data'!$B:$B,"custody")</f>
        <v>0</v>
      </c>
      <c r="P119" s="75">
        <f>SUMIFS('caseload data'!R:R,'caseload data'!$D:$D,"PSO",'caseload data'!$C:$C,'cluster overview'!$B$102,'caseload data'!$B:$B,"custody")</f>
        <v>0</v>
      </c>
      <c r="Q119" s="75">
        <f>SUMIFS('caseload data'!S:S,'caseload data'!$D:$D,"PSO",'caseload data'!$C:$C,'cluster overview'!$B$102,'caseload data'!$B:$B,"custody")</f>
        <v>0</v>
      </c>
      <c r="R119" s="75">
        <f>SUMIFS('caseload data'!T:T,'caseload data'!$D:$D,"PSO",'caseload data'!$C:$C,'cluster overview'!$B$102,'caseload data'!$B:$B,"custody")</f>
        <v>0</v>
      </c>
      <c r="U119" s="75" t="s">
        <v>952</v>
      </c>
      <c r="V119" s="67" t="str">
        <f>IFERROR(C$119/SUM(C$118:C$121),"")</f>
        <v/>
      </c>
      <c r="W119" s="67" t="str">
        <f>IFERROR(D$119/SUM(D$118:D$121),"")</f>
        <v/>
      </c>
      <c r="X119" s="67" t="str">
        <f t="shared" ref="X119:AK119" si="17">IFERROR(E$119/SUM(E$118:E$121),"")</f>
        <v/>
      </c>
      <c r="Y119" s="67" t="str">
        <f t="shared" si="17"/>
        <v/>
      </c>
      <c r="Z119" s="67" t="str">
        <f t="shared" si="17"/>
        <v/>
      </c>
      <c r="AA119" s="67" t="str">
        <f t="shared" si="17"/>
        <v/>
      </c>
      <c r="AB119" s="67" t="str">
        <f t="shared" si="17"/>
        <v/>
      </c>
      <c r="AC119" s="67" t="str">
        <f t="shared" si="17"/>
        <v/>
      </c>
      <c r="AD119" s="67" t="str">
        <f t="shared" si="17"/>
        <v/>
      </c>
      <c r="AE119" s="67" t="str">
        <f t="shared" si="17"/>
        <v/>
      </c>
      <c r="AF119" s="67" t="str">
        <f t="shared" si="17"/>
        <v/>
      </c>
      <c r="AG119" s="67" t="str">
        <f t="shared" si="17"/>
        <v/>
      </c>
      <c r="AH119" s="67" t="str">
        <f t="shared" si="17"/>
        <v/>
      </c>
      <c r="AI119" s="67" t="str">
        <f t="shared" si="17"/>
        <v/>
      </c>
      <c r="AJ119" s="67" t="str">
        <f t="shared" si="17"/>
        <v/>
      </c>
      <c r="AK119" s="67" t="str">
        <f t="shared" si="17"/>
        <v/>
      </c>
    </row>
    <row r="120" spans="2:37" ht="14.25" customHeight="1" x14ac:dyDescent="0.15">
      <c r="B120" s="75" t="s">
        <v>953</v>
      </c>
      <c r="C120" s="75">
        <f>SUMIFS('caseload data'!E:E,'caseload data'!$D:$D,"TPO",'caseload data'!$C:$C,'cluster overview'!$B$102,'caseload data'!$B:$B,"custody")</f>
        <v>0</v>
      </c>
      <c r="D120" s="75">
        <f>SUMIFS('caseload data'!F:F,'caseload data'!$D:$D,"TPO",'caseload data'!$C:$C,'cluster overview'!$B$102,'caseload data'!$B:$B,"custody")</f>
        <v>0</v>
      </c>
      <c r="E120" s="75">
        <f>SUMIFS('caseload data'!G:G,'caseload data'!$D:$D,"TPO",'caseload data'!$C:$C,'cluster overview'!$B$102,'caseload data'!$B:$B,"custody")</f>
        <v>0</v>
      </c>
      <c r="F120" s="75">
        <f>SUMIFS('caseload data'!H:H,'caseload data'!$D:$D,"TPO",'caseload data'!$C:$C,'cluster overview'!$B$102,'caseload data'!$B:$B,"custody")</f>
        <v>0</v>
      </c>
      <c r="G120" s="75">
        <f>SUMIFS('caseload data'!I:I,'caseload data'!$D:$D,"TPO",'caseload data'!$C:$C,'cluster overview'!$B$102,'caseload data'!$B:$B,"custody")</f>
        <v>0</v>
      </c>
      <c r="H120" s="75">
        <f>SUMIFS('caseload data'!J:J,'caseload data'!$D:$D,"TPO",'caseload data'!$C:$C,'cluster overview'!$B$102,'caseload data'!$B:$B,"custody")</f>
        <v>0</v>
      </c>
      <c r="I120" s="75">
        <f>SUMIFS('caseload data'!K:K,'caseload data'!$D:$D,"TPO",'caseload data'!$C:$C,'cluster overview'!$B$102,'caseload data'!$B:$B,"custody")</f>
        <v>0</v>
      </c>
      <c r="J120" s="75">
        <f>SUMIFS('caseload data'!L:L,'caseload data'!$D:$D,"TPO",'caseload data'!$C:$C,'cluster overview'!$B$102,'caseload data'!$B:$B,"custody")</f>
        <v>0</v>
      </c>
      <c r="K120" s="75">
        <f>SUMIFS('caseload data'!M:M,'caseload data'!$D:$D,"TPO",'caseload data'!$C:$C,'cluster overview'!$B$102,'caseload data'!$B:$B,"custody")</f>
        <v>0</v>
      </c>
      <c r="L120" s="75">
        <f>SUMIFS('caseload data'!N:N,'caseload data'!$D:$D,"TPO",'caseload data'!$C:$C,'cluster overview'!$B$102,'caseload data'!$B:$B,"custody")</f>
        <v>0</v>
      </c>
      <c r="M120" s="75">
        <f>SUMIFS('caseload data'!O:O,'caseload data'!$D:$D,"TPO",'caseload data'!$C:$C,'cluster overview'!$B$102,'caseload data'!$B:$B,"custody")</f>
        <v>0</v>
      </c>
      <c r="N120" s="75">
        <f>SUMIFS('caseload data'!P:P,'caseload data'!$D:$D,"TPO",'caseload data'!$C:$C,'cluster overview'!$B$102,'caseload data'!$B:$B,"custody")</f>
        <v>0</v>
      </c>
      <c r="O120" s="75">
        <f>SUMIFS('caseload data'!Q:Q,'caseload data'!$D:$D,"TPO",'caseload data'!$C:$C,'cluster overview'!$B$102,'caseload data'!$B:$B,"custody")</f>
        <v>0</v>
      </c>
      <c r="P120" s="75">
        <f>SUMIFS('caseload data'!R:R,'caseload data'!$D:$D,"TPO",'caseload data'!$C:$C,'cluster overview'!$B$102,'caseload data'!$B:$B,"custody")</f>
        <v>0</v>
      </c>
      <c r="Q120" s="75">
        <f>SUMIFS('caseload data'!S:S,'caseload data'!$D:$D,"TPO",'caseload data'!$C:$C,'cluster overview'!$B$102,'caseload data'!$B:$B,"custody")</f>
        <v>0</v>
      </c>
      <c r="R120" s="75">
        <f>SUMIFS('caseload data'!T:T,'caseload data'!$D:$D,"TPO",'caseload data'!$C:$C,'cluster overview'!$B$102,'caseload data'!$B:$B,"custody")</f>
        <v>0</v>
      </c>
      <c r="U120" s="75" t="s">
        <v>953</v>
      </c>
      <c r="V120" s="67" t="str">
        <f>IFERROR(C$120/SUM(C$118:C$121),"")</f>
        <v/>
      </c>
      <c r="W120" s="67" t="str">
        <f>IFERROR(D$120/SUM(D$118:D$121),"")</f>
        <v/>
      </c>
      <c r="X120" s="67" t="str">
        <f t="shared" ref="X120:AK120" si="18">IFERROR(E$120/SUM(E$118:E$121),"")</f>
        <v/>
      </c>
      <c r="Y120" s="67" t="str">
        <f t="shared" si="18"/>
        <v/>
      </c>
      <c r="Z120" s="67" t="str">
        <f t="shared" si="18"/>
        <v/>
      </c>
      <c r="AA120" s="67" t="str">
        <f t="shared" si="18"/>
        <v/>
      </c>
      <c r="AB120" s="67" t="str">
        <f t="shared" si="18"/>
        <v/>
      </c>
      <c r="AC120" s="67" t="str">
        <f t="shared" si="18"/>
        <v/>
      </c>
      <c r="AD120" s="67" t="str">
        <f t="shared" si="18"/>
        <v/>
      </c>
      <c r="AE120" s="67" t="str">
        <f t="shared" si="18"/>
        <v/>
      </c>
      <c r="AF120" s="67" t="str">
        <f t="shared" si="18"/>
        <v/>
      </c>
      <c r="AG120" s="67" t="str">
        <f t="shared" si="18"/>
        <v/>
      </c>
      <c r="AH120" s="67" t="str">
        <f t="shared" si="18"/>
        <v/>
      </c>
      <c r="AI120" s="67" t="str">
        <f t="shared" si="18"/>
        <v/>
      </c>
      <c r="AJ120" s="67" t="str">
        <f t="shared" si="18"/>
        <v/>
      </c>
      <c r="AK120" s="67" t="str">
        <f t="shared" si="18"/>
        <v/>
      </c>
    </row>
    <row r="121" spans="2:37" ht="14.25" customHeight="1" x14ac:dyDescent="0.15">
      <c r="B121" s="75" t="s">
        <v>954</v>
      </c>
      <c r="C121" s="75">
        <f>SUMIFS('caseload data'!E:E,'caseload data'!$D:$D,"SPO",'caseload data'!$C:$C,'cluster overview'!$B$102,'caseload data'!$B:$B,"custody")</f>
        <v>0</v>
      </c>
      <c r="D121" s="75">
        <f>SUMIFS('caseload data'!F:F,'caseload data'!$D:$D,"SPO",'caseload data'!$C:$C,'cluster overview'!$B$102,'caseload data'!$B:$B,"custody")</f>
        <v>0</v>
      </c>
      <c r="E121" s="75">
        <f>SUMIFS('caseload data'!G:G,'caseload data'!$D:$D,"SPO",'caseload data'!$C:$C,'cluster overview'!$B$102,'caseload data'!$B:$B,"custody")</f>
        <v>0</v>
      </c>
      <c r="F121" s="75">
        <f>SUMIFS('caseload data'!H:H,'caseload data'!$D:$D,"SPO",'caseload data'!$C:$C,'cluster overview'!$B$102,'caseload data'!$B:$B,"custody")</f>
        <v>0</v>
      </c>
      <c r="G121" s="75">
        <f>SUMIFS('caseload data'!I:I,'caseload data'!$D:$D,"SPO",'caseload data'!$C:$C,'cluster overview'!$B$102,'caseload data'!$B:$B,"custody")</f>
        <v>0</v>
      </c>
      <c r="H121" s="75">
        <f>SUMIFS('caseload data'!J:J,'caseload data'!$D:$D,"SPO",'caseload data'!$C:$C,'cluster overview'!$B$102,'caseload data'!$B:$B,"custody")</f>
        <v>0</v>
      </c>
      <c r="I121" s="75">
        <f>SUMIFS('caseload data'!K:K,'caseload data'!$D:$D,"SPO",'caseload data'!$C:$C,'cluster overview'!$B$102,'caseload data'!$B:$B,"custody")</f>
        <v>0</v>
      </c>
      <c r="J121" s="75">
        <f>SUMIFS('caseload data'!L:L,'caseload data'!$D:$D,"SPO",'caseload data'!$C:$C,'cluster overview'!$B$102,'caseload data'!$B:$B,"custody")</f>
        <v>0</v>
      </c>
      <c r="K121" s="75">
        <f>SUMIFS('caseload data'!M:M,'caseload data'!$D:$D,"SPO",'caseload data'!$C:$C,'cluster overview'!$B$102,'caseload data'!$B:$B,"custody")</f>
        <v>0</v>
      </c>
      <c r="L121" s="75">
        <f>SUMIFS('caseload data'!N:N,'caseload data'!$D:$D,"SPO",'caseload data'!$C:$C,'cluster overview'!$B$102,'caseload data'!$B:$B,"custody")</f>
        <v>0</v>
      </c>
      <c r="M121" s="75">
        <f>SUMIFS('caseload data'!O:O,'caseload data'!$D:$D,"SPO",'caseload data'!$C:$C,'cluster overview'!$B$102,'caseload data'!$B:$B,"custody")</f>
        <v>0</v>
      </c>
      <c r="N121" s="75">
        <f>SUMIFS('caseload data'!P:P,'caseload data'!$D:$D,"SPO",'caseload data'!$C:$C,'cluster overview'!$B$102,'caseload data'!$B:$B,"custody")</f>
        <v>0</v>
      </c>
      <c r="O121" s="75">
        <f>SUMIFS('caseload data'!Q:Q,'caseload data'!$D:$D,"SPO",'caseload data'!$C:$C,'cluster overview'!$B$102,'caseload data'!$B:$B,"custody")</f>
        <v>0</v>
      </c>
      <c r="P121" s="75">
        <f>SUMIFS('caseload data'!R:R,'caseload data'!$D:$D,"SPO",'caseload data'!$C:$C,'cluster overview'!$B$102,'caseload data'!$B:$B,"custody")</f>
        <v>0</v>
      </c>
      <c r="Q121" s="75">
        <f>SUMIFS('caseload data'!S:S,'caseload data'!$D:$D,"SPO",'caseload data'!$C:$C,'cluster overview'!$B$102,'caseload data'!$B:$B,"custody")</f>
        <v>0</v>
      </c>
      <c r="R121" s="75">
        <f>SUMIFS('caseload data'!T:T,'caseload data'!$D:$D,"SPO",'caseload data'!$C:$C,'cluster overview'!$B$102,'caseload data'!$B:$B,"custody")</f>
        <v>0</v>
      </c>
      <c r="U121" s="75" t="s">
        <v>954</v>
      </c>
      <c r="V121" s="67" t="str">
        <f>IFERROR(C$121/SUM(C$118:C$121),"")</f>
        <v/>
      </c>
      <c r="W121" s="67" t="str">
        <f>IFERROR(D$121/SUM(D$118:D$121),"")</f>
        <v/>
      </c>
      <c r="X121" s="67" t="str">
        <f t="shared" ref="X121:AK121" si="19">IFERROR(E$121/SUM(E$118:E$121),"")</f>
        <v/>
      </c>
      <c r="Y121" s="67" t="str">
        <f t="shared" si="19"/>
        <v/>
      </c>
      <c r="Z121" s="67" t="str">
        <f t="shared" si="19"/>
        <v/>
      </c>
      <c r="AA121" s="67" t="str">
        <f t="shared" si="19"/>
        <v/>
      </c>
      <c r="AB121" s="67" t="str">
        <f t="shared" si="19"/>
        <v/>
      </c>
      <c r="AC121" s="67" t="str">
        <f t="shared" si="19"/>
        <v/>
      </c>
      <c r="AD121" s="67" t="str">
        <f t="shared" si="19"/>
        <v/>
      </c>
      <c r="AE121" s="67" t="str">
        <f t="shared" si="19"/>
        <v/>
      </c>
      <c r="AF121" s="67" t="str">
        <f t="shared" si="19"/>
        <v/>
      </c>
      <c r="AG121" s="67" t="str">
        <f t="shared" si="19"/>
        <v/>
      </c>
      <c r="AH121" s="67" t="str">
        <f t="shared" si="19"/>
        <v/>
      </c>
      <c r="AI121" s="67" t="str">
        <f t="shared" si="19"/>
        <v/>
      </c>
      <c r="AJ121" s="67" t="str">
        <f t="shared" si="19"/>
        <v/>
      </c>
      <c r="AK121" s="67" t="str">
        <f t="shared" si="19"/>
        <v/>
      </c>
    </row>
    <row r="122" spans="2:37" ht="31.5" customHeight="1" x14ac:dyDescent="0.15"/>
    <row r="123" spans="2:37" ht="14.25" customHeight="1" x14ac:dyDescent="0.2">
      <c r="B123" s="332" t="str">
        <f>B6</f>
        <v>Hammersmith, Fulham, Kensington, Chelsea and Westminster</v>
      </c>
      <c r="C123" s="474" t="s">
        <v>957</v>
      </c>
      <c r="D123" s="475"/>
      <c r="E123" s="475"/>
      <c r="F123" s="475"/>
      <c r="G123" s="475"/>
      <c r="H123" s="475"/>
      <c r="I123" s="475"/>
      <c r="J123" s="475"/>
      <c r="K123" s="475"/>
      <c r="L123" s="475"/>
      <c r="M123" s="475"/>
      <c r="N123" s="475"/>
      <c r="O123" s="475"/>
      <c r="P123" s="475"/>
      <c r="Q123" s="475"/>
      <c r="R123" s="475"/>
      <c r="U123" s="114" t="str">
        <f>B6</f>
        <v>Hammersmith, Fulham, Kensington, Chelsea and Westminster</v>
      </c>
      <c r="V123" s="471" t="s">
        <v>1305</v>
      </c>
      <c r="W123" s="472"/>
      <c r="X123" s="472"/>
      <c r="Y123" s="472"/>
      <c r="Z123" s="472"/>
      <c r="AA123" s="472"/>
      <c r="AB123" s="472"/>
      <c r="AC123" s="472"/>
      <c r="AD123" s="472"/>
      <c r="AE123" s="472"/>
      <c r="AF123" s="472"/>
      <c r="AG123" s="472"/>
      <c r="AH123" s="472"/>
      <c r="AI123" s="472"/>
      <c r="AJ123" s="472"/>
      <c r="AK123" s="473"/>
    </row>
    <row r="124" spans="2:37" ht="14.25" customHeight="1" x14ac:dyDescent="0.15">
      <c r="B124" s="95" t="s">
        <v>950</v>
      </c>
      <c r="C124" s="38" t="s">
        <v>814</v>
      </c>
      <c r="D124" s="38" t="s">
        <v>815</v>
      </c>
      <c r="E124" s="38" t="s">
        <v>816</v>
      </c>
      <c r="F124" s="38" t="s">
        <v>817</v>
      </c>
      <c r="G124" s="38" t="s">
        <v>818</v>
      </c>
      <c r="H124" s="38" t="s">
        <v>819</v>
      </c>
      <c r="I124" s="38" t="s">
        <v>820</v>
      </c>
      <c r="J124" s="38" t="s">
        <v>821</v>
      </c>
      <c r="K124" s="38" t="s">
        <v>822</v>
      </c>
      <c r="L124" s="38" t="s">
        <v>823</v>
      </c>
      <c r="M124" s="38" t="s">
        <v>824</v>
      </c>
      <c r="N124" s="38" t="s">
        <v>825</v>
      </c>
      <c r="O124" s="38" t="s">
        <v>826</v>
      </c>
      <c r="P124" s="38" t="s">
        <v>827</v>
      </c>
      <c r="Q124" s="38" t="s">
        <v>828</v>
      </c>
      <c r="R124" s="38" t="s">
        <v>829</v>
      </c>
      <c r="U124" s="51" t="s">
        <v>951</v>
      </c>
      <c r="V124" s="38" t="s">
        <v>814</v>
      </c>
      <c r="W124" s="38" t="s">
        <v>815</v>
      </c>
      <c r="X124" s="38" t="s">
        <v>816</v>
      </c>
      <c r="Y124" s="38" t="s">
        <v>817</v>
      </c>
      <c r="Z124" s="38" t="s">
        <v>818</v>
      </c>
      <c r="AA124" s="38" t="s">
        <v>819</v>
      </c>
      <c r="AB124" s="38" t="s">
        <v>820</v>
      </c>
      <c r="AC124" s="38" t="s">
        <v>821</v>
      </c>
      <c r="AD124" s="38" t="s">
        <v>822</v>
      </c>
      <c r="AE124" s="38" t="s">
        <v>823</v>
      </c>
      <c r="AF124" s="38" t="s">
        <v>824</v>
      </c>
      <c r="AG124" s="38" t="s">
        <v>825</v>
      </c>
      <c r="AH124" s="38" t="s">
        <v>826</v>
      </c>
      <c r="AI124" s="38" t="s">
        <v>827</v>
      </c>
      <c r="AJ124" s="38" t="s">
        <v>828</v>
      </c>
      <c r="AK124" s="38" t="s">
        <v>829</v>
      </c>
    </row>
    <row r="125" spans="2:37" ht="14.25" customHeight="1" x14ac:dyDescent="0.15">
      <c r="B125" s="75" t="s">
        <v>947</v>
      </c>
      <c r="C125" s="75">
        <f>SUMIFS('caseload data'!E:E,'caseload data'!$D:$D,"PO",'caseload data'!$C:$C,'cluster overview'!$B$109)</f>
        <v>0</v>
      </c>
      <c r="D125" s="75">
        <f>SUMIFS('caseload data'!F:F,'caseload data'!$D:$D,"PO",'caseload data'!$C:$C,'cluster overview'!$B$109)</f>
        <v>0</v>
      </c>
      <c r="E125" s="75">
        <f>SUMIFS('caseload data'!G:G,'caseload data'!$D:$D,"PO",'caseload data'!$C:$C,'cluster overview'!$B$109)</f>
        <v>0</v>
      </c>
      <c r="F125" s="75">
        <f>SUMIFS('caseload data'!H:H,'caseload data'!$D:$D,"PO",'caseload data'!$C:$C,'cluster overview'!$B$109)</f>
        <v>0</v>
      </c>
      <c r="G125" s="75">
        <f>SUMIFS('caseload data'!I:I,'caseload data'!$D:$D,"PO",'caseload data'!$C:$C,'cluster overview'!$B$109)</f>
        <v>0</v>
      </c>
      <c r="H125" s="75">
        <f>SUMIFS('caseload data'!J:J,'caseload data'!$D:$D,"PO",'caseload data'!$C:$C,'cluster overview'!$B$109)</f>
        <v>0</v>
      </c>
      <c r="I125" s="75">
        <f>SUMIFS('caseload data'!K:K,'caseload data'!$D:$D,"PO",'caseload data'!$C:$C,'cluster overview'!$B$109)</f>
        <v>0</v>
      </c>
      <c r="J125" s="75">
        <f>SUMIFS('caseload data'!L:L,'caseload data'!$D:$D,"PO",'caseload data'!$C:$C,'cluster overview'!$B$109)</f>
        <v>0</v>
      </c>
      <c r="K125" s="75">
        <f>SUMIFS('caseload data'!M:M,'caseload data'!$D:$D,"PO",'caseload data'!$C:$C,'cluster overview'!$B$109)</f>
        <v>0</v>
      </c>
      <c r="L125" s="75">
        <f>SUMIFS('caseload data'!N:N,'caseload data'!$D:$D,"PO",'caseload data'!$C:$C,'cluster overview'!$B$109)</f>
        <v>0</v>
      </c>
      <c r="M125" s="75">
        <f>SUMIFS('caseload data'!O:O,'caseload data'!$D:$D,"PO",'caseload data'!$C:$C,'cluster overview'!$B$109)</f>
        <v>0</v>
      </c>
      <c r="N125" s="75">
        <f>SUMIFS('caseload data'!P:P,'caseload data'!$D:$D,"PO",'caseload data'!$C:$C,'cluster overview'!$B$109)</f>
        <v>0</v>
      </c>
      <c r="O125" s="75">
        <f>SUMIFS('caseload data'!Q:Q,'caseload data'!$D:$D,"PO",'caseload data'!$C:$C,'cluster overview'!$B$109)</f>
        <v>0</v>
      </c>
      <c r="P125" s="75">
        <f>SUMIFS('caseload data'!R:R,'caseload data'!$D:$D,"PO",'caseload data'!$C:$C,'cluster overview'!$B$109)</f>
        <v>0</v>
      </c>
      <c r="Q125" s="75">
        <f>SUMIFS('caseload data'!S:S,'caseload data'!$D:$D,"PO",'caseload data'!$C:$C,'cluster overview'!$B$109)</f>
        <v>0</v>
      </c>
      <c r="R125" s="75">
        <f>SUMIFS('caseload data'!T:T,'caseload data'!$D:$D,"PO",'caseload data'!$C:$C,'cluster overview'!$B$109)</f>
        <v>0</v>
      </c>
      <c r="U125" s="75" t="s">
        <v>947</v>
      </c>
      <c r="V125" s="67" t="str">
        <f>IFERROR(C$125/SUM(C$125:C$128),"")</f>
        <v/>
      </c>
      <c r="W125" s="67" t="str">
        <f>IFERROR(D$125/SUM(D$125:D$128),"")</f>
        <v/>
      </c>
      <c r="X125" s="67" t="str">
        <f t="shared" ref="X125:AK125" si="20">IFERROR(E$125/SUM(E$125:E$128),"")</f>
        <v/>
      </c>
      <c r="Y125" s="67" t="str">
        <f t="shared" si="20"/>
        <v/>
      </c>
      <c r="Z125" s="67" t="str">
        <f t="shared" si="20"/>
        <v/>
      </c>
      <c r="AA125" s="67" t="str">
        <f t="shared" si="20"/>
        <v/>
      </c>
      <c r="AB125" s="67" t="str">
        <f t="shared" si="20"/>
        <v/>
      </c>
      <c r="AC125" s="67" t="str">
        <f t="shared" si="20"/>
        <v/>
      </c>
      <c r="AD125" s="67" t="str">
        <f t="shared" si="20"/>
        <v/>
      </c>
      <c r="AE125" s="67" t="str">
        <f t="shared" si="20"/>
        <v/>
      </c>
      <c r="AF125" s="67" t="str">
        <f t="shared" si="20"/>
        <v/>
      </c>
      <c r="AG125" s="67" t="str">
        <f t="shared" si="20"/>
        <v/>
      </c>
      <c r="AH125" s="67" t="str">
        <f t="shared" si="20"/>
        <v/>
      </c>
      <c r="AI125" s="67" t="str">
        <f t="shared" si="20"/>
        <v/>
      </c>
      <c r="AJ125" s="67" t="str">
        <f t="shared" si="20"/>
        <v/>
      </c>
      <c r="AK125" s="67" t="str">
        <f t="shared" si="20"/>
        <v/>
      </c>
    </row>
    <row r="126" spans="2:37" ht="14.25" customHeight="1" x14ac:dyDescent="0.15">
      <c r="B126" s="75" t="s">
        <v>952</v>
      </c>
      <c r="C126" s="75">
        <f>SUMIFS('caseload data'!E:E,'caseload data'!$D:$D,"PSO",'caseload data'!$C:$C,'cluster overview'!$B$109)</f>
        <v>0</v>
      </c>
      <c r="D126" s="75">
        <f>SUMIFS('caseload data'!F:F,'caseload data'!$D:$D,"PSO",'caseload data'!$C:$C,'cluster overview'!$B$109)</f>
        <v>0</v>
      </c>
      <c r="E126" s="75">
        <f>SUMIFS('caseload data'!G:G,'caseload data'!$D:$D,"PSO",'caseload data'!$C:$C,'cluster overview'!$B$109)</f>
        <v>0</v>
      </c>
      <c r="F126" s="75">
        <f>SUMIFS('caseload data'!H:H,'caseload data'!$D:$D,"PSO",'caseload data'!$C:$C,'cluster overview'!$B$109)</f>
        <v>0</v>
      </c>
      <c r="G126" s="75">
        <f>SUMIFS('caseload data'!I:I,'caseload data'!$D:$D,"PSO",'caseload data'!$C:$C,'cluster overview'!$B$109)</f>
        <v>0</v>
      </c>
      <c r="H126" s="75">
        <f>SUMIFS('caseload data'!J:J,'caseload data'!$D:$D,"PSO",'caseload data'!$C:$C,'cluster overview'!$B$109)</f>
        <v>0</v>
      </c>
      <c r="I126" s="75">
        <f>SUMIFS('caseload data'!K:K,'caseload data'!$D:$D,"PSO",'caseload data'!$C:$C,'cluster overview'!$B$109)</f>
        <v>0</v>
      </c>
      <c r="J126" s="75">
        <f>SUMIFS('caseload data'!L:L,'caseload data'!$D:$D,"PSO",'caseload data'!$C:$C,'cluster overview'!$B$109)</f>
        <v>0</v>
      </c>
      <c r="K126" s="75">
        <f>SUMIFS('caseload data'!M:M,'caseload data'!$D:$D,"PSO",'caseload data'!$C:$C,'cluster overview'!$B$109)</f>
        <v>0</v>
      </c>
      <c r="L126" s="75">
        <f>SUMIFS('caseload data'!N:N,'caseload data'!$D:$D,"PSO",'caseload data'!$C:$C,'cluster overview'!$B$109)</f>
        <v>0</v>
      </c>
      <c r="M126" s="75">
        <f>SUMIFS('caseload data'!O:O,'caseload data'!$D:$D,"PSO",'caseload data'!$C:$C,'cluster overview'!$B$109)</f>
        <v>0</v>
      </c>
      <c r="N126" s="75">
        <f>SUMIFS('caseload data'!P:P,'caseload data'!$D:$D,"PSO",'caseload data'!$C:$C,'cluster overview'!$B$109)</f>
        <v>0</v>
      </c>
      <c r="O126" s="75">
        <f>SUMIFS('caseload data'!Q:Q,'caseload data'!$D:$D,"PSO",'caseload data'!$C:$C,'cluster overview'!$B$109)</f>
        <v>0</v>
      </c>
      <c r="P126" s="75">
        <f>SUMIFS('caseload data'!R:R,'caseload data'!$D:$D,"PSO",'caseload data'!$C:$C,'cluster overview'!$B$109)</f>
        <v>0</v>
      </c>
      <c r="Q126" s="75">
        <f>SUMIFS('caseload data'!S:S,'caseload data'!$D:$D,"PSO",'caseload data'!$C:$C,'cluster overview'!$B$109)</f>
        <v>0</v>
      </c>
      <c r="R126" s="75">
        <f>SUMIFS('caseload data'!T:T,'caseload data'!$D:$D,"PSO",'caseload data'!$C:$C,'cluster overview'!$B$109)</f>
        <v>0</v>
      </c>
      <c r="U126" s="75" t="s">
        <v>952</v>
      </c>
      <c r="V126" s="67" t="str">
        <f>IFERROR(C$126/SUM(C$125:C$128),"")</f>
        <v/>
      </c>
      <c r="W126" s="67" t="str">
        <f>IFERROR(D$126/SUM(D$125:D$128),"")</f>
        <v/>
      </c>
      <c r="X126" s="67" t="str">
        <f t="shared" ref="X126:AK126" si="21">IFERROR(E$126/SUM(E$125:E$128),"")</f>
        <v/>
      </c>
      <c r="Y126" s="67" t="str">
        <f t="shared" si="21"/>
        <v/>
      </c>
      <c r="Z126" s="67" t="str">
        <f t="shared" si="21"/>
        <v/>
      </c>
      <c r="AA126" s="67" t="str">
        <f t="shared" si="21"/>
        <v/>
      </c>
      <c r="AB126" s="67" t="str">
        <f t="shared" si="21"/>
        <v/>
      </c>
      <c r="AC126" s="67" t="str">
        <f t="shared" si="21"/>
        <v/>
      </c>
      <c r="AD126" s="67" t="str">
        <f t="shared" si="21"/>
        <v/>
      </c>
      <c r="AE126" s="67" t="str">
        <f t="shared" si="21"/>
        <v/>
      </c>
      <c r="AF126" s="67" t="str">
        <f t="shared" si="21"/>
        <v/>
      </c>
      <c r="AG126" s="67" t="str">
        <f t="shared" si="21"/>
        <v/>
      </c>
      <c r="AH126" s="67" t="str">
        <f t="shared" si="21"/>
        <v/>
      </c>
      <c r="AI126" s="67" t="str">
        <f t="shared" si="21"/>
        <v/>
      </c>
      <c r="AJ126" s="67" t="str">
        <f t="shared" si="21"/>
        <v/>
      </c>
      <c r="AK126" s="67" t="str">
        <f t="shared" si="21"/>
        <v/>
      </c>
    </row>
    <row r="127" spans="2:37" ht="14.25" customHeight="1" x14ac:dyDescent="0.15">
      <c r="B127" s="75" t="s">
        <v>953</v>
      </c>
      <c r="C127" s="75">
        <f>SUMIFS('caseload data'!E:E,'caseload data'!$D:$D,"TPO",'caseload data'!$C:$C,'cluster overview'!$B$109)</f>
        <v>0</v>
      </c>
      <c r="D127" s="75">
        <f>SUMIFS('caseload data'!F:F,'caseload data'!$D:$D,"TPO",'caseload data'!$C:$C,'cluster overview'!$B$109)</f>
        <v>0</v>
      </c>
      <c r="E127" s="75">
        <f>SUMIFS('caseload data'!G:G,'caseload data'!$D:$D,"TPO",'caseload data'!$C:$C,'cluster overview'!$B$109)</f>
        <v>0</v>
      </c>
      <c r="F127" s="75">
        <f>SUMIFS('caseload data'!H:H,'caseload data'!$D:$D,"TPO",'caseload data'!$C:$C,'cluster overview'!$B$109)</f>
        <v>0</v>
      </c>
      <c r="G127" s="75">
        <f>SUMIFS('caseload data'!I:I,'caseload data'!$D:$D,"TPO",'caseload data'!$C:$C,'cluster overview'!$B$109)</f>
        <v>0</v>
      </c>
      <c r="H127" s="75">
        <f>SUMIFS('caseload data'!J:J,'caseload data'!$D:$D,"TPO",'caseload data'!$C:$C,'cluster overview'!$B$109)</f>
        <v>0</v>
      </c>
      <c r="I127" s="75">
        <f>SUMIFS('caseload data'!K:K,'caseload data'!$D:$D,"TPO",'caseload data'!$C:$C,'cluster overview'!$B$109)</f>
        <v>0</v>
      </c>
      <c r="J127" s="75">
        <f>SUMIFS('caseload data'!L:L,'caseload data'!$D:$D,"TPO",'caseload data'!$C:$C,'cluster overview'!$B$109)</f>
        <v>0</v>
      </c>
      <c r="K127" s="75">
        <f>SUMIFS('caseload data'!M:M,'caseload data'!$D:$D,"TPO",'caseload data'!$C:$C,'cluster overview'!$B$109)</f>
        <v>0</v>
      </c>
      <c r="L127" s="75">
        <f>SUMIFS('caseload data'!N:N,'caseload data'!$D:$D,"TPO",'caseload data'!$C:$C,'cluster overview'!$B$109)</f>
        <v>0</v>
      </c>
      <c r="M127" s="75">
        <f>SUMIFS('caseload data'!O:O,'caseload data'!$D:$D,"TPO",'caseload data'!$C:$C,'cluster overview'!$B$109)</f>
        <v>0</v>
      </c>
      <c r="N127" s="75">
        <f>SUMIFS('caseload data'!P:P,'caseload data'!$D:$D,"TPO",'caseload data'!$C:$C,'cluster overview'!$B$109)</f>
        <v>0</v>
      </c>
      <c r="O127" s="75">
        <f>SUMIFS('caseload data'!Q:Q,'caseload data'!$D:$D,"TPO",'caseload data'!$C:$C,'cluster overview'!$B$109)</f>
        <v>0</v>
      </c>
      <c r="P127" s="75">
        <f>SUMIFS('caseload data'!R:R,'caseload data'!$D:$D,"TPO",'caseload data'!$C:$C,'cluster overview'!$B$109)</f>
        <v>0</v>
      </c>
      <c r="Q127" s="75">
        <f>SUMIFS('caseload data'!S:S,'caseload data'!$D:$D,"TPO",'caseload data'!$C:$C,'cluster overview'!$B$109)</f>
        <v>0</v>
      </c>
      <c r="R127" s="75">
        <f>SUMIFS('caseload data'!T:T,'caseload data'!$D:$D,"TPO",'caseload data'!$C:$C,'cluster overview'!$B$109)</f>
        <v>0</v>
      </c>
      <c r="U127" s="75" t="s">
        <v>953</v>
      </c>
      <c r="V127" s="67" t="str">
        <f>IFERROR(C$127/SUM(C$125:C$128),"")</f>
        <v/>
      </c>
      <c r="W127" s="67" t="str">
        <f>IFERROR(D$127/SUM(D$125:D$128),"")</f>
        <v/>
      </c>
      <c r="X127" s="67" t="str">
        <f t="shared" ref="X127:AK127" si="22">IFERROR(E$127/SUM(E$125:E$128),"")</f>
        <v/>
      </c>
      <c r="Y127" s="67" t="str">
        <f t="shared" si="22"/>
        <v/>
      </c>
      <c r="Z127" s="67" t="str">
        <f t="shared" si="22"/>
        <v/>
      </c>
      <c r="AA127" s="67" t="str">
        <f t="shared" si="22"/>
        <v/>
      </c>
      <c r="AB127" s="67" t="str">
        <f t="shared" si="22"/>
        <v/>
      </c>
      <c r="AC127" s="67" t="str">
        <f t="shared" si="22"/>
        <v/>
      </c>
      <c r="AD127" s="67" t="str">
        <f t="shared" si="22"/>
        <v/>
      </c>
      <c r="AE127" s="67" t="str">
        <f t="shared" si="22"/>
        <v/>
      </c>
      <c r="AF127" s="67" t="str">
        <f t="shared" si="22"/>
        <v/>
      </c>
      <c r="AG127" s="67" t="str">
        <f t="shared" si="22"/>
        <v/>
      </c>
      <c r="AH127" s="67" t="str">
        <f t="shared" si="22"/>
        <v/>
      </c>
      <c r="AI127" s="67" t="str">
        <f t="shared" si="22"/>
        <v/>
      </c>
      <c r="AJ127" s="67" t="str">
        <f t="shared" si="22"/>
        <v/>
      </c>
      <c r="AK127" s="67" t="str">
        <f t="shared" si="22"/>
        <v/>
      </c>
    </row>
    <row r="128" spans="2:37" ht="14.25" customHeight="1" x14ac:dyDescent="0.15">
      <c r="B128" s="75" t="s">
        <v>954</v>
      </c>
      <c r="C128" s="75">
        <f>SUMIFS('caseload data'!E:E,'caseload data'!$D:$D,"SPO",'caseload data'!$C:$C,'cluster overview'!$B$109)</f>
        <v>0</v>
      </c>
      <c r="D128" s="75">
        <f>SUMIFS('caseload data'!F:F,'caseload data'!$D:$D,"SPO",'caseload data'!$C:$C,'cluster overview'!$B$109)</f>
        <v>0</v>
      </c>
      <c r="E128" s="75">
        <f>SUMIFS('caseload data'!G:G,'caseload data'!$D:$D,"SPO",'caseload data'!$C:$C,'cluster overview'!$B$109)</f>
        <v>0</v>
      </c>
      <c r="F128" s="75">
        <f>SUMIFS('caseload data'!H:H,'caseload data'!$D:$D,"SPO",'caseload data'!$C:$C,'cluster overview'!$B$109)</f>
        <v>0</v>
      </c>
      <c r="G128" s="75">
        <f>SUMIFS('caseload data'!I:I,'caseload data'!$D:$D,"SPO",'caseload data'!$C:$C,'cluster overview'!$B$109)</f>
        <v>0</v>
      </c>
      <c r="H128" s="75">
        <f>SUMIFS('caseload data'!J:J,'caseload data'!$D:$D,"SPO",'caseload data'!$C:$C,'cluster overview'!$B$109)</f>
        <v>0</v>
      </c>
      <c r="I128" s="75">
        <f>SUMIFS('caseload data'!K:K,'caseload data'!$D:$D,"SPO",'caseload data'!$C:$C,'cluster overview'!$B$109)</f>
        <v>0</v>
      </c>
      <c r="J128" s="75">
        <f>SUMIFS('caseload data'!L:L,'caseload data'!$D:$D,"SPO",'caseload data'!$C:$C,'cluster overview'!$B$109)</f>
        <v>0</v>
      </c>
      <c r="K128" s="75">
        <f>SUMIFS('caseload data'!M:M,'caseload data'!$D:$D,"SPO",'caseload data'!$C:$C,'cluster overview'!$B$109)</f>
        <v>0</v>
      </c>
      <c r="L128" s="75">
        <f>SUMIFS('caseload data'!N:N,'caseload data'!$D:$D,"SPO",'caseload data'!$C:$C,'cluster overview'!$B$109)</f>
        <v>0</v>
      </c>
      <c r="M128" s="75">
        <f>SUMIFS('caseload data'!O:O,'caseload data'!$D:$D,"SPO",'caseload data'!$C:$C,'cluster overview'!$B$109)</f>
        <v>0</v>
      </c>
      <c r="N128" s="75">
        <f>SUMIFS('caseload data'!P:P,'caseload data'!$D:$D,"SPO",'caseload data'!$C:$C,'cluster overview'!$B$109)</f>
        <v>0</v>
      </c>
      <c r="O128" s="75">
        <f>SUMIFS('caseload data'!Q:Q,'caseload data'!$D:$D,"SPO",'caseload data'!$C:$C,'cluster overview'!$B$109)</f>
        <v>0</v>
      </c>
      <c r="P128" s="75">
        <f>SUMIFS('caseload data'!R:R,'caseload data'!$D:$D,"SPO",'caseload data'!$C:$C,'cluster overview'!$B$109)</f>
        <v>0</v>
      </c>
      <c r="Q128" s="75">
        <f>SUMIFS('caseload data'!S:S,'caseload data'!$D:$D,"SPO",'caseload data'!$C:$C,'cluster overview'!$B$109)</f>
        <v>0</v>
      </c>
      <c r="R128" s="75">
        <f>SUMIFS('caseload data'!T:T,'caseload data'!$D:$D,"SPO",'caseload data'!$C:$C,'cluster overview'!$B$109)</f>
        <v>0</v>
      </c>
      <c r="U128" s="75" t="s">
        <v>954</v>
      </c>
      <c r="V128" s="67" t="str">
        <f>IFERROR(C$128/SUM(C$125:C$128),"")</f>
        <v/>
      </c>
      <c r="W128" s="67" t="str">
        <f>IFERROR(D$128/SUM(D$125:D$128),"")</f>
        <v/>
      </c>
      <c r="X128" s="67" t="str">
        <f t="shared" ref="X128:AK128" si="23">IFERROR(E$128/SUM(E$125:E$128),"")</f>
        <v/>
      </c>
      <c r="Y128" s="67" t="str">
        <f t="shared" si="23"/>
        <v/>
      </c>
      <c r="Z128" s="67" t="str">
        <f t="shared" si="23"/>
        <v/>
      </c>
      <c r="AA128" s="67" t="str">
        <f t="shared" si="23"/>
        <v/>
      </c>
      <c r="AB128" s="67" t="str">
        <f t="shared" si="23"/>
        <v/>
      </c>
      <c r="AC128" s="67" t="str">
        <f t="shared" si="23"/>
        <v/>
      </c>
      <c r="AD128" s="67" t="str">
        <f t="shared" si="23"/>
        <v/>
      </c>
      <c r="AE128" s="67" t="str">
        <f t="shared" si="23"/>
        <v/>
      </c>
      <c r="AF128" s="67" t="str">
        <f t="shared" si="23"/>
        <v/>
      </c>
      <c r="AG128" s="67" t="str">
        <f t="shared" si="23"/>
        <v/>
      </c>
      <c r="AH128" s="67" t="str">
        <f t="shared" si="23"/>
        <v/>
      </c>
      <c r="AI128" s="67" t="str">
        <f t="shared" si="23"/>
        <v/>
      </c>
      <c r="AJ128" s="67" t="str">
        <f t="shared" si="23"/>
        <v/>
      </c>
      <c r="AK128" s="67" t="str">
        <f t="shared" si="23"/>
        <v/>
      </c>
    </row>
    <row r="129" ht="31.5" customHeight="1" x14ac:dyDescent="0.15"/>
    <row r="130" ht="14.25" customHeight="1" x14ac:dyDescent="0.15"/>
    <row r="131" ht="14.25" customHeight="1" x14ac:dyDescent="0.15"/>
    <row r="132" ht="14.25" customHeight="1" x14ac:dyDescent="0.15"/>
    <row r="133" ht="14.25" customHeight="1" x14ac:dyDescent="0.15"/>
    <row r="134" ht="14.25" customHeight="1" x14ac:dyDescent="0.15"/>
  </sheetData>
  <sortState xmlns:xlrd2="http://schemas.microsoft.com/office/spreadsheetml/2017/richdata2" ref="B34:D79">
    <sortCondition ref="B34:B79"/>
  </sortState>
  <mergeCells count="28">
    <mergeCell ref="B86:S86"/>
    <mergeCell ref="B93:R93"/>
    <mergeCell ref="C102:R102"/>
    <mergeCell ref="C109:R109"/>
    <mergeCell ref="C116:R116"/>
    <mergeCell ref="B26:F26"/>
    <mergeCell ref="G26:H26"/>
    <mergeCell ref="I26:K26"/>
    <mergeCell ref="F47:F51"/>
    <mergeCell ref="G47:G51"/>
    <mergeCell ref="F34:F36"/>
    <mergeCell ref="G34:G36"/>
    <mergeCell ref="B32:D32"/>
    <mergeCell ref="F32:G32"/>
    <mergeCell ref="F37:F39"/>
    <mergeCell ref="G37:G39"/>
    <mergeCell ref="F41:F46"/>
    <mergeCell ref="G41:G46"/>
    <mergeCell ref="B8:F8"/>
    <mergeCell ref="A1:M1"/>
    <mergeCell ref="A2:M2"/>
    <mergeCell ref="B19:F19"/>
    <mergeCell ref="G19:H19"/>
    <mergeCell ref="V102:AK102"/>
    <mergeCell ref="V109:AK109"/>
    <mergeCell ref="V116:AK116"/>
    <mergeCell ref="V123:AK123"/>
    <mergeCell ref="C123:R123"/>
  </mergeCells>
  <phoneticPr fontId="77"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zoomScaleNormal="100" workbookViewId="0">
      <selection activeCell="B6" sqref="B6"/>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501" t="s">
        <v>1010</v>
      </c>
      <c r="B1" s="501"/>
      <c r="C1" s="501"/>
      <c r="D1" s="501"/>
      <c r="E1" s="501"/>
      <c r="F1" s="501"/>
      <c r="G1" s="501"/>
      <c r="H1" s="501"/>
      <c r="I1" s="501"/>
      <c r="J1" s="501"/>
      <c r="K1" s="501"/>
      <c r="L1" s="501"/>
      <c r="M1" s="501"/>
      <c r="N1" s="502"/>
      <c r="O1" s="502"/>
      <c r="P1" s="502"/>
      <c r="Q1" s="502"/>
      <c r="R1" s="502"/>
      <c r="S1" s="502"/>
    </row>
    <row r="2" spans="1:19" ht="37.5" customHeight="1" x14ac:dyDescent="0.15">
      <c r="A2" s="460" t="s">
        <v>1362</v>
      </c>
      <c r="B2" s="454"/>
      <c r="C2" s="454"/>
      <c r="D2" s="454"/>
      <c r="E2" s="454"/>
      <c r="F2" s="454"/>
      <c r="G2" s="454"/>
      <c r="H2" s="454"/>
      <c r="I2" s="454"/>
      <c r="J2" s="454"/>
      <c r="K2" s="454"/>
      <c r="L2" s="454"/>
      <c r="M2" s="454"/>
      <c r="N2" s="241"/>
      <c r="O2" s="241"/>
      <c r="P2" s="241"/>
      <c r="Q2" s="241"/>
      <c r="R2" s="241"/>
      <c r="S2" s="241"/>
    </row>
    <row r="3" spans="1:19" ht="16.5" customHeight="1" x14ac:dyDescent="0.15"/>
    <row r="4" spans="1:19" ht="33.75" customHeight="1" x14ac:dyDescent="0.15">
      <c r="B4" s="335" t="s">
        <v>1011</v>
      </c>
    </row>
    <row r="5" spans="1:19" ht="24" customHeight="1" x14ac:dyDescent="0.15">
      <c r="B5" s="242" t="s">
        <v>19</v>
      </c>
      <c r="D5" t="s">
        <v>1012</v>
      </c>
      <c r="F5" s="40"/>
    </row>
    <row r="6" spans="1:19" ht="33" customHeight="1" x14ac:dyDescent="0.15">
      <c r="B6" s="302" t="s">
        <v>438</v>
      </c>
    </row>
    <row r="8" spans="1:19" ht="23" x14ac:dyDescent="0.15">
      <c r="B8" s="476" t="s">
        <v>886</v>
      </c>
      <c r="C8" s="477"/>
      <c r="D8" s="477"/>
      <c r="E8" s="477"/>
      <c r="F8" s="478"/>
    </row>
    <row r="9" spans="1:19" ht="56" x14ac:dyDescent="0.15">
      <c r="B9" s="62"/>
      <c r="C9" s="219" t="s">
        <v>887</v>
      </c>
      <c r="D9" s="63" t="s">
        <v>888</v>
      </c>
      <c r="E9" s="63" t="s">
        <v>889</v>
      </c>
      <c r="F9" s="63" t="s">
        <v>890</v>
      </c>
      <c r="G9" s="64"/>
      <c r="H9" s="219" t="s">
        <v>990</v>
      </c>
      <c r="I9" s="219" t="s">
        <v>892</v>
      </c>
      <c r="J9" s="64"/>
      <c r="K9" s="219" t="s">
        <v>893</v>
      </c>
      <c r="L9" s="219" t="s">
        <v>894</v>
      </c>
      <c r="M9" s="64"/>
    </row>
    <row r="10" spans="1:19" x14ac:dyDescent="0.15">
      <c r="B10" s="65" t="str">
        <f>B6</f>
        <v>GM SM CP Manchester Stockport Trafford</v>
      </c>
      <c r="C10" s="111" t="str">
        <f>IFERROR(SUM((SUMIFS('capacity data'!$G:$G,'capacity data'!$E:$E,"PO",'capacity data'!$C:$C,B6))-SUMIFS('capacity data'!$H:$H,'capacity data'!$E:$E,"PO",'capacity data'!$C:$C,B6))/SUMIFS('capacity data'!$G:$G,'capacity data'!$E:$E,"PO",'capacity data'!$C:$C,B6),"")</f>
        <v/>
      </c>
      <c r="D10" s="67" t="str">
        <f>IFERROR(SUM((SUMIFS('capacity data'!$G:$G,'capacity data'!$E:$E,"PSO",'capacity data'!$C:$C,B6))-SUMIFS('capacity data'!$H:$H,'capacity data'!$E:$E,"PSO",'capacity data'!$C:$C,B6))/SUMIFS('capacity data'!$G:$G,'capacity data'!$E:$E,"PSO",'capacity data'!$C:$C,B6),"")</f>
        <v/>
      </c>
      <c r="E10" s="67" t="str">
        <f>IFERROR(SUM((SUMIFS('capacity data'!$G:$G,'capacity data'!$E:$E,"TPO",'capacity data'!$C:$C,B6))-SUMIFS('capacity data'!$H:$H,'capacity data'!$E:$E,"TPO",'capacity data'!$C:$C,B6))/SUMIFS('capacity data'!$G:$G,'capacity data'!$E:$E,"TPO",'capacity data'!$C:$C,B6),"")</f>
        <v/>
      </c>
      <c r="F10" s="67" t="str">
        <f>IFERROR(SUM((SUMIFS('capacity data'!G:G,'capacity data'!C:C,'team overview'!B6))-SUMIFS('capacity data'!H:H,'capacity data'!C:C,'team overview'!B6))/SUMIFS('capacity data'!G:G,'capacity data'!C:C,'team overview'!B6),"")</f>
        <v/>
      </c>
      <c r="G10" s="64"/>
      <c r="H10" s="66" t="e">
        <f>SUMIFS('capacity data'!$L:$L,'capacity data'!$C:$C,$B$6,'capacity data'!$E:$E,"PSO")/SUM((SUMIFS('capacity data'!$G:$G,'capacity data'!$E:$E,"PSO",'capacity data'!$C:$C,$B$6))-SUMIFS('capacity data'!$H:$H,'capacity data'!$E:$E,"PSO",'capacity data'!$C:$C,$B$6))</f>
        <v>#DIV/0!</v>
      </c>
      <c r="I10" s="211" t="e">
        <f>SUMIFS('capacity data'!$L:$L,'capacity data'!$C:$C,$B$6,'capacity data'!$E:$E,"PSO")/SUMIFS('capacity data'!$G:$G,'capacity data'!$E:$E,"PSO",'capacity data'!$C:$C,$B$6)</f>
        <v>#DIV/0!</v>
      </c>
      <c r="J10" s="64"/>
      <c r="K10" s="66" t="e">
        <f>SUMIFS('capacity data'!$L:$L,'capacity data'!$C:$C,$B$6,'capacity data'!$E:$E,"TPO")/SUM((SUMIFS('capacity data'!$G:$G,'capacity data'!$E:$E,"TPO",'capacity data'!$C:$C,$B$6))-SUMIFS('capacity data'!$H:$H,'capacity data'!$E:$E,"TPO",'capacity data'!$C:$C,$B$6))</f>
        <v>#DIV/0!</v>
      </c>
      <c r="L10" s="211" t="e">
        <f>SUMIFS('capacity data'!$L:$L,'capacity data'!$C:$C,$B$6,'capacity data'!$E:$E,"TPO")/SUMIFS('capacity data'!$G:$G,'capacity data'!$E:$E,"TPO",'capacity data'!$C:$C,$B$6)</f>
        <v>#DIV/0!</v>
      </c>
      <c r="M10" s="64"/>
    </row>
    <row r="11" spans="1:19" x14ac:dyDescent="0.15">
      <c r="B11" s="106" t="s">
        <v>895</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data'!E:E,"PSO",'capacity data'!G:G))-SUMIF('capacity data'!E:E,"PSO",'capacity data'!H:H))/SUMIF('capacity data'!E:E,"PSO",'capacity data'!G:G)</f>
        <v>#DIV/0!</v>
      </c>
      <c r="F11" s="82" t="e">
        <f>SUM((SUM('capacity data'!G:G)-SUM('capacity data'!H:H))/SUM('capacity data'!G:G))</f>
        <v>#DIV/0!</v>
      </c>
      <c r="G11" s="64"/>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c r="M11" s="64"/>
    </row>
    <row r="12" spans="1:19" x14ac:dyDescent="0.15">
      <c r="B12" s="119" t="s">
        <v>985</v>
      </c>
      <c r="C12" s="120" t="e">
        <f>+C10-C11</f>
        <v>#VALUE!</v>
      </c>
      <c r="D12" s="103" t="str">
        <f>IFERROR(+D10-D11,"N/A")</f>
        <v>N/A</v>
      </c>
      <c r="E12" s="103" t="str">
        <f>IFERROR(+E10-E11,"N/A")</f>
        <v>N/A</v>
      </c>
      <c r="F12" s="103" t="e">
        <f>+F10-F11</f>
        <v>#VALUE!</v>
      </c>
      <c r="G12" s="64"/>
      <c r="H12" s="99" t="e">
        <f>+H10-H11</f>
        <v>#DIV/0!</v>
      </c>
      <c r="I12" s="121" t="e">
        <f>+I10-I11</f>
        <v>#DIV/0!</v>
      </c>
      <c r="J12" s="64"/>
      <c r="K12" s="99" t="e">
        <f>+K10-K11</f>
        <v>#DIV/0!</v>
      </c>
      <c r="L12" s="121" t="e">
        <f>+L10-L11</f>
        <v>#DIV/0!</v>
      </c>
      <c r="M12" s="64"/>
    </row>
    <row r="13" spans="1:19" x14ac:dyDescent="0.15">
      <c r="B13" s="64"/>
      <c r="C13" s="64"/>
      <c r="D13" s="64"/>
      <c r="E13" s="64"/>
      <c r="F13" s="64"/>
      <c r="G13" s="64"/>
      <c r="H13" s="64"/>
      <c r="I13" s="64"/>
      <c r="J13" s="64"/>
      <c r="K13" s="64"/>
      <c r="L13" s="64"/>
      <c r="M13" s="64"/>
    </row>
    <row r="14" spans="1:19" ht="50.25" customHeight="1" x14ac:dyDescent="0.15">
      <c r="B14" s="69"/>
      <c r="C14" s="70" t="s">
        <v>898</v>
      </c>
      <c r="D14" s="70" t="s">
        <v>899</v>
      </c>
      <c r="E14" s="70" t="s">
        <v>900</v>
      </c>
      <c r="F14" s="70" t="s">
        <v>901</v>
      </c>
      <c r="G14" s="70" t="s">
        <v>902</v>
      </c>
      <c r="H14" s="70" t="s">
        <v>903</v>
      </c>
      <c r="I14" s="70" t="s">
        <v>904</v>
      </c>
      <c r="J14" s="71" t="s">
        <v>905</v>
      </c>
      <c r="K14" s="70" t="s">
        <v>906</v>
      </c>
      <c r="L14" s="70" t="s">
        <v>907</v>
      </c>
      <c r="M14" s="70" t="s">
        <v>908</v>
      </c>
    </row>
    <row r="15" spans="1:19" ht="20.25" customHeight="1" x14ac:dyDescent="0.15">
      <c r="B15" s="72" t="str">
        <f>B6</f>
        <v>GM SM CP Manchester Stockport Trafford</v>
      </c>
      <c r="C15" s="213">
        <f>COUNTIFS('capacity data'!C:C,'team overview'!B6,'capacity data'!E:E,"PO")</f>
        <v>0</v>
      </c>
      <c r="D15" s="213">
        <f>COUNTIFS('capacity data'!C:C,B6,'capacity data'!E:E,"PO",'capacity data'!F:F,"&gt;110%")</f>
        <v>0</v>
      </c>
      <c r="E15" s="73" t="e">
        <f>D15/C15</f>
        <v>#DIV/0!</v>
      </c>
      <c r="F15" s="213">
        <f>COUNTIFS('capacity data'!C:C,'team overview'!B6,'capacity data'!E:E,"PSO")</f>
        <v>0</v>
      </c>
      <c r="G15" s="213">
        <f>COUNTIFS('capacity data'!C:C,B6,'capacity data'!E:E,"PSO",'capacity data'!F:F,"&gt;110%")</f>
        <v>0</v>
      </c>
      <c r="H15" s="74" t="str">
        <f>IFERROR(G15/F15,"N/A")</f>
        <v>N/A</v>
      </c>
      <c r="I15" s="213">
        <f>COUNTIFS('capacity data'!C:C,B6,'capacity data'!E:E,"PSO",'capacity data'!F:F,"&lt;910%")</f>
        <v>0</v>
      </c>
      <c r="J15" s="74" t="str">
        <f>IFERROR(I15/F15,"")</f>
        <v/>
      </c>
      <c r="K15" s="213">
        <f>COUNTIFS('capacity data'!C:C,'team overview'!B6,'capacity data'!E:E,"TPO")</f>
        <v>0</v>
      </c>
      <c r="L15" s="213">
        <f>COUNTIFS('capacity data'!C:C,B6,'capacity data'!E:E,"TPO",'capacity data'!F:F,"&gt;110%")</f>
        <v>0</v>
      </c>
      <c r="M15" s="67" t="str">
        <f>IFERROR(L15/K15,"N/A")</f>
        <v>N/A</v>
      </c>
    </row>
    <row r="16" spans="1:19" x14ac:dyDescent="0.15">
      <c r="B16" s="106" t="s">
        <v>997</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985</v>
      </c>
      <c r="C17" s="100" t="s">
        <v>910</v>
      </c>
      <c r="D17" s="100" t="s">
        <v>910</v>
      </c>
      <c r="E17" s="101" t="e">
        <f>+E15-E16</f>
        <v>#DIV/0!</v>
      </c>
      <c r="F17" s="100" t="s">
        <v>910</v>
      </c>
      <c r="G17" s="100" t="s">
        <v>910</v>
      </c>
      <c r="H17" s="101" t="str">
        <f>IFERROR(+H15-H16,"N/A")</f>
        <v>N/A</v>
      </c>
      <c r="I17" s="100" t="s">
        <v>910</v>
      </c>
      <c r="J17" s="101" t="str">
        <f>IFERROR(+J15-J16,"N/A")</f>
        <v>N/A</v>
      </c>
      <c r="K17" s="100" t="s">
        <v>910</v>
      </c>
      <c r="L17" s="100" t="s">
        <v>910</v>
      </c>
      <c r="M17" s="101" t="str">
        <f>IFERROR(+M15-M16,"N/A")</f>
        <v>N/A</v>
      </c>
    </row>
    <row r="19" spans="2:13" ht="23" x14ac:dyDescent="0.15">
      <c r="B19" s="476" t="s">
        <v>911</v>
      </c>
      <c r="C19" s="477"/>
      <c r="D19" s="477"/>
      <c r="E19" s="477"/>
      <c r="F19" s="477"/>
      <c r="G19" s="477"/>
      <c r="H19" s="477"/>
    </row>
    <row r="20" spans="2:13" ht="49.5" customHeight="1" x14ac:dyDescent="0.15">
      <c r="B20" s="76"/>
      <c r="C20" s="63" t="s">
        <v>992</v>
      </c>
      <c r="D20" s="63" t="s">
        <v>993</v>
      </c>
      <c r="E20" s="63" t="s">
        <v>994</v>
      </c>
      <c r="F20" s="63" t="s">
        <v>915</v>
      </c>
      <c r="G20" s="219" t="s">
        <v>1013</v>
      </c>
      <c r="H20" s="219" t="s">
        <v>996</v>
      </c>
    </row>
    <row r="21" spans="2:13" x14ac:dyDescent="0.15">
      <c r="B21" s="62" t="str">
        <f>B6</f>
        <v>GM SM CP Manchester Stockport Trafford</v>
      </c>
      <c r="C21" s="75">
        <f>SUMIFS('capacity data'!K:K,'capacity data'!C:C,'team overview'!B6,'capacity data'!E:E,"SPO")</f>
        <v>0</v>
      </c>
      <c r="D21" s="75">
        <f>SUMIFS('capacity data'!K:K,'capacity data'!C:C,'team overview'!B6,'capacity data'!E:E,"DMY")</f>
        <v>0</v>
      </c>
      <c r="E21" s="75">
        <f>SUM(C21:D21)</f>
        <v>0</v>
      </c>
      <c r="F21" s="77">
        <f>SUMIF('capacity data'!C:C,'team overview'!B6,'capacity data'!K:K)</f>
        <v>0</v>
      </c>
      <c r="G21" s="66" t="e">
        <f>E21/F21</f>
        <v>#DIV/0!</v>
      </c>
      <c r="H21" s="78">
        <f>SUMIF('caseload data'!C:C,'team overview'!#REF!,'caseload data'!U:U)</f>
        <v>0</v>
      </c>
    </row>
    <row r="22" spans="2:13" x14ac:dyDescent="0.15">
      <c r="B22" s="79" t="s">
        <v>997</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985</v>
      </c>
      <c r="C23" s="100" t="s">
        <v>910</v>
      </c>
      <c r="D23" s="100" t="s">
        <v>910</v>
      </c>
      <c r="E23" s="100" t="s">
        <v>910</v>
      </c>
      <c r="F23" s="104" t="s">
        <v>910</v>
      </c>
      <c r="G23" s="104" t="e">
        <f>+G21-G22</f>
        <v>#DIV/0!</v>
      </c>
      <c r="H23" s="100" t="s">
        <v>910</v>
      </c>
    </row>
    <row r="26" spans="2:13" ht="23" x14ac:dyDescent="0.15">
      <c r="B26" s="476" t="s">
        <v>918</v>
      </c>
      <c r="C26" s="477"/>
      <c r="D26" s="477"/>
      <c r="E26" s="477"/>
      <c r="F26" s="477"/>
      <c r="G26" s="477"/>
      <c r="H26" s="477"/>
      <c r="I26" s="477"/>
      <c r="J26" s="477"/>
      <c r="K26" s="477"/>
    </row>
    <row r="27" spans="2:13" ht="48.75" customHeight="1" x14ac:dyDescent="0.15">
      <c r="B27" s="84"/>
      <c r="C27" s="219" t="s">
        <v>919</v>
      </c>
      <c r="D27" s="219" t="s">
        <v>920</v>
      </c>
      <c r="E27" s="219" t="s">
        <v>921</v>
      </c>
      <c r="F27" s="219" t="s">
        <v>922</v>
      </c>
      <c r="G27" s="219" t="s">
        <v>923</v>
      </c>
      <c r="H27" s="219" t="s">
        <v>924</v>
      </c>
      <c r="I27" s="219" t="s">
        <v>925</v>
      </c>
      <c r="J27" s="219" t="s">
        <v>926</v>
      </c>
      <c r="K27" s="219" t="s">
        <v>927</v>
      </c>
    </row>
    <row r="28" spans="2:13" x14ac:dyDescent="0.15">
      <c r="B28" s="62" t="str">
        <f>B6</f>
        <v>GM SM CP Manchester Stockport Trafford</v>
      </c>
      <c r="C28" s="85">
        <f>SUMIFS('capacity data'!I:I,'capacity data'!C:C,'team overview'!B6,'capacity data'!E:E,"PO")</f>
        <v>0</v>
      </c>
      <c r="D28" s="86">
        <f>SUMIFS('capacity data'!J:J,'capacity data'!C:C,'team overview'!B6,'capacity data'!E:E,"PO")</f>
        <v>0</v>
      </c>
      <c r="E28" s="87" t="e">
        <f>D28/C28</f>
        <v>#DIV/0!</v>
      </c>
      <c r="F28" s="86">
        <f>SUMIFS('capacity data'!I:I,'capacity data'!C:C,'team overview'!B6,'capacity data'!E:E,"PSO")</f>
        <v>0</v>
      </c>
      <c r="G28" s="86">
        <f>SUMIFS('capacity data'!J:J,'capacity data'!C:C,'team overview'!B6,'capacity data'!E:E,"PSO")</f>
        <v>0</v>
      </c>
      <c r="H28" s="87" t="str">
        <f>IFERROR(G28/F28,"N/A")</f>
        <v>N/A</v>
      </c>
      <c r="I28" s="86">
        <f>SUMIFS('capacity data'!I:I,'capacity data'!C:C,'team overview'!B6,'capacity data'!E:E,"TPO")</f>
        <v>0</v>
      </c>
      <c r="J28" s="88">
        <f>SUMIFS('capacity data'!J:J,'capacity data'!C:C,'team overview'!B6,'capacity data'!E:E,"TPO")</f>
        <v>0</v>
      </c>
      <c r="K28" s="87" t="str">
        <f>IFERROR(J28/I28,"N/A")</f>
        <v>N/A</v>
      </c>
    </row>
    <row r="29" spans="2:13" x14ac:dyDescent="0.15">
      <c r="B29" s="106" t="s">
        <v>909</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985</v>
      </c>
      <c r="C30" s="100" t="s">
        <v>910</v>
      </c>
      <c r="D30" s="100" t="s">
        <v>910</v>
      </c>
      <c r="E30" s="99" t="e">
        <f>+E28-E29</f>
        <v>#DIV/0!</v>
      </c>
      <c r="F30" s="100" t="s">
        <v>910</v>
      </c>
      <c r="G30" s="100" t="s">
        <v>910</v>
      </c>
      <c r="H30" s="99" t="str">
        <f>IFERROR(+H28-H29,"N/A")</f>
        <v>N/A</v>
      </c>
      <c r="I30" s="100" t="s">
        <v>910</v>
      </c>
      <c r="J30" s="100" t="s">
        <v>910</v>
      </c>
      <c r="K30" s="99" t="str">
        <f>IFERROR(+K28-K29,"N/A")</f>
        <v>N/A</v>
      </c>
    </row>
    <row r="32" spans="2:13" ht="37.5" customHeight="1" x14ac:dyDescent="0.15">
      <c r="B32" s="498" t="s">
        <v>1014</v>
      </c>
      <c r="C32" s="499"/>
      <c r="D32" s="499"/>
      <c r="F32" s="500" t="s">
        <v>1015</v>
      </c>
      <c r="G32" s="500"/>
    </row>
    <row r="33" spans="1:7" ht="60.75" customHeight="1" x14ac:dyDescent="0.15">
      <c r="B33" s="76" t="s">
        <v>931</v>
      </c>
      <c r="C33" s="219" t="s">
        <v>1001</v>
      </c>
      <c r="D33" s="219" t="s">
        <v>933</v>
      </c>
      <c r="E33" s="64"/>
      <c r="F33" s="215" t="s">
        <v>1016</v>
      </c>
      <c r="G33" s="214">
        <f>COUNTIFS('reductions data'!C:C,'team overview'!B6,'reductions data'!K:K,"ACTIVE")</f>
        <v>0</v>
      </c>
    </row>
    <row r="34" spans="1:7" x14ac:dyDescent="0.15">
      <c r="B34" s="112" t="s">
        <v>842</v>
      </c>
      <c r="C34" s="89">
        <f>COUNTIFS('reductions data'!C:C,'team overview'!$B$6,'reductions data'!G:G,'team overview'!B34)</f>
        <v>0</v>
      </c>
      <c r="D34" s="90">
        <f>SUMIFS('reductions data'!H:H,'reductions data'!$C:$C,'team overview'!$B$6,'reductions data'!G:G,'team overview'!B34)</f>
        <v>0</v>
      </c>
      <c r="E34" s="64"/>
      <c r="F34" s="487" t="s">
        <v>1017</v>
      </c>
      <c r="G34" s="488">
        <f>SUMIF('reductions data'!C:C,'team overview'!B6,'reductions data'!H:H)</f>
        <v>0</v>
      </c>
    </row>
    <row r="35" spans="1:7" x14ac:dyDescent="0.15">
      <c r="B35" s="113" t="s">
        <v>844</v>
      </c>
      <c r="C35" s="89">
        <f>COUNTIFS('reductions data'!C:C,'team overview'!$B$6,'reductions data'!G:G,'team overview'!B35)</f>
        <v>0</v>
      </c>
      <c r="D35" s="90">
        <f>SUMIFS('reductions data'!H:H,'reductions data'!$C:$C,'team overview'!$B$6,'reductions data'!G:G,'team overview'!B35)</f>
        <v>0</v>
      </c>
      <c r="E35" s="64"/>
      <c r="F35" s="447"/>
      <c r="G35" s="447"/>
    </row>
    <row r="36" spans="1:7" x14ac:dyDescent="0.15">
      <c r="B36" s="113" t="s">
        <v>843</v>
      </c>
      <c r="C36" s="89">
        <f>COUNTIFS('reductions data'!C:C,'team overview'!$B$6,'reductions data'!G:G,'team overview'!B36)</f>
        <v>0</v>
      </c>
      <c r="D36" s="90">
        <f>SUMIFS('reductions data'!H:H,'reductions data'!$C:$C,'team overview'!$B$6,'reductions data'!G:G,'team overview'!B36)</f>
        <v>0</v>
      </c>
      <c r="E36" s="91"/>
      <c r="F36" s="447"/>
      <c r="G36" s="447"/>
    </row>
    <row r="37" spans="1:7" x14ac:dyDescent="0.15">
      <c r="B37" s="113" t="s">
        <v>845</v>
      </c>
      <c r="C37" s="89">
        <f>COUNTIFS('reductions data'!C:C,'team overview'!$B$6,'reductions data'!G:G,'team overview'!B37)</f>
        <v>0</v>
      </c>
      <c r="D37" s="90">
        <f>SUMIFS('reductions data'!H:H,'reductions data'!$C:$C,'team overview'!$B$6,'reductions data'!G:G,'team overview'!B37)</f>
        <v>0</v>
      </c>
      <c r="E37" s="91"/>
      <c r="F37" s="493" t="s">
        <v>1018</v>
      </c>
      <c r="G37" s="488">
        <f>SUMIF('capacity data'!C:C,'team overview'!B6,'capacity data'!I:I)</f>
        <v>0</v>
      </c>
    </row>
    <row r="38" spans="1:7" x14ac:dyDescent="0.15">
      <c r="B38" s="113" t="s">
        <v>846</v>
      </c>
      <c r="C38" s="89">
        <f>COUNTIFS('reductions data'!C:C,'team overview'!$B$6,'reductions data'!G:G,'team overview'!B38)</f>
        <v>0</v>
      </c>
      <c r="D38" s="90">
        <f>SUMIFS('reductions data'!H:H,'reductions data'!$C:$C,'team overview'!$B$6,'reductions data'!G:G,'team overview'!B38)</f>
        <v>0</v>
      </c>
      <c r="E38" s="91"/>
      <c r="F38" s="447"/>
      <c r="G38" s="447"/>
    </row>
    <row r="39" spans="1:7" x14ac:dyDescent="0.15">
      <c r="B39" s="113" t="s">
        <v>847</v>
      </c>
      <c r="C39" s="89">
        <f>COUNTIFS('reductions data'!C:C,'team overview'!$B$6,'reductions data'!G:G,'team overview'!B39)</f>
        <v>0</v>
      </c>
      <c r="D39" s="90">
        <f>SUMIFS('reductions data'!H:H,'reductions data'!$C:$C,'team overview'!$B$6,'reductions data'!G:G,'team overview'!B39)</f>
        <v>0</v>
      </c>
      <c r="E39" s="91"/>
      <c r="F39" s="447"/>
      <c r="G39" s="447"/>
    </row>
    <row r="40" spans="1:7" x14ac:dyDescent="0.15">
      <c r="B40" s="113" t="s">
        <v>848</v>
      </c>
      <c r="C40" s="89">
        <f>COUNTIFS('reductions data'!C:C,'team overview'!$B$6,'reductions data'!G:G,'team overview'!B40)</f>
        <v>0</v>
      </c>
      <c r="D40" s="90">
        <f>SUMIFS('reductions data'!H:H,'reductions data'!$C:$C,'team overview'!$B$6,'reductions data'!G:G,'team overview'!B40)</f>
        <v>0</v>
      </c>
      <c r="E40" s="91"/>
      <c r="F40" s="224"/>
      <c r="G40" s="224"/>
    </row>
    <row r="41" spans="1:7" ht="15.75" customHeight="1" x14ac:dyDescent="0.15">
      <c r="A41" s="91"/>
      <c r="B41" s="113" t="s">
        <v>849</v>
      </c>
      <c r="C41" s="89">
        <f>COUNTIFS('reductions data'!C:C,'team overview'!$B$6,'reductions data'!G:G,'team overview'!B41)</f>
        <v>0</v>
      </c>
      <c r="D41" s="90">
        <f>SUMIFS('reductions data'!H:H,'reductions data'!$C:$C,'team overview'!$B$6,'reductions data'!G:G,'team overview'!B41)</f>
        <v>0</v>
      </c>
      <c r="E41" s="91"/>
      <c r="F41" s="494" t="s">
        <v>1019</v>
      </c>
      <c r="G41" s="496" t="e">
        <f>G34/G37</f>
        <v>#DIV/0!</v>
      </c>
    </row>
    <row r="42" spans="1:7" ht="15.75" customHeight="1" x14ac:dyDescent="0.15">
      <c r="A42" s="91"/>
      <c r="B42" s="113" t="s">
        <v>1204</v>
      </c>
      <c r="C42" s="89">
        <f>COUNTIFS('reductions data'!C:C,'team overview'!$B$6,'reductions data'!G:G,'team overview'!B42)</f>
        <v>0</v>
      </c>
      <c r="D42" s="90">
        <f>SUMIFS('reductions data'!H:H,'reductions data'!$C:$C,'team overview'!$B$6,'reductions data'!G:G,'team overview'!B42)</f>
        <v>0</v>
      </c>
      <c r="E42" s="91"/>
      <c r="F42" s="495"/>
      <c r="G42" s="497"/>
    </row>
    <row r="43" spans="1:7" x14ac:dyDescent="0.15">
      <c r="B43" s="113" t="s">
        <v>850</v>
      </c>
      <c r="C43" s="89">
        <f>COUNTIFS('reductions data'!C:C,'team overview'!$B$6,'reductions data'!G:G,'team overview'!B43)</f>
        <v>0</v>
      </c>
      <c r="D43" s="90">
        <f>SUMIFS('reductions data'!H:H,'reductions data'!$C:$C,'team overview'!$B$6,'reductions data'!G:G,'team overview'!B43)</f>
        <v>0</v>
      </c>
      <c r="E43" s="91"/>
      <c r="F43" s="482"/>
      <c r="G43" s="485"/>
    </row>
    <row r="44" spans="1:7" x14ac:dyDescent="0.15">
      <c r="B44" s="113" t="s">
        <v>851</v>
      </c>
      <c r="C44" s="89">
        <f>COUNTIFS('reductions data'!C:C,'team overview'!$B$6,'reductions data'!G:G,'team overview'!B44)</f>
        <v>0</v>
      </c>
      <c r="D44" s="90">
        <f>SUMIFS('reductions data'!H:H,'reductions data'!$C:$C,'team overview'!$B$6,'reductions data'!G:G,'team overview'!B44)</f>
        <v>0</v>
      </c>
      <c r="E44" s="91"/>
      <c r="F44" s="482"/>
      <c r="G44" s="485"/>
    </row>
    <row r="45" spans="1:7" x14ac:dyDescent="0.15">
      <c r="B45" s="113" t="s">
        <v>852</v>
      </c>
      <c r="C45" s="89">
        <f>COUNTIFS('reductions data'!C:C,'team overview'!$B$6,'reductions data'!G:G,'team overview'!B45)</f>
        <v>0</v>
      </c>
      <c r="D45" s="90">
        <f>SUMIFS('reductions data'!H:H,'reductions data'!$C:$C,'team overview'!$B$6,'reductions data'!G:G,'team overview'!B45)</f>
        <v>0</v>
      </c>
      <c r="E45" s="91"/>
      <c r="F45" s="482"/>
      <c r="G45" s="485"/>
    </row>
    <row r="46" spans="1:7" x14ac:dyDescent="0.15">
      <c r="B46" s="113" t="s">
        <v>853</v>
      </c>
      <c r="C46" s="89">
        <f>COUNTIFS('reductions data'!C:C,'team overview'!$B$6,'reductions data'!G:G,'team overview'!B46)</f>
        <v>0</v>
      </c>
      <c r="D46" s="90">
        <f>SUMIFS('reductions data'!H:H,'reductions data'!$C:$C,'team overview'!$B$6,'reductions data'!G:G,'team overview'!B46)</f>
        <v>0</v>
      </c>
      <c r="E46" s="91"/>
      <c r="F46" s="483"/>
      <c r="G46" s="486"/>
    </row>
    <row r="47" spans="1:7" ht="15.75" customHeight="1" x14ac:dyDescent="0.15">
      <c r="B47" s="113" t="s">
        <v>855</v>
      </c>
      <c r="C47" s="89">
        <f>COUNTIFS('reductions data'!C:C,'team overview'!$B$6,'reductions data'!G:G,'team overview'!B47)</f>
        <v>0</v>
      </c>
      <c r="D47" s="90">
        <f>SUMIFS('reductions data'!H:H,'reductions data'!$C:$C,'team overview'!$B$6,'reductions data'!G:G,'team overview'!B47)</f>
        <v>0</v>
      </c>
      <c r="E47" s="91"/>
      <c r="F47" s="481" t="s">
        <v>1007</v>
      </c>
      <c r="G47" s="484" t="e">
        <f>+G41-'div &amp; regional reduction hours'!N18</f>
        <v>#DIV/0!</v>
      </c>
    </row>
    <row r="48" spans="1:7" x14ac:dyDescent="0.15">
      <c r="B48" s="113" t="s">
        <v>858</v>
      </c>
      <c r="C48" s="89">
        <f>COUNTIFS('reductions data'!C:C,'team overview'!$B$6,'reductions data'!G:G,'team overview'!B48)</f>
        <v>0</v>
      </c>
      <c r="D48" s="90">
        <f>SUMIFS('reductions data'!H:H,'reductions data'!$C:$C,'team overview'!$B$6,'reductions data'!G:G,'team overview'!B48)</f>
        <v>0</v>
      </c>
      <c r="E48" s="91"/>
      <c r="F48" s="482"/>
      <c r="G48" s="485"/>
    </row>
    <row r="49" spans="2:7" x14ac:dyDescent="0.15">
      <c r="B49" s="113" t="s">
        <v>854</v>
      </c>
      <c r="C49" s="89">
        <f>COUNTIFS('reductions data'!C:C,'team overview'!$B$6,'reductions data'!G:G,'team overview'!B49)</f>
        <v>0</v>
      </c>
      <c r="D49" s="90">
        <f>SUMIFS('reductions data'!H:H,'reductions data'!$C:$C,'team overview'!$B$6,'reductions data'!G:G,'team overview'!B49)</f>
        <v>0</v>
      </c>
      <c r="E49" s="91"/>
      <c r="F49" s="482"/>
      <c r="G49" s="485"/>
    </row>
    <row r="50" spans="2:7" x14ac:dyDescent="0.15">
      <c r="B50" s="113" t="s">
        <v>939</v>
      </c>
      <c r="C50" s="89">
        <f>COUNTIFS('reductions data'!C:C,'team overview'!$B$6,'reductions data'!G:G,'team overview'!B50)</f>
        <v>0</v>
      </c>
      <c r="D50" s="90">
        <f>SUMIFS('reductions data'!H:H,'reductions data'!$C:$C,'team overview'!$B$6,'reductions data'!G:G,'team overview'!B50)</f>
        <v>0</v>
      </c>
      <c r="E50" s="91"/>
      <c r="F50" s="482"/>
      <c r="G50" s="485"/>
    </row>
    <row r="51" spans="2:7" x14ac:dyDescent="0.15">
      <c r="B51" s="113" t="s">
        <v>859</v>
      </c>
      <c r="C51" s="89">
        <f>COUNTIFS('reductions data'!C:C,'team overview'!$B$6,'reductions data'!G:G,'team overview'!B51)</f>
        <v>0</v>
      </c>
      <c r="D51" s="90">
        <f>SUMIFS('reductions data'!H:H,'reductions data'!$C:$C,'team overview'!$B$6,'reductions data'!G:G,'team overview'!B51)</f>
        <v>0</v>
      </c>
      <c r="E51" s="91"/>
      <c r="F51" s="483"/>
      <c r="G51" s="486"/>
    </row>
    <row r="52" spans="2:7" x14ac:dyDescent="0.15">
      <c r="B52" s="113" t="s">
        <v>860</v>
      </c>
      <c r="C52" s="89">
        <f>COUNTIFS('reductions data'!C:C,'team overview'!$B$6,'reductions data'!G:G,'team overview'!B52)</f>
        <v>0</v>
      </c>
      <c r="D52" s="90">
        <f>SUMIFS('reductions data'!H:H,'reductions data'!$C:$C,'team overview'!$B$6,'reductions data'!G:G,'team overview'!B52)</f>
        <v>0</v>
      </c>
      <c r="E52" s="91"/>
      <c r="F52" s="91"/>
      <c r="G52" s="64"/>
    </row>
    <row r="53" spans="2:7" x14ac:dyDescent="0.15">
      <c r="B53" s="113" t="s">
        <v>861</v>
      </c>
      <c r="C53" s="89">
        <f>COUNTIFS('reductions data'!C:C,'team overview'!$B$6,'reductions data'!G:G,'team overview'!B53)</f>
        <v>0</v>
      </c>
      <c r="D53" s="90">
        <f>SUMIFS('reductions data'!H:H,'reductions data'!$C:$C,'team overview'!$B$6,'reductions data'!G:G,'team overview'!B53)</f>
        <v>0</v>
      </c>
      <c r="E53" s="91"/>
      <c r="F53" s="91"/>
      <c r="G53" s="64"/>
    </row>
    <row r="54" spans="2:7" x14ac:dyDescent="0.15">
      <c r="B54" s="113" t="s">
        <v>862</v>
      </c>
      <c r="C54" s="89">
        <f>COUNTIFS('reductions data'!C:C,'team overview'!$B$6,'reductions data'!G:G,'team overview'!B54)</f>
        <v>0</v>
      </c>
      <c r="D54" s="90">
        <f>SUMIFS('reductions data'!H:H,'reductions data'!$C:$C,'team overview'!$B$6,'reductions data'!G:G,'team overview'!B54)</f>
        <v>0</v>
      </c>
      <c r="E54" s="91"/>
      <c r="F54" s="91"/>
      <c r="G54" s="64"/>
    </row>
    <row r="55" spans="2:7" x14ac:dyDescent="0.15">
      <c r="B55" s="113" t="s">
        <v>863</v>
      </c>
      <c r="C55" s="89">
        <f>COUNTIFS('reductions data'!C:C,'team overview'!$B$6,'reductions data'!G:G,'team overview'!B55)</f>
        <v>0</v>
      </c>
      <c r="D55" s="90">
        <f>SUMIFS('reductions data'!H:H,'reductions data'!$C:$C,'team overview'!$B$6,'reductions data'!G:G,'team overview'!B55)</f>
        <v>0</v>
      </c>
      <c r="E55" s="91"/>
      <c r="F55" s="91"/>
      <c r="G55" s="64"/>
    </row>
    <row r="56" spans="2:7" x14ac:dyDescent="0.15">
      <c r="B56" s="113" t="s">
        <v>864</v>
      </c>
      <c r="C56" s="89">
        <f>COUNTIFS('reductions data'!C:C,'team overview'!$B$6,'reductions data'!G:G,'team overview'!B56)</f>
        <v>0</v>
      </c>
      <c r="D56" s="90">
        <f>SUMIFS('reductions data'!H:H,'reductions data'!$C:$C,'team overview'!$B$6,'reductions data'!G:G,'team overview'!B56)</f>
        <v>0</v>
      </c>
      <c r="E56" s="91"/>
      <c r="F56" s="91"/>
      <c r="G56" s="64"/>
    </row>
    <row r="57" spans="2:7" x14ac:dyDescent="0.15">
      <c r="B57" s="113" t="s">
        <v>865</v>
      </c>
      <c r="C57" s="89">
        <f>COUNTIFS('reductions data'!C:C,'team overview'!$B$6,'reductions data'!G:G,'team overview'!B57)</f>
        <v>0</v>
      </c>
      <c r="D57" s="90">
        <f>SUMIFS('reductions data'!H:H,'reductions data'!$C:$C,'team overview'!$B$6,'reductions data'!G:G,'team overview'!B57)</f>
        <v>0</v>
      </c>
      <c r="E57" s="91"/>
      <c r="F57" s="91"/>
      <c r="G57" s="64"/>
    </row>
    <row r="58" spans="2:7" x14ac:dyDescent="0.15">
      <c r="B58" s="113" t="s">
        <v>1197</v>
      </c>
      <c r="C58" s="89">
        <f>COUNTIFS('reductions data'!C:C,'team overview'!$B$6,'reductions data'!G:G,'team overview'!B58)</f>
        <v>0</v>
      </c>
      <c r="D58" s="90">
        <f>SUMIFS('reductions data'!H:H,'reductions data'!$C:$C,'team overview'!$B$6,'reductions data'!G:G,'team overview'!B58)</f>
        <v>0</v>
      </c>
      <c r="E58" s="91"/>
      <c r="F58" s="91"/>
      <c r="G58" s="64"/>
    </row>
    <row r="59" spans="2:7" x14ac:dyDescent="0.15">
      <c r="B59" s="113" t="s">
        <v>1198</v>
      </c>
      <c r="C59" s="89">
        <f>COUNTIFS('reductions data'!C:C,'team overview'!$B$6,'reductions data'!G:G,'team overview'!B59)</f>
        <v>0</v>
      </c>
      <c r="D59" s="90">
        <f>SUMIFS('reductions data'!H:H,'reductions data'!$C:$C,'team overview'!$B$6,'reductions data'!G:G,'team overview'!B59)</f>
        <v>0</v>
      </c>
      <c r="E59" s="91"/>
      <c r="F59" s="91"/>
      <c r="G59" s="64"/>
    </row>
    <row r="60" spans="2:7" x14ac:dyDescent="0.15">
      <c r="B60" s="320" t="s">
        <v>1195</v>
      </c>
      <c r="C60" s="89">
        <f>COUNTIFS('reductions data'!C:C,'team overview'!$B$6,'reductions data'!G:G,'team overview'!B60)</f>
        <v>0</v>
      </c>
      <c r="D60" s="90">
        <f>SUMIFS('reductions data'!H:H,'reductions data'!$C:$C,'team overview'!$B$6,'reductions data'!G:G,'team overview'!B60)</f>
        <v>0</v>
      </c>
      <c r="E60" s="91"/>
      <c r="F60" s="91"/>
      <c r="G60" s="64"/>
    </row>
    <row r="61" spans="2:7" x14ac:dyDescent="0.15">
      <c r="B61" s="320" t="s">
        <v>1196</v>
      </c>
      <c r="C61" s="89">
        <f>COUNTIFS('reductions data'!C:C,'team overview'!$B$6,'reductions data'!G:G,'team overview'!B61)</f>
        <v>0</v>
      </c>
      <c r="D61" s="90">
        <f>SUMIFS('reductions data'!H:H,'reductions data'!$C:$C,'team overview'!$B$6,'reductions data'!G:G,'team overview'!B61)</f>
        <v>0</v>
      </c>
      <c r="E61" s="91"/>
      <c r="F61" s="91"/>
      <c r="G61" s="64"/>
    </row>
    <row r="62" spans="2:7" x14ac:dyDescent="0.15">
      <c r="B62" s="320" t="s">
        <v>1205</v>
      </c>
      <c r="C62" s="89">
        <f>COUNTIFS('reductions data'!C:C,'team overview'!$B$6,'reductions data'!G:G,'team overview'!B62)</f>
        <v>0</v>
      </c>
      <c r="D62" s="90">
        <f>SUMIFS('reductions data'!H:H,'reductions data'!$C:$C,'team overview'!$B$6,'reductions data'!G:G,'team overview'!B62)</f>
        <v>0</v>
      </c>
      <c r="E62" s="91"/>
      <c r="F62" s="91"/>
      <c r="G62" s="64"/>
    </row>
    <row r="63" spans="2:7" x14ac:dyDescent="0.15">
      <c r="B63" s="112" t="s">
        <v>1199</v>
      </c>
      <c r="C63" s="89">
        <f>COUNTIFS('reductions data'!C:C,'team overview'!$B$6,'reductions data'!G:G,'team overview'!B63)</f>
        <v>0</v>
      </c>
      <c r="D63" s="90">
        <f>SUMIFS('reductions data'!H:H,'reductions data'!$C:$C,'team overview'!$B$6,'reductions data'!G:G,'team overview'!B63)</f>
        <v>0</v>
      </c>
      <c r="E63" s="91"/>
      <c r="F63" s="91"/>
      <c r="G63" s="64"/>
    </row>
    <row r="64" spans="2:7" x14ac:dyDescent="0.15">
      <c r="B64" s="113" t="s">
        <v>1200</v>
      </c>
      <c r="C64" s="89">
        <f>COUNTIFS('reductions data'!C:C,'team overview'!$B$6,'reductions data'!G:G,'team overview'!B64)</f>
        <v>0</v>
      </c>
      <c r="D64" s="90">
        <f>SUMIFS('reductions data'!H:H,'reductions data'!$C:$C,'team overview'!$B$6,'reductions data'!G:G,'team overview'!B64)</f>
        <v>0</v>
      </c>
      <c r="E64" s="91"/>
      <c r="F64" s="91"/>
      <c r="G64" s="64"/>
    </row>
    <row r="65" spans="2:19" x14ac:dyDescent="0.15">
      <c r="B65" s="113" t="s">
        <v>867</v>
      </c>
      <c r="C65" s="89">
        <f>COUNTIFS('reductions data'!C:C,'team overview'!$B$6,'reductions data'!G:G,'team overview'!B65)</f>
        <v>0</v>
      </c>
      <c r="D65" s="90">
        <f>SUMIFS('reductions data'!H:H,'reductions data'!$C:$C,'team overview'!$B$6,'reductions data'!G:G,'team overview'!B65)</f>
        <v>0</v>
      </c>
      <c r="E65" s="91"/>
      <c r="F65" s="91"/>
      <c r="G65" s="64"/>
    </row>
    <row r="66" spans="2:19" x14ac:dyDescent="0.15">
      <c r="B66" s="113" t="s">
        <v>868</v>
      </c>
      <c r="C66" s="89">
        <f>COUNTIFS('reductions data'!C:C,'team overview'!$B$6,'reductions data'!G:G,'team overview'!B66)</f>
        <v>0</v>
      </c>
      <c r="D66" s="90">
        <f>SUMIFS('reductions data'!H:H,'reductions data'!$C:$C,'team overview'!$B$6,'reductions data'!G:G,'team overview'!B66)</f>
        <v>0</v>
      </c>
      <c r="E66" s="91"/>
      <c r="F66" s="91"/>
      <c r="G66" s="64"/>
    </row>
    <row r="67" spans="2:19" x14ac:dyDescent="0.15">
      <c r="B67" s="113" t="s">
        <v>869</v>
      </c>
      <c r="C67" s="89">
        <f>COUNTIFS('reductions data'!C:C,'team overview'!$B$6,'reductions data'!G:G,'team overview'!B67)</f>
        <v>0</v>
      </c>
      <c r="D67" s="90">
        <f>SUMIFS('reductions data'!H:H,'reductions data'!$C:$C,'team overview'!$B$6,'reductions data'!G:G,'team overview'!B67)</f>
        <v>0</v>
      </c>
      <c r="E67" s="91"/>
      <c r="F67" s="91"/>
      <c r="G67" s="64"/>
    </row>
    <row r="68" spans="2:19" x14ac:dyDescent="0.15">
      <c r="B68" s="113" t="s">
        <v>870</v>
      </c>
      <c r="C68" s="89">
        <f>COUNTIFS('reductions data'!C:C,'team overview'!$B$6,'reductions data'!G:G,'team overview'!B68)</f>
        <v>0</v>
      </c>
      <c r="D68" s="90">
        <f>SUMIFS('reductions data'!H:H,'reductions data'!$C:$C,'team overview'!$B$6,'reductions data'!G:G,'team overview'!B68)</f>
        <v>0</v>
      </c>
      <c r="E68" s="91"/>
      <c r="F68" s="91"/>
      <c r="G68" s="64"/>
    </row>
    <row r="69" spans="2:19" x14ac:dyDescent="0.15">
      <c r="B69" s="113" t="s">
        <v>871</v>
      </c>
      <c r="C69" s="89">
        <f>COUNTIFS('reductions data'!C:C,'team overview'!$B$6,'reductions data'!G:G,'team overview'!B69)</f>
        <v>0</v>
      </c>
      <c r="D69" s="90">
        <f>SUMIFS('reductions data'!H:H,'reductions data'!$C:$C,'team overview'!$B$6,'reductions data'!G:G,'team overview'!B69)</f>
        <v>0</v>
      </c>
      <c r="E69" s="91"/>
      <c r="F69" s="91"/>
      <c r="G69" s="64"/>
    </row>
    <row r="70" spans="2:19" x14ac:dyDescent="0.15">
      <c r="B70" s="113" t="s">
        <v>872</v>
      </c>
      <c r="C70" s="89">
        <f>COUNTIFS('reductions data'!C:C,'team overview'!$B$6,'reductions data'!G:G,'team overview'!B70)</f>
        <v>0</v>
      </c>
      <c r="D70" s="90">
        <f>SUMIFS('reductions data'!H:H,'reductions data'!$C:$C,'team overview'!$B$6,'reductions data'!G:G,'team overview'!B70)</f>
        <v>0</v>
      </c>
      <c r="E70" s="91"/>
      <c r="F70" s="91"/>
      <c r="G70" s="64"/>
    </row>
    <row r="71" spans="2:19" x14ac:dyDescent="0.15">
      <c r="B71" s="113" t="s">
        <v>866</v>
      </c>
      <c r="C71" s="89">
        <f>COUNTIFS('reductions data'!C:C,'team overview'!$B$6,'reductions data'!G:G,'team overview'!B71)</f>
        <v>0</v>
      </c>
      <c r="D71" s="90">
        <f>SUMIFS('reductions data'!H:H,'reductions data'!$C:$C,'team overview'!$B$6,'reductions data'!G:G,'team overview'!B71)</f>
        <v>0</v>
      </c>
      <c r="E71" s="91"/>
      <c r="F71" s="91"/>
      <c r="G71" s="64"/>
    </row>
    <row r="72" spans="2:19" x14ac:dyDescent="0.15">
      <c r="B72" s="113" t="s">
        <v>873</v>
      </c>
      <c r="C72" s="89">
        <f>COUNTIFS('reductions data'!C:C,'team overview'!$B$6,'reductions data'!G:G,'team overview'!B72)</f>
        <v>0</v>
      </c>
      <c r="D72" s="90">
        <f>SUMIFS('reductions data'!H:H,'reductions data'!$C:$C,'team overview'!$B$6,'reductions data'!G:G,'team overview'!B72)</f>
        <v>0</v>
      </c>
      <c r="E72" s="91"/>
      <c r="F72" s="91"/>
      <c r="G72" s="64"/>
    </row>
    <row r="73" spans="2:19" x14ac:dyDescent="0.15">
      <c r="B73" s="320" t="s">
        <v>1201</v>
      </c>
      <c r="C73" s="325">
        <f>COUNTIFS('reductions data'!C:C,'team overview'!$B$6,'reductions data'!G:G,'team overview'!B73)</f>
        <v>0</v>
      </c>
      <c r="D73" s="90">
        <f>SUMIFS('reductions data'!H:H,'reductions data'!$C:$C,'team overview'!$B$6,'reductions data'!G:G,'team overview'!B73)</f>
        <v>0</v>
      </c>
      <c r="E73" s="91"/>
      <c r="F73" s="91"/>
      <c r="G73" s="64"/>
    </row>
    <row r="74" spans="2:19" x14ac:dyDescent="0.15">
      <c r="B74" s="320" t="s">
        <v>1202</v>
      </c>
      <c r="C74" s="325">
        <f>COUNTIFS('reductions data'!C:C,'team overview'!$B$6,'reductions data'!G:G,'team overview'!B74)</f>
        <v>0</v>
      </c>
      <c r="D74" s="90">
        <f>SUMIFS('reductions data'!H:H,'reductions data'!$C:$C,'team overview'!$B$6,'reductions data'!G:G,'team overview'!B74)</f>
        <v>0</v>
      </c>
      <c r="E74" s="91"/>
      <c r="F74" s="91"/>
      <c r="G74" s="64"/>
    </row>
    <row r="75" spans="2:19" x14ac:dyDescent="0.15">
      <c r="B75" s="320" t="s">
        <v>1206</v>
      </c>
      <c r="C75" s="325">
        <f>COUNTIFS('reductions data'!C:C,'team overview'!$B$6,'reductions data'!G:G,'team overview'!B75)</f>
        <v>0</v>
      </c>
      <c r="D75" s="90">
        <f>SUMIFS('reductions data'!H:H,'reductions data'!$C:$C,'team overview'!$B$6,'reductions data'!G:G,'team overview'!B75)</f>
        <v>0</v>
      </c>
      <c r="E75" s="91"/>
      <c r="F75" s="91"/>
      <c r="G75" s="64"/>
    </row>
    <row r="76" spans="2:19" x14ac:dyDescent="0.15">
      <c r="B76" s="112" t="s">
        <v>874</v>
      </c>
      <c r="C76" s="89">
        <f>COUNTIFS('reductions data'!C:C,'team overview'!$B$6,'reductions data'!G:G,'team overview'!B76)</f>
        <v>0</v>
      </c>
      <c r="D76" s="90">
        <f>SUMIFS('reductions data'!H:H,'reductions data'!$C:$C,'team overview'!$B$6,'reductions data'!G:G,'team overview'!B76)</f>
        <v>0</v>
      </c>
      <c r="E76" s="91"/>
      <c r="F76" s="91"/>
      <c r="G76" s="64"/>
    </row>
    <row r="77" spans="2:19" x14ac:dyDescent="0.15">
      <c r="B77" s="113" t="s">
        <v>875</v>
      </c>
      <c r="C77" s="89">
        <f>COUNTIFS('reductions data'!C:C,'team overview'!$B$6,'reductions data'!G:G,'team overview'!B77)</f>
        <v>0</v>
      </c>
      <c r="D77" s="90">
        <f>SUMIFS('reductions data'!H:H,'reductions data'!$C:$C,'team overview'!$B$6,'reductions data'!G:G,'team overview'!B77)</f>
        <v>0</v>
      </c>
      <c r="E77" s="91"/>
      <c r="F77" s="91"/>
      <c r="G77" s="64"/>
    </row>
    <row r="78" spans="2:19" x14ac:dyDescent="0.15">
      <c r="B78" s="113" t="s">
        <v>876</v>
      </c>
      <c r="C78" s="89">
        <f>COUNTIFS('reductions data'!C:C,'team overview'!$B$6,'reductions data'!G:G,'team overview'!B78)</f>
        <v>0</v>
      </c>
      <c r="D78" s="90">
        <f>SUMIFS('reductions data'!H:H,'reductions data'!$C:$C,'team overview'!$B$6,'reductions data'!G:G,'team overview'!B78)</f>
        <v>0</v>
      </c>
      <c r="E78" s="91"/>
      <c r="F78" s="91"/>
      <c r="G78" s="64"/>
      <c r="S78" s="41"/>
    </row>
    <row r="79" spans="2:19" x14ac:dyDescent="0.15">
      <c r="B79" s="113" t="s">
        <v>877</v>
      </c>
      <c r="C79" s="89">
        <f>COUNTIFS('reductions data'!C:C,'team overview'!$B$6,'reductions data'!G:G,'team overview'!B79)</f>
        <v>0</v>
      </c>
      <c r="D79" s="90">
        <f>SUMIFS('reductions data'!H:H,'reductions data'!$C:$C,'team overview'!$B$6,'reductions data'!G:G,'team overview'!B79)</f>
        <v>0</v>
      </c>
      <c r="E79" s="91"/>
      <c r="F79" s="91"/>
      <c r="G79" s="64"/>
    </row>
    <row r="80" spans="2:19" ht="16" x14ac:dyDescent="0.2">
      <c r="B80" s="113" t="s">
        <v>878</v>
      </c>
      <c r="C80" s="89">
        <f>COUNTIFS('reductions data'!C:C,'team overview'!$B$6,'reductions data'!G:G,'team overview'!B80)</f>
        <v>0</v>
      </c>
      <c r="D80" s="90">
        <f>SUMIFS('reductions data'!H:H,'reductions data'!$C:$C,'team overview'!$B$6,'reductions data'!G:G,'team overview'!B80)</f>
        <v>0</v>
      </c>
      <c r="E80" s="1"/>
      <c r="F80" s="1"/>
    </row>
    <row r="81" spans="2:4" x14ac:dyDescent="0.15">
      <c r="B81" s="113" t="s">
        <v>879</v>
      </c>
      <c r="C81" s="89">
        <f>COUNTIFS('reductions data'!C:C,'team overview'!$B$6,'reductions data'!G:G,'team overview'!B81)</f>
        <v>0</v>
      </c>
      <c r="D81" s="90">
        <f>SUMIFS('reductions data'!H:H,'reductions data'!$C:$C,'team overview'!$B$6,'reductions data'!G:G,'team overview'!B81)</f>
        <v>0</v>
      </c>
    </row>
    <row r="82" spans="2:4" x14ac:dyDescent="0.15">
      <c r="B82" s="113" t="s">
        <v>880</v>
      </c>
      <c r="C82" s="89">
        <f>COUNTIFS('reductions data'!C:C,'team overview'!$B$6,'reductions data'!G:G,'team overview'!B82)</f>
        <v>0</v>
      </c>
      <c r="D82" s="90">
        <f>SUMIFS('reductions data'!H:H,'reductions data'!$C:$C,'team overview'!$B$6,'reductions data'!G:G,'team overview'!B82)</f>
        <v>0</v>
      </c>
    </row>
  </sheetData>
  <sortState xmlns:xlrd2="http://schemas.microsoft.com/office/spreadsheetml/2017/richdata2" ref="B34:D79">
    <sortCondition ref="B34:B79"/>
  </sortState>
  <mergeCells count="16">
    <mergeCell ref="B32:D32"/>
    <mergeCell ref="F32:G32"/>
    <mergeCell ref="B8:F8"/>
    <mergeCell ref="A1:M1"/>
    <mergeCell ref="N1:S1"/>
    <mergeCell ref="A2:M2"/>
    <mergeCell ref="B26:K26"/>
    <mergeCell ref="B19:H19"/>
    <mergeCell ref="F47:F51"/>
    <mergeCell ref="G47:G51"/>
    <mergeCell ref="F34:F36"/>
    <mergeCell ref="G34:G36"/>
    <mergeCell ref="F37:F39"/>
    <mergeCell ref="G37:G39"/>
    <mergeCell ref="F41:F46"/>
    <mergeCell ref="G41:G46"/>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C4" sqref="C4"/>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512" t="s">
        <v>1020</v>
      </c>
      <c r="B1" s="513"/>
      <c r="C1" s="513"/>
      <c r="D1" s="513"/>
      <c r="E1" s="513"/>
      <c r="F1" s="513"/>
      <c r="G1" s="513"/>
      <c r="H1" s="513"/>
      <c r="I1" s="513"/>
      <c r="J1" s="513"/>
      <c r="K1" s="513"/>
      <c r="L1" s="513"/>
      <c r="M1" s="513"/>
      <c r="N1" s="501"/>
      <c r="O1" s="501"/>
      <c r="P1" s="501"/>
      <c r="Q1" s="501"/>
      <c r="R1" s="501"/>
      <c r="S1" s="501"/>
      <c r="T1" s="501"/>
      <c r="U1" s="501"/>
      <c r="V1" s="501"/>
      <c r="W1" s="501"/>
      <c r="X1" s="501"/>
      <c r="Y1" s="501"/>
      <c r="Z1" s="501"/>
      <c r="AA1" s="501"/>
      <c r="AB1" s="501"/>
      <c r="AC1" s="501"/>
      <c r="AD1" s="501"/>
      <c r="AE1" s="501"/>
      <c r="AF1" s="501"/>
      <c r="AG1" s="501"/>
      <c r="AH1" s="501"/>
      <c r="AI1" s="501"/>
      <c r="AJ1" s="501"/>
      <c r="AK1" s="501"/>
      <c r="AL1" s="501"/>
      <c r="AM1" s="501"/>
      <c r="AN1" s="254"/>
    </row>
    <row r="2" spans="1:41" ht="51" customHeight="1" x14ac:dyDescent="0.15">
      <c r="A2" s="517" t="s">
        <v>1362</v>
      </c>
      <c r="B2" s="518"/>
      <c r="C2" s="518"/>
      <c r="D2" s="518"/>
      <c r="E2" s="518"/>
      <c r="F2" s="518"/>
      <c r="G2" s="518"/>
      <c r="H2" s="518"/>
      <c r="I2" s="518"/>
      <c r="J2" s="518"/>
      <c r="K2" s="518"/>
      <c r="L2" s="518"/>
      <c r="M2" s="518"/>
      <c r="N2" s="518"/>
      <c r="O2" s="518"/>
      <c r="P2" s="518"/>
      <c r="Q2" s="518"/>
      <c r="R2" s="518"/>
      <c r="S2" s="518"/>
      <c r="T2" s="518"/>
      <c r="U2" s="518"/>
      <c r="V2" s="518"/>
      <c r="W2" s="518"/>
      <c r="X2" s="518"/>
      <c r="Y2" s="518"/>
      <c r="Z2" s="518"/>
      <c r="AA2" s="518"/>
      <c r="AB2" s="518"/>
      <c r="AC2" s="518"/>
      <c r="AD2" s="518"/>
      <c r="AE2" s="518"/>
      <c r="AF2" s="518"/>
      <c r="AG2" s="518"/>
      <c r="AH2" s="518"/>
      <c r="AI2" s="518"/>
      <c r="AJ2" s="518"/>
      <c r="AK2" s="518"/>
      <c r="AL2" s="518"/>
      <c r="AM2" s="518"/>
      <c r="AN2" s="518"/>
    </row>
    <row r="4" spans="1:41" ht="15" thickBot="1" x14ac:dyDescent="0.2"/>
    <row r="5" spans="1:41" ht="27.75" customHeight="1" thickBot="1" x14ac:dyDescent="0.25">
      <c r="B5" s="1"/>
      <c r="C5" s="2"/>
      <c r="D5" s="514" t="s">
        <v>1021</v>
      </c>
      <c r="E5" s="515"/>
      <c r="F5" s="515"/>
      <c r="G5" s="515"/>
      <c r="H5" s="515"/>
      <c r="I5" s="515"/>
      <c r="J5" s="515"/>
      <c r="K5" s="515"/>
      <c r="L5" s="515"/>
      <c r="M5" s="515"/>
      <c r="N5" s="515"/>
      <c r="O5" s="515"/>
      <c r="P5" s="515"/>
      <c r="Q5" s="515"/>
      <c r="R5" s="515"/>
      <c r="S5" s="515"/>
      <c r="T5" s="516"/>
      <c r="W5" s="1"/>
      <c r="X5" s="2"/>
      <c r="Y5" s="519" t="s">
        <v>1022</v>
      </c>
      <c r="Z5" s="520"/>
      <c r="AA5" s="520"/>
      <c r="AB5" s="520"/>
      <c r="AC5" s="520"/>
      <c r="AD5" s="520"/>
      <c r="AE5" s="520"/>
      <c r="AF5" s="520"/>
      <c r="AG5" s="520"/>
      <c r="AH5" s="520"/>
      <c r="AI5" s="520"/>
      <c r="AJ5" s="520"/>
      <c r="AK5" s="520"/>
      <c r="AL5" s="520"/>
      <c r="AM5" s="520"/>
      <c r="AN5" s="520"/>
    </row>
    <row r="6" spans="1:41" x14ac:dyDescent="0.15">
      <c r="B6" s="369" t="s">
        <v>788</v>
      </c>
      <c r="C6" s="125" t="s">
        <v>1023</v>
      </c>
      <c r="D6" s="38" t="s">
        <v>814</v>
      </c>
      <c r="E6" s="38" t="s">
        <v>815</v>
      </c>
      <c r="F6" s="38" t="s">
        <v>816</v>
      </c>
      <c r="G6" s="38" t="s">
        <v>817</v>
      </c>
      <c r="H6" s="38" t="s">
        <v>818</v>
      </c>
      <c r="I6" s="38" t="s">
        <v>819</v>
      </c>
      <c r="J6" s="38" t="s">
        <v>820</v>
      </c>
      <c r="K6" s="38" t="s">
        <v>821</v>
      </c>
      <c r="L6" s="38" t="s">
        <v>822</v>
      </c>
      <c r="M6" s="38" t="s">
        <v>823</v>
      </c>
      <c r="N6" s="38" t="s">
        <v>824</v>
      </c>
      <c r="O6" s="38" t="s">
        <v>825</v>
      </c>
      <c r="P6" s="38" t="s">
        <v>826</v>
      </c>
      <c r="Q6" s="38" t="s">
        <v>827</v>
      </c>
      <c r="R6" s="38" t="s">
        <v>828</v>
      </c>
      <c r="S6" s="38" t="s">
        <v>829</v>
      </c>
      <c r="T6" s="125" t="s">
        <v>831</v>
      </c>
      <c r="U6" s="64"/>
      <c r="V6" s="64"/>
      <c r="W6" s="124" t="s">
        <v>788</v>
      </c>
      <c r="X6" s="126" t="s">
        <v>1023</v>
      </c>
      <c r="Y6" s="38" t="s">
        <v>814</v>
      </c>
      <c r="Z6" s="38" t="s">
        <v>815</v>
      </c>
      <c r="AA6" s="38" t="s">
        <v>816</v>
      </c>
      <c r="AB6" s="38" t="s">
        <v>817</v>
      </c>
      <c r="AC6" s="38" t="s">
        <v>818</v>
      </c>
      <c r="AD6" s="38" t="s">
        <v>819</v>
      </c>
      <c r="AE6" s="38" t="s">
        <v>820</v>
      </c>
      <c r="AF6" s="38" t="s">
        <v>821</v>
      </c>
      <c r="AG6" s="38" t="s">
        <v>822</v>
      </c>
      <c r="AH6" s="38" t="s">
        <v>823</v>
      </c>
      <c r="AI6" s="38" t="s">
        <v>824</v>
      </c>
      <c r="AJ6" s="38" t="s">
        <v>825</v>
      </c>
      <c r="AK6" s="38" t="s">
        <v>826</v>
      </c>
      <c r="AL6" s="38" t="s">
        <v>827</v>
      </c>
      <c r="AM6" s="38" t="s">
        <v>828</v>
      </c>
      <c r="AN6" s="38" t="s">
        <v>829</v>
      </c>
      <c r="AO6" s="38" t="s">
        <v>944</v>
      </c>
    </row>
    <row r="7" spans="1:41" x14ac:dyDescent="0.15">
      <c r="B7" s="521" t="s">
        <v>17</v>
      </c>
      <c r="C7" s="128" t="s">
        <v>947</v>
      </c>
      <c r="D7" s="368">
        <f>SUMIFS('caseload data'!E:E,'caseload data'!$D:$D,"PO",'caseload data'!$A:$A,EMR)</f>
        <v>0</v>
      </c>
      <c r="E7" s="94">
        <f>SUMIFS('caseload data'!F:F,'caseload data'!$D:$D,"PO",'caseload data'!$A:$A,EMR)</f>
        <v>0</v>
      </c>
      <c r="F7" s="94">
        <f>SUMIFS('caseload data'!G:G,'caseload data'!$D:$D,"PO",'caseload data'!$A:$A,EMR)</f>
        <v>0</v>
      </c>
      <c r="G7" s="94">
        <f>SUMIFS('caseload data'!H:H,'caseload data'!$D:$D,"PO",'caseload data'!$A:$A,EMR)</f>
        <v>0</v>
      </c>
      <c r="H7" s="94">
        <f>SUMIFS('caseload data'!I:I,'caseload data'!$D:$D,"PO",'caseload data'!$A:$A,EMR)</f>
        <v>0</v>
      </c>
      <c r="I7" s="94">
        <f>SUMIFS('caseload data'!J:J,'caseload data'!$D:$D,"PO",'caseload data'!$A:$A,EMR)</f>
        <v>0</v>
      </c>
      <c r="J7" s="94">
        <f>SUMIFS('caseload data'!K:K,'caseload data'!$D:$D,"PO",'caseload data'!$A:$A,EMR)</f>
        <v>0</v>
      </c>
      <c r="K7" s="94">
        <f>SUMIFS('caseload data'!L:L,'caseload data'!$D:$D,"PO",'caseload data'!$A:$A,EMR)</f>
        <v>0</v>
      </c>
      <c r="L7" s="94">
        <f>SUMIFS('caseload data'!M:M,'caseload data'!$D:$D,"PO",'caseload data'!$A:$A,EMR)</f>
        <v>0</v>
      </c>
      <c r="M7" s="94">
        <f>SUMIFS('caseload data'!N:N,'caseload data'!$D:$D,"PO",'caseload data'!$A:$A,EMR)</f>
        <v>0</v>
      </c>
      <c r="N7" s="94">
        <f>SUMIFS('caseload data'!O:O,'caseload data'!$D:$D,"PO",'caseload data'!$A:$A,EMR)</f>
        <v>0</v>
      </c>
      <c r="O7" s="94">
        <f>SUMIFS('caseload data'!P:P,'caseload data'!$D:$D,"PO",'caseload data'!$A:$A,EMR)</f>
        <v>0</v>
      </c>
      <c r="P7" s="94">
        <f>SUMIFS('caseload data'!Q:Q,'caseload data'!$D:$D,"PO",'caseload data'!$A:$A,EMR)</f>
        <v>0</v>
      </c>
      <c r="Q7" s="94">
        <f>SUMIFS('caseload data'!R:R,'caseload data'!$D:$D,"PO",'caseload data'!$A:$A,EMR)</f>
        <v>0</v>
      </c>
      <c r="R7" s="94">
        <f>SUMIFS('caseload data'!S:S,'caseload data'!$D:$D,"PO",'caseload data'!$A:$A,EMR)</f>
        <v>0</v>
      </c>
      <c r="S7" s="94">
        <f>SUMIFS('caseload data'!T:T,'caseload data'!$D:$D,"PO",'caseload data'!$A:$A,EMR)</f>
        <v>0</v>
      </c>
      <c r="T7" s="94">
        <f>SUMIFS('caseload data'!V:V,'caseload data'!$D:$D,"PO",'caseload data'!$A:$A,'national caseload'!B7:B9)</f>
        <v>0</v>
      </c>
      <c r="U7" s="64"/>
      <c r="V7" s="64"/>
      <c r="W7" s="509" t="s">
        <v>17</v>
      </c>
      <c r="X7" s="128" t="s">
        <v>947</v>
      </c>
      <c r="Y7" s="167" t="e">
        <f>SUM(D7)/SUM(D$7:D$11)</f>
        <v>#DIV/0!</v>
      </c>
      <c r="Z7" s="167" t="e">
        <f>SUM(E7)/SUM(E$7:E$11)</f>
        <v>#DIV/0!</v>
      </c>
      <c r="AA7" s="167" t="e">
        <f>SUM(F7)/SUM(F$7:F$11)</f>
        <v>#DIV/0!</v>
      </c>
      <c r="AB7" s="167" t="e">
        <f t="shared" ref="AB7:AO11" si="0">SUM(G7)/SUM(G$7:G$11)</f>
        <v>#DIV/0!</v>
      </c>
      <c r="AC7" s="167" t="e">
        <f t="shared" si="0"/>
        <v>#DIV/0!</v>
      </c>
      <c r="AD7" s="167" t="e">
        <f t="shared" si="0"/>
        <v>#DIV/0!</v>
      </c>
      <c r="AE7" s="167" t="e">
        <f t="shared" si="0"/>
        <v>#DIV/0!</v>
      </c>
      <c r="AF7" s="167" t="e">
        <f t="shared" si="0"/>
        <v>#DIV/0!</v>
      </c>
      <c r="AG7" s="167" t="e">
        <f t="shared" si="0"/>
        <v>#DIV/0!</v>
      </c>
      <c r="AH7" s="167" t="e">
        <f t="shared" si="0"/>
        <v>#DIV/0!</v>
      </c>
      <c r="AI7" s="167" t="e">
        <f t="shared" si="0"/>
        <v>#DIV/0!</v>
      </c>
      <c r="AJ7" s="167" t="e">
        <f t="shared" si="0"/>
        <v>#DIV/0!</v>
      </c>
      <c r="AK7" s="167" t="e">
        <f t="shared" si="0"/>
        <v>#DIV/0!</v>
      </c>
      <c r="AL7" s="167" t="e">
        <f t="shared" si="0"/>
        <v>#DIV/0!</v>
      </c>
      <c r="AM7" s="167" t="e">
        <f t="shared" si="0"/>
        <v>#DIV/0!</v>
      </c>
      <c r="AN7" s="167" t="e">
        <f t="shared" si="0"/>
        <v>#DIV/0!</v>
      </c>
      <c r="AO7" s="167" t="e">
        <f t="shared" si="0"/>
        <v>#DIV/0!</v>
      </c>
    </row>
    <row r="8" spans="1:41" x14ac:dyDescent="0.15">
      <c r="B8" s="522"/>
      <c r="C8" s="129" t="s">
        <v>952</v>
      </c>
      <c r="D8" s="368">
        <f>SUMIFS('caseload data'!E:E,'caseload data'!$D:$D,"PSO",'caseload data'!$A:$A,"East Midlands Region")</f>
        <v>0</v>
      </c>
      <c r="E8" s="94">
        <f>SUMIFS('caseload data'!F:F,'caseload data'!$D:$D,"PSO",'caseload data'!$A:$A,"East Midlands Region")</f>
        <v>0</v>
      </c>
      <c r="F8" s="94">
        <f>SUMIFS('caseload data'!G:G,'caseload data'!$D:$D,"PSO",'caseload data'!$A:$A,"East Midlands Region")</f>
        <v>0</v>
      </c>
      <c r="G8" s="94">
        <f>SUMIFS('caseload data'!H:H,'caseload data'!$D:$D,"PSO",'caseload data'!$A:$A,"East Midlands Region")</f>
        <v>0</v>
      </c>
      <c r="H8" s="94">
        <f>SUMIFS('caseload data'!I:I,'caseload data'!$D:$D,"PSO",'caseload data'!$A:$A,"East Midlands Region")</f>
        <v>0</v>
      </c>
      <c r="I8" s="94">
        <f>SUMIFS('caseload data'!J:J,'caseload data'!$D:$D,"PSO",'caseload data'!$A:$A,"East Midlands Region")</f>
        <v>0</v>
      </c>
      <c r="J8" s="94">
        <f>SUMIFS('caseload data'!K:K,'caseload data'!$D:$D,"PSO",'caseload data'!$A:$A,"East Midlands Region")</f>
        <v>0</v>
      </c>
      <c r="K8" s="94">
        <f>SUMIFS('caseload data'!L:L,'caseload data'!$D:$D,"PSO",'caseload data'!$A:$A,"East Midlands Region")</f>
        <v>0</v>
      </c>
      <c r="L8" s="94">
        <f>SUMIFS('caseload data'!M:M,'caseload data'!$D:$D,"PSO",'caseload data'!$A:$A,"East Midlands Region")</f>
        <v>0</v>
      </c>
      <c r="M8" s="94">
        <f>SUMIFS('caseload data'!N:N,'caseload data'!$D:$D,"PSO",'caseload data'!$A:$A,"East Midlands Region")</f>
        <v>0</v>
      </c>
      <c r="N8" s="94">
        <f>SUMIFS('caseload data'!O:O,'caseload data'!$D:$D,"PSO",'caseload data'!$A:$A,"East Midlands Region")</f>
        <v>0</v>
      </c>
      <c r="O8" s="94">
        <f>SUMIFS('caseload data'!P:P,'caseload data'!$D:$D,"PSO",'caseload data'!$A:$A,"East Midlands Region")</f>
        <v>0</v>
      </c>
      <c r="P8" s="94">
        <f>SUMIFS('caseload data'!Q:Q,'caseload data'!$D:$D,"PSO",'caseload data'!$A:$A,"East Midlands Region")</f>
        <v>0</v>
      </c>
      <c r="Q8" s="94">
        <f>SUMIFS('caseload data'!R:R,'caseload data'!$D:$D,"PSO",'caseload data'!$A:$A,"East Midlands Region")</f>
        <v>0</v>
      </c>
      <c r="R8" s="94">
        <f>SUMIFS('caseload data'!S:S,'caseload data'!$D:$D,"PSO",'caseload data'!$A:$A,"East Midlands Region")</f>
        <v>0</v>
      </c>
      <c r="S8" s="94">
        <f>SUMIFS('caseload data'!T:T,'caseload data'!$D:$D,"PSO",'caseload data'!$A:$A,"East Midlands Region")</f>
        <v>0</v>
      </c>
      <c r="T8" s="94">
        <f>SUMIFS('caseload data'!V:V,'caseload data'!$D:$D,"PSO",'caseload data'!$A:$A,"East Midlands Region")</f>
        <v>0</v>
      </c>
      <c r="U8" s="64"/>
      <c r="V8" s="64"/>
      <c r="W8" s="510"/>
      <c r="X8" s="129" t="s">
        <v>952</v>
      </c>
      <c r="Y8" s="167" t="e">
        <f t="shared" ref="Y8:Y11" si="1">SUM(D8)/SUM(D$7:D$11)</f>
        <v>#DIV/0!</v>
      </c>
      <c r="Z8" s="167" t="e">
        <f t="shared" ref="Z8:AA11" si="2">SUM(E8)/SUM(E$7:E$11)</f>
        <v>#DIV/0!</v>
      </c>
      <c r="AA8" s="167" t="e">
        <f t="shared" si="2"/>
        <v>#DIV/0!</v>
      </c>
      <c r="AB8" s="167" t="e">
        <f t="shared" si="0"/>
        <v>#DIV/0!</v>
      </c>
      <c r="AC8" s="167" t="e">
        <f t="shared" si="0"/>
        <v>#DIV/0!</v>
      </c>
      <c r="AD8" s="167" t="e">
        <f t="shared" si="0"/>
        <v>#DIV/0!</v>
      </c>
      <c r="AE8" s="167" t="e">
        <f t="shared" si="0"/>
        <v>#DIV/0!</v>
      </c>
      <c r="AF8" s="167" t="e">
        <f t="shared" si="0"/>
        <v>#DIV/0!</v>
      </c>
      <c r="AG8" s="167" t="e">
        <f t="shared" si="0"/>
        <v>#DIV/0!</v>
      </c>
      <c r="AH8" s="167" t="e">
        <f t="shared" si="0"/>
        <v>#DIV/0!</v>
      </c>
      <c r="AI8" s="167" t="e">
        <f t="shared" si="0"/>
        <v>#DIV/0!</v>
      </c>
      <c r="AJ8" s="167" t="e">
        <f t="shared" si="0"/>
        <v>#DIV/0!</v>
      </c>
      <c r="AK8" s="167" t="e">
        <f t="shared" si="0"/>
        <v>#DIV/0!</v>
      </c>
      <c r="AL8" s="167" t="e">
        <f t="shared" si="0"/>
        <v>#DIV/0!</v>
      </c>
      <c r="AM8" s="167" t="e">
        <f t="shared" si="0"/>
        <v>#DIV/0!</v>
      </c>
      <c r="AN8" s="167" t="e">
        <f t="shared" si="0"/>
        <v>#DIV/0!</v>
      </c>
      <c r="AO8" s="167" t="e">
        <f t="shared" si="0"/>
        <v>#DIV/0!</v>
      </c>
    </row>
    <row r="9" spans="1:41" x14ac:dyDescent="0.15">
      <c r="B9" s="522"/>
      <c r="C9" s="129" t="s">
        <v>953</v>
      </c>
      <c r="D9" s="368">
        <f>SUMIFS('caseload data'!E:E,'caseload data'!$D:$D,"TPO",'caseload data'!$A:$A,"East Midlands Region")</f>
        <v>0</v>
      </c>
      <c r="E9" s="94">
        <f>SUMIFS('caseload data'!F:F,'caseload data'!$D:$D,"TPO",'caseload data'!$A:$A,"East Midlands Region")</f>
        <v>0</v>
      </c>
      <c r="F9" s="94">
        <f>SUMIFS('caseload data'!G:G,'caseload data'!$D:$D,"TPO",'caseload data'!$A:$A,"East Midlands Region")</f>
        <v>0</v>
      </c>
      <c r="G9" s="94">
        <f>SUMIFS('caseload data'!H:H,'caseload data'!$D:$D,"TPO",'caseload data'!$A:$A,"East Midlands Region")</f>
        <v>0</v>
      </c>
      <c r="H9" s="94">
        <f>SUMIFS('caseload data'!I:I,'caseload data'!$D:$D,"TPO",'caseload data'!$A:$A,"East Midlands Region")</f>
        <v>0</v>
      </c>
      <c r="I9" s="94">
        <f>SUMIFS('caseload data'!J:J,'caseload data'!$D:$D,"TPO",'caseload data'!$A:$A,"East Midlands Region")</f>
        <v>0</v>
      </c>
      <c r="J9" s="94">
        <f>SUMIFS('caseload data'!K:K,'caseload data'!$D:$D,"TPO",'caseload data'!$A:$A,"East Midlands Region")</f>
        <v>0</v>
      </c>
      <c r="K9" s="94">
        <f>SUMIFS('caseload data'!L:L,'caseload data'!$D:$D,"TPO",'caseload data'!$A:$A,"East Midlands Region")</f>
        <v>0</v>
      </c>
      <c r="L9" s="94">
        <f>SUMIFS('caseload data'!M:M,'caseload data'!$D:$D,"TPO",'caseload data'!$A:$A,"East Midlands Region")</f>
        <v>0</v>
      </c>
      <c r="M9" s="94">
        <f>SUMIFS('caseload data'!N:N,'caseload data'!$D:$D,"TPO",'caseload data'!$A:$A,"East Midlands Region")</f>
        <v>0</v>
      </c>
      <c r="N9" s="94">
        <f>SUMIFS('caseload data'!O:O,'caseload data'!$D:$D,"TPO",'caseload data'!$A:$A,"East Midlands Region")</f>
        <v>0</v>
      </c>
      <c r="O9" s="94">
        <f>SUMIFS('caseload data'!P:P,'caseload data'!$D:$D,"TPO",'caseload data'!$A:$A,"East Midlands Region")</f>
        <v>0</v>
      </c>
      <c r="P9" s="94">
        <f>SUMIFS('caseload data'!Q:Q,'caseload data'!$D:$D,"TPO",'caseload data'!$A:$A,"East Midlands Region")</f>
        <v>0</v>
      </c>
      <c r="Q9" s="94">
        <f>SUMIFS('caseload data'!R:R,'caseload data'!$D:$D,"TPO",'caseload data'!$A:$A,"East Midlands Region")</f>
        <v>0</v>
      </c>
      <c r="R9" s="94">
        <f>SUMIFS('caseload data'!S:S,'caseload data'!$D:$D,"TPO",'caseload data'!$A:$A,"East Midlands Region")</f>
        <v>0</v>
      </c>
      <c r="S9" s="94">
        <f>SUMIFS('caseload data'!T:T,'caseload data'!$D:$D,"TPO",'caseload data'!$A:$A,"East Midlands Region")</f>
        <v>0</v>
      </c>
      <c r="T9" s="94">
        <f>SUMIFS('caseload data'!V:V,'caseload data'!$D:$D,"TPO",'caseload data'!$A:$A,"East Midlands Region")</f>
        <v>0</v>
      </c>
      <c r="U9" s="64"/>
      <c r="V9" s="64"/>
      <c r="W9" s="510"/>
      <c r="X9" s="129" t="s">
        <v>953</v>
      </c>
      <c r="Y9" s="167" t="e">
        <f t="shared" si="1"/>
        <v>#DIV/0!</v>
      </c>
      <c r="Z9" s="167" t="e">
        <f t="shared" si="2"/>
        <v>#DIV/0!</v>
      </c>
      <c r="AA9" s="167" t="e">
        <f t="shared" si="2"/>
        <v>#DIV/0!</v>
      </c>
      <c r="AB9" s="167" t="e">
        <f t="shared" si="0"/>
        <v>#DIV/0!</v>
      </c>
      <c r="AC9" s="167" t="e">
        <f t="shared" si="0"/>
        <v>#DIV/0!</v>
      </c>
      <c r="AD9" s="167" t="e">
        <f t="shared" si="0"/>
        <v>#DIV/0!</v>
      </c>
      <c r="AE9" s="167" t="e">
        <f t="shared" si="0"/>
        <v>#DIV/0!</v>
      </c>
      <c r="AF9" s="167" t="e">
        <f t="shared" si="0"/>
        <v>#DIV/0!</v>
      </c>
      <c r="AG9" s="167" t="e">
        <f t="shared" si="0"/>
        <v>#DIV/0!</v>
      </c>
      <c r="AH9" s="167" t="e">
        <f t="shared" si="0"/>
        <v>#DIV/0!</v>
      </c>
      <c r="AI9" s="167" t="e">
        <f t="shared" si="0"/>
        <v>#DIV/0!</v>
      </c>
      <c r="AJ9" s="167" t="e">
        <f t="shared" si="0"/>
        <v>#DIV/0!</v>
      </c>
      <c r="AK9" s="167" t="e">
        <f t="shared" si="0"/>
        <v>#DIV/0!</v>
      </c>
      <c r="AL9" s="167" t="e">
        <f t="shared" si="0"/>
        <v>#DIV/0!</v>
      </c>
      <c r="AM9" s="167" t="e">
        <f t="shared" si="0"/>
        <v>#DIV/0!</v>
      </c>
      <c r="AN9" s="167" t="e">
        <f t="shared" si="0"/>
        <v>#DIV/0!</v>
      </c>
      <c r="AO9" s="167" t="e">
        <f t="shared" si="0"/>
        <v>#DIV/0!</v>
      </c>
    </row>
    <row r="10" spans="1:41" x14ac:dyDescent="0.15">
      <c r="B10" s="522"/>
      <c r="C10" s="129" t="s">
        <v>954</v>
      </c>
      <c r="D10" s="368">
        <f>SUMIFS('caseload data'!E:E,'caseload data'!$D:$D,"SPO",'caseload data'!$A:$A,"East Midlands Region")</f>
        <v>0</v>
      </c>
      <c r="E10" s="94">
        <f>SUMIFS('caseload data'!F:F,'caseload data'!$D:$D,"SPO",'caseload data'!$A:$A,"East Midlands Region")</f>
        <v>0</v>
      </c>
      <c r="F10" s="94">
        <f>SUMIFS('caseload data'!G:G,'caseload data'!$D:$D,"SPO",'caseload data'!$A:$A,"East Midlands Region")</f>
        <v>0</v>
      </c>
      <c r="G10" s="94">
        <f>SUMIFS('caseload data'!H:H,'caseload data'!$D:$D,"SPO",'caseload data'!$A:$A,"East Midlands Region")</f>
        <v>0</v>
      </c>
      <c r="H10" s="94">
        <f>SUMIFS('caseload data'!I:I,'caseload data'!$D:$D,"SPO",'caseload data'!$A:$A,"East Midlands Region")</f>
        <v>0</v>
      </c>
      <c r="I10" s="94">
        <f>SUMIFS('caseload data'!J:J,'caseload data'!$D:$D,"SPO",'caseload data'!$A:$A,"East Midlands Region")</f>
        <v>0</v>
      </c>
      <c r="J10" s="94">
        <f>SUMIFS('caseload data'!K:K,'caseload data'!$D:$D,"SPO",'caseload data'!$A:$A,"East Midlands Region")</f>
        <v>0</v>
      </c>
      <c r="K10" s="94">
        <f>SUMIFS('caseload data'!L:L,'caseload data'!$D:$D,"SPO",'caseload data'!$A:$A,"East Midlands Region")</f>
        <v>0</v>
      </c>
      <c r="L10" s="94">
        <f>SUMIFS('caseload data'!M:M,'caseload data'!$D:$D,"SPO",'caseload data'!$A:$A,"East Midlands Region")</f>
        <v>0</v>
      </c>
      <c r="M10" s="94">
        <f>SUMIFS('caseload data'!N:N,'caseload data'!$D:$D,"SPO",'caseload data'!$A:$A,"East Midlands Region")</f>
        <v>0</v>
      </c>
      <c r="N10" s="94">
        <f>SUMIFS('caseload data'!O:O,'caseload data'!$D:$D,"SPO",'caseload data'!$A:$A,"East Midlands Region")</f>
        <v>0</v>
      </c>
      <c r="O10" s="94">
        <f>SUMIFS('caseload data'!P:P,'caseload data'!$D:$D,"SPO",'caseload data'!$A:$A,"East Midlands Region")</f>
        <v>0</v>
      </c>
      <c r="P10" s="94">
        <f>SUMIFS('caseload data'!Q:Q,'caseload data'!$D:$D,"SPO",'caseload data'!$A:$A,"East Midlands Region")</f>
        <v>0</v>
      </c>
      <c r="Q10" s="94">
        <f>SUMIFS('caseload data'!R:R,'caseload data'!$D:$D,"SPO",'caseload data'!$A:$A,"East Midlands Region")</f>
        <v>0</v>
      </c>
      <c r="R10" s="94">
        <f>SUMIFS('caseload data'!S:S,'caseload data'!$D:$D,"SPO",'caseload data'!$A:$A,"East Midlands Region")</f>
        <v>0</v>
      </c>
      <c r="S10" s="94">
        <f>SUMIFS('caseload data'!T:T,'caseload data'!$D:$D,"SPO",'caseload data'!$A:$A,"East Midlands Region")</f>
        <v>0</v>
      </c>
      <c r="T10" s="94">
        <f>SUMIFS('caseload data'!V:V,'caseload data'!$D:$D,"SPO",'caseload data'!$A:$A,"East Midlands Region")</f>
        <v>0</v>
      </c>
      <c r="U10" s="64"/>
      <c r="V10" s="64"/>
      <c r="W10" s="510"/>
      <c r="X10" s="129" t="s">
        <v>954</v>
      </c>
      <c r="Y10" s="167" t="e">
        <f t="shared" si="1"/>
        <v>#DIV/0!</v>
      </c>
      <c r="Z10" s="167" t="e">
        <f t="shared" si="2"/>
        <v>#DIV/0!</v>
      </c>
      <c r="AA10" s="167" t="e">
        <f t="shared" si="2"/>
        <v>#DIV/0!</v>
      </c>
      <c r="AB10" s="167" t="e">
        <f t="shared" si="0"/>
        <v>#DIV/0!</v>
      </c>
      <c r="AC10" s="167" t="e">
        <f t="shared" si="0"/>
        <v>#DIV/0!</v>
      </c>
      <c r="AD10" s="167" t="e">
        <f t="shared" si="0"/>
        <v>#DIV/0!</v>
      </c>
      <c r="AE10" s="167" t="e">
        <f t="shared" si="0"/>
        <v>#DIV/0!</v>
      </c>
      <c r="AF10" s="167" t="e">
        <f t="shared" si="0"/>
        <v>#DIV/0!</v>
      </c>
      <c r="AG10" s="167" t="e">
        <f t="shared" si="0"/>
        <v>#DIV/0!</v>
      </c>
      <c r="AH10" s="167" t="e">
        <f t="shared" si="0"/>
        <v>#DIV/0!</v>
      </c>
      <c r="AI10" s="167" t="e">
        <f t="shared" si="0"/>
        <v>#DIV/0!</v>
      </c>
      <c r="AJ10" s="167" t="e">
        <f t="shared" si="0"/>
        <v>#DIV/0!</v>
      </c>
      <c r="AK10" s="167" t="e">
        <f t="shared" si="0"/>
        <v>#DIV/0!</v>
      </c>
      <c r="AL10" s="167" t="e">
        <f t="shared" si="0"/>
        <v>#DIV/0!</v>
      </c>
      <c r="AM10" s="167" t="e">
        <f t="shared" si="0"/>
        <v>#DIV/0!</v>
      </c>
      <c r="AN10" s="167" t="e">
        <f t="shared" si="0"/>
        <v>#DIV/0!</v>
      </c>
      <c r="AO10" s="167" t="e">
        <f t="shared" si="0"/>
        <v>#DIV/0!</v>
      </c>
    </row>
    <row r="11" spans="1:41" x14ac:dyDescent="0.15">
      <c r="B11" s="361"/>
      <c r="C11" s="130" t="s">
        <v>1286</v>
      </c>
      <c r="D11" s="368">
        <f>SUMIFS('caseload data'!E:E,'caseload data'!$D:$D,"DMY",'caseload data'!$A:$A,"East Midlands Region")</f>
        <v>0</v>
      </c>
      <c r="E11" s="94">
        <f>SUMIFS('caseload data'!F:F,'caseload data'!$D:$D,"DMY",'caseload data'!$A:$A,"East Midlands Region")</f>
        <v>0</v>
      </c>
      <c r="F11" s="94">
        <f>SUMIFS('caseload data'!G:G,'caseload data'!$D:$D,"DMY",'caseload data'!$A:$A,"East Midlands Region")</f>
        <v>0</v>
      </c>
      <c r="G11" s="94">
        <f>SUMIFS('caseload data'!H:H,'caseload data'!$D:$D,"DMY",'caseload data'!$A:$A,"East Midlands Region")</f>
        <v>0</v>
      </c>
      <c r="H11" s="94">
        <f>SUMIFS('caseload data'!I:I,'caseload data'!$D:$D,"DMY",'caseload data'!$A:$A,"East Midlands Region")</f>
        <v>0</v>
      </c>
      <c r="I11" s="94">
        <f>SUMIFS('caseload data'!J:J,'caseload data'!$D:$D,"DMY",'caseload data'!$A:$A,"East Midlands Region")</f>
        <v>0</v>
      </c>
      <c r="J11" s="94">
        <f>SUMIFS('caseload data'!K:K,'caseload data'!$D:$D,"DMY",'caseload data'!$A:$A,"East Midlands Region")</f>
        <v>0</v>
      </c>
      <c r="K11" s="94">
        <f>SUMIFS('caseload data'!L:L,'caseload data'!$D:$D,"DMY",'caseload data'!$A:$A,"East Midlands Region")</f>
        <v>0</v>
      </c>
      <c r="L11" s="94">
        <f>SUMIFS('caseload data'!M:M,'caseload data'!$D:$D,"DMY",'caseload data'!$A:$A,"East Midlands Region")</f>
        <v>0</v>
      </c>
      <c r="M11" s="94">
        <f>SUMIFS('caseload data'!N:N,'caseload data'!$D:$D,"DMY",'caseload data'!$A:$A,"East Midlands Region")</f>
        <v>0</v>
      </c>
      <c r="N11" s="94">
        <f>SUMIFS('caseload data'!O:O,'caseload data'!$D:$D,"DMY",'caseload data'!$A:$A,"East Midlands Region")</f>
        <v>0</v>
      </c>
      <c r="O11" s="94">
        <f>SUMIFS('caseload data'!P:P,'caseload data'!$D:$D,"DMY",'caseload data'!$A:$A,"East Midlands Region")</f>
        <v>0</v>
      </c>
      <c r="P11" s="94">
        <f>SUMIFS('caseload data'!Q:Q,'caseload data'!$D:$D,"DMY",'caseload data'!$A:$A,"East Midlands Region")</f>
        <v>0</v>
      </c>
      <c r="Q11" s="94">
        <f>SUMIFS('caseload data'!R:R,'caseload data'!$D:$D,"DMY",'caseload data'!$A:$A,"East Midlands Region")</f>
        <v>0</v>
      </c>
      <c r="R11" s="94">
        <f>SUMIFS('caseload data'!S:S,'caseload data'!$D:$D,"DMY",'caseload data'!$A:$A,"East Midlands Region")</f>
        <v>0</v>
      </c>
      <c r="S11" s="94">
        <f>SUMIFS('caseload data'!T:T,'caseload data'!$D:$D,"DMY",'caseload data'!$A:$A,"East Midlands Region")</f>
        <v>0</v>
      </c>
      <c r="T11" s="94">
        <f>SUMIFS('caseload data'!V:V,'caseload data'!$D:$D,"DMY",'caseload data'!$A:$A,"East Midlands Region")</f>
        <v>0</v>
      </c>
      <c r="U11" s="64"/>
      <c r="V11" s="64"/>
      <c r="W11" s="511"/>
      <c r="X11" s="130" t="s">
        <v>1286</v>
      </c>
      <c r="Y11" s="167" t="e">
        <f t="shared" si="1"/>
        <v>#DIV/0!</v>
      </c>
      <c r="Z11" s="167" t="e">
        <f t="shared" si="2"/>
        <v>#DIV/0!</v>
      </c>
      <c r="AA11" s="167" t="e">
        <f t="shared" si="2"/>
        <v>#DIV/0!</v>
      </c>
      <c r="AB11" s="167" t="e">
        <f t="shared" si="0"/>
        <v>#DIV/0!</v>
      </c>
      <c r="AC11" s="167" t="e">
        <f t="shared" si="0"/>
        <v>#DIV/0!</v>
      </c>
      <c r="AD11" s="167" t="e">
        <f t="shared" si="0"/>
        <v>#DIV/0!</v>
      </c>
      <c r="AE11" s="167" t="e">
        <f t="shared" si="0"/>
        <v>#DIV/0!</v>
      </c>
      <c r="AF11" s="167" t="e">
        <f t="shared" si="0"/>
        <v>#DIV/0!</v>
      </c>
      <c r="AG11" s="167" t="e">
        <f t="shared" si="0"/>
        <v>#DIV/0!</v>
      </c>
      <c r="AH11" s="167" t="e">
        <f t="shared" si="0"/>
        <v>#DIV/0!</v>
      </c>
      <c r="AI11" s="167" t="e">
        <f t="shared" si="0"/>
        <v>#DIV/0!</v>
      </c>
      <c r="AJ11" s="167" t="e">
        <f t="shared" si="0"/>
        <v>#DIV/0!</v>
      </c>
      <c r="AK11" s="167" t="e">
        <f t="shared" si="0"/>
        <v>#DIV/0!</v>
      </c>
      <c r="AL11" s="167" t="e">
        <f t="shared" si="0"/>
        <v>#DIV/0!</v>
      </c>
      <c r="AM11" s="167" t="e">
        <f t="shared" si="0"/>
        <v>#DIV/0!</v>
      </c>
      <c r="AN11" s="167" t="e">
        <f t="shared" si="0"/>
        <v>#DIV/0!</v>
      </c>
      <c r="AO11" s="167" t="e">
        <f t="shared" si="0"/>
        <v>#DIV/0!</v>
      </c>
    </row>
    <row r="12" spans="1:41" x14ac:dyDescent="0.15">
      <c r="B12" s="509" t="s">
        <v>18</v>
      </c>
      <c r="C12" s="128" t="s">
        <v>947</v>
      </c>
      <c r="D12" s="368">
        <f>SUMIFS('caseload data'!E:E,'caseload data'!$D:$D,"PO",'caseload data'!$A:$A,EoE)</f>
        <v>0</v>
      </c>
      <c r="E12" s="94">
        <f>SUMIFS('caseload data'!F:F,'caseload data'!$D:$D,"PO",'caseload data'!$A:$A,EoE)</f>
        <v>0</v>
      </c>
      <c r="F12" s="94">
        <f>SUMIFS('caseload data'!G:G,'caseload data'!$D:$D,"PO",'caseload data'!$A:$A,EoE)</f>
        <v>0</v>
      </c>
      <c r="G12" s="94">
        <f>SUMIFS('caseload data'!H:H,'caseload data'!$D:$D,"PO",'caseload data'!$A:$A,EoE)</f>
        <v>0</v>
      </c>
      <c r="H12" s="94">
        <f>SUMIFS('caseload data'!I:I,'caseload data'!$D:$D,"PO",'caseload data'!$A:$A,EoE)</f>
        <v>0</v>
      </c>
      <c r="I12" s="94">
        <f>SUMIFS('caseload data'!J:J,'caseload data'!$D:$D,"PO",'caseload data'!$A:$A,EoE)</f>
        <v>0</v>
      </c>
      <c r="J12" s="94">
        <f>SUMIFS('caseload data'!K:K,'caseload data'!$D:$D,"PO",'caseload data'!$A:$A,EoE)</f>
        <v>0</v>
      </c>
      <c r="K12" s="94">
        <f>SUMIFS('caseload data'!L:L,'caseload data'!$D:$D,"PO",'caseload data'!$A:$A,EoE)</f>
        <v>0</v>
      </c>
      <c r="L12" s="94">
        <f>SUMIFS('caseload data'!M:M,'caseload data'!$D:$D,"PO",'caseload data'!$A:$A,EoE)</f>
        <v>0</v>
      </c>
      <c r="M12" s="94">
        <f>SUMIFS('caseload data'!N:N,'caseload data'!$D:$D,"PO",'caseload data'!$A:$A,EoE)</f>
        <v>0</v>
      </c>
      <c r="N12" s="94">
        <f>SUMIFS('caseload data'!O:O,'caseload data'!$D:$D,"PO",'caseload data'!$A:$A,EoE)</f>
        <v>0</v>
      </c>
      <c r="O12" s="94">
        <f>SUMIFS('caseload data'!P:P,'caseload data'!$D:$D,"PO",'caseload data'!$A:$A,EoE)</f>
        <v>0</v>
      </c>
      <c r="P12" s="94">
        <f>SUMIFS('caseload data'!Q:Q,'caseload data'!$D:$D,"PO",'caseload data'!$A:$A,EoE)</f>
        <v>0</v>
      </c>
      <c r="Q12" s="94">
        <f>SUMIFS('caseload data'!R:R,'caseload data'!$D:$D,"PO",'caseload data'!$A:$A,EoE)</f>
        <v>0</v>
      </c>
      <c r="R12" s="94">
        <f>SUMIFS('caseload data'!S:S,'caseload data'!$D:$D,"PO",'caseload data'!$A:$A,EoE)</f>
        <v>0</v>
      </c>
      <c r="S12" s="94">
        <f>SUMIFS('caseload data'!T:T,'caseload data'!$D:$D,"PO",'caseload data'!$A:$A,EoE)</f>
        <v>0</v>
      </c>
      <c r="T12" s="94">
        <f>SUMIFS('caseload data'!V:V,'caseload data'!$D:$D,"PO",'caseload data'!$A:$A,EoE)</f>
        <v>0</v>
      </c>
      <c r="U12" s="64"/>
      <c r="V12" s="64"/>
      <c r="W12" s="503" t="s">
        <v>18</v>
      </c>
      <c r="X12" s="128" t="s">
        <v>947</v>
      </c>
      <c r="Y12" s="167" t="e">
        <f>SUM(D12)/SUM(D$12:D$16)</f>
        <v>#DIV/0!</v>
      </c>
      <c r="Z12" s="167" t="e">
        <f t="shared" ref="Z12:AC16" si="3">SUM(E12)/SUM(E$12:E$16)</f>
        <v>#DIV/0!</v>
      </c>
      <c r="AA12" s="167" t="e">
        <f t="shared" si="3"/>
        <v>#DIV/0!</v>
      </c>
      <c r="AB12" s="167" t="e">
        <f t="shared" si="3"/>
        <v>#DIV/0!</v>
      </c>
      <c r="AC12" s="167" t="e">
        <f>SUM(H12)/SUM(H$12:H$16)</f>
        <v>#DIV/0!</v>
      </c>
      <c r="AD12" s="167" t="e">
        <f>SUM(I12)/SUM(I$12:I$16)</f>
        <v>#DIV/0!</v>
      </c>
      <c r="AE12" s="167" t="e">
        <f t="shared" ref="AE12:AE16" si="4">SUM(J12)/SUM(J$12:J$16)</f>
        <v>#DIV/0!</v>
      </c>
      <c r="AF12" s="167" t="e">
        <f t="shared" ref="AF12:AF16" si="5">SUM(K12)/SUM(K$12:K$16)</f>
        <v>#DIV/0!</v>
      </c>
      <c r="AG12" s="167" t="e">
        <f t="shared" ref="AG12:AG16" si="6">SUM(L12)/SUM(L$12:L$16)</f>
        <v>#DIV/0!</v>
      </c>
      <c r="AH12" s="167" t="e">
        <f>SUM(M12)/SUM(M$12:M$16)</f>
        <v>#DIV/0!</v>
      </c>
      <c r="AI12" s="167" t="e">
        <f>SUM(N12)/SUM(N$12:N$16)</f>
        <v>#DIV/0!</v>
      </c>
      <c r="AJ12" s="167" t="e">
        <f t="shared" ref="AJ12:AJ16" si="7">SUM(O12)/SUM(O$12:O$16)</f>
        <v>#DIV/0!</v>
      </c>
      <c r="AK12" s="167" t="e">
        <f t="shared" ref="AK12:AK16" si="8">SUM(P12)/SUM(P$12:P$16)</f>
        <v>#DIV/0!</v>
      </c>
      <c r="AL12" s="167" t="e">
        <f t="shared" ref="AL12:AL16" si="9">SUM(Q12)/SUM(Q$12:Q$16)</f>
        <v>#DIV/0!</v>
      </c>
      <c r="AM12" s="167" t="e">
        <f>SUM(R12)/SUM(R$12:R$16)</f>
        <v>#DIV/0!</v>
      </c>
      <c r="AN12" s="167" t="e">
        <f>SUM(S12)/SUM(S$12:S$16)</f>
        <v>#DIV/0!</v>
      </c>
      <c r="AO12" s="167" t="e">
        <f>SUM(T12)/SUM(T$12:T$16)</f>
        <v>#DIV/0!</v>
      </c>
    </row>
    <row r="13" spans="1:41" x14ac:dyDescent="0.15">
      <c r="B13" s="510"/>
      <c r="C13" s="129" t="s">
        <v>952</v>
      </c>
      <c r="D13" s="368">
        <f>SUMIFS('caseload data'!E:E,'caseload data'!$D:$D,"PSO",'caseload data'!$A:$A,"East of England")</f>
        <v>0</v>
      </c>
      <c r="E13" s="94">
        <f>SUMIFS('caseload data'!F:F,'caseload data'!$D:$D,"PSO",'caseload data'!$A:$A,"East of England")</f>
        <v>0</v>
      </c>
      <c r="F13" s="94">
        <f>SUMIFS('caseload data'!G:G,'caseload data'!$D:$D,"PSO",'caseload data'!$A:$A,"East of England")</f>
        <v>0</v>
      </c>
      <c r="G13" s="94">
        <f>SUMIFS('caseload data'!H:H,'caseload data'!$D:$D,"PSO",'caseload data'!$A:$A,"East of England")</f>
        <v>0</v>
      </c>
      <c r="H13" s="94">
        <f>SUMIFS('caseload data'!I:I,'caseload data'!$D:$D,"PSO",'caseload data'!$A:$A,"East of England")</f>
        <v>0</v>
      </c>
      <c r="I13" s="94">
        <f>SUMIFS('caseload data'!J:J,'caseload data'!$D:$D,"PSO",'caseload data'!$A:$A,"East of England")</f>
        <v>0</v>
      </c>
      <c r="J13" s="94">
        <f>SUMIFS('caseload data'!K:K,'caseload data'!$D:$D,"PSO",'caseload data'!$A:$A,"East of England")</f>
        <v>0</v>
      </c>
      <c r="K13" s="94">
        <f>SUMIFS('caseload data'!L:L,'caseload data'!$D:$D,"PSO",'caseload data'!$A:$A,"East of England")</f>
        <v>0</v>
      </c>
      <c r="L13" s="94">
        <f>SUMIFS('caseload data'!M:M,'caseload data'!$D:$D,"PSO",'caseload data'!$A:$A,"East of England")</f>
        <v>0</v>
      </c>
      <c r="M13" s="94">
        <f>SUMIFS('caseload data'!N:N,'caseload data'!$D:$D,"PSO",'caseload data'!$A:$A,"East of England")</f>
        <v>0</v>
      </c>
      <c r="N13" s="94">
        <f>SUMIFS('caseload data'!O:O,'caseload data'!$D:$D,"PSO",'caseload data'!$A:$A,"East of England")</f>
        <v>0</v>
      </c>
      <c r="O13" s="94">
        <f>SUMIFS('caseload data'!P:P,'caseload data'!$D:$D,"PSO",'caseload data'!$A:$A,"East of England")</f>
        <v>0</v>
      </c>
      <c r="P13" s="94">
        <f>SUMIFS('caseload data'!Q:Q,'caseload data'!$D:$D,"PSO",'caseload data'!$A:$A,"East of England")</f>
        <v>0</v>
      </c>
      <c r="Q13" s="94">
        <f>SUMIFS('caseload data'!R:R,'caseload data'!$D:$D,"PSO",'caseload data'!$A:$A,"East of England")</f>
        <v>0</v>
      </c>
      <c r="R13" s="94">
        <f>SUMIFS('caseload data'!S:S,'caseload data'!$D:$D,"PSO",'caseload data'!$A:$A,"East of England")</f>
        <v>0</v>
      </c>
      <c r="S13" s="94">
        <f>SUMIFS('caseload data'!T:T,'caseload data'!$D:$D,"PSO",'caseload data'!$A:$A,"East of England")</f>
        <v>0</v>
      </c>
      <c r="T13" s="94">
        <f>SUMIFS('caseload data'!V:V,'caseload data'!$D:$D,"PSO",'caseload data'!$A:$A,"East of England")</f>
        <v>0</v>
      </c>
      <c r="U13" s="64"/>
      <c r="V13" s="64"/>
      <c r="W13" s="504"/>
      <c r="X13" s="129" t="s">
        <v>952</v>
      </c>
      <c r="Y13" s="167" t="e">
        <f t="shared" ref="Y13:Y16" si="10">SUM(D13)/SUM(D$12:D$16)</f>
        <v>#DIV/0!</v>
      </c>
      <c r="Z13" s="167" t="e">
        <f t="shared" si="3"/>
        <v>#DIV/0!</v>
      </c>
      <c r="AA13" s="167" t="e">
        <f t="shared" si="3"/>
        <v>#DIV/0!</v>
      </c>
      <c r="AB13" s="167" t="e">
        <f t="shared" si="3"/>
        <v>#DIV/0!</v>
      </c>
      <c r="AC13" s="167" t="e">
        <f t="shared" si="3"/>
        <v>#DIV/0!</v>
      </c>
      <c r="AD13" s="167" t="e">
        <f t="shared" ref="AD13:AD16" si="11">SUM(I13)/SUM(I$12:I$16)</f>
        <v>#DIV/0!</v>
      </c>
      <c r="AE13" s="167" t="e">
        <f t="shared" si="4"/>
        <v>#DIV/0!</v>
      </c>
      <c r="AF13" s="167" t="e">
        <f t="shared" si="5"/>
        <v>#DIV/0!</v>
      </c>
      <c r="AG13" s="167" t="e">
        <f t="shared" si="6"/>
        <v>#DIV/0!</v>
      </c>
      <c r="AH13" s="167" t="e">
        <f t="shared" ref="AH13:AH16" si="12">SUM(M13)/SUM(M$12:M$16)</f>
        <v>#DIV/0!</v>
      </c>
      <c r="AI13" s="167" t="e">
        <f t="shared" ref="AI13:AI16" si="13">SUM(N13)/SUM(N$12:N$16)</f>
        <v>#DIV/0!</v>
      </c>
      <c r="AJ13" s="167" t="e">
        <f t="shared" si="7"/>
        <v>#DIV/0!</v>
      </c>
      <c r="AK13" s="167" t="e">
        <f t="shared" si="8"/>
        <v>#DIV/0!</v>
      </c>
      <c r="AL13" s="167" t="e">
        <f t="shared" si="9"/>
        <v>#DIV/0!</v>
      </c>
      <c r="AM13" s="167" t="e">
        <f t="shared" ref="AM13:AM16" si="14">SUM(R13)/SUM(R$12:R$16)</f>
        <v>#DIV/0!</v>
      </c>
      <c r="AN13" s="167" t="e">
        <f t="shared" ref="AN13:AO16" si="15">SUM(S13)/SUM(S$12:S$16)</f>
        <v>#DIV/0!</v>
      </c>
      <c r="AO13" s="167" t="e">
        <f t="shared" si="15"/>
        <v>#DIV/0!</v>
      </c>
    </row>
    <row r="14" spans="1:41" x14ac:dyDescent="0.15">
      <c r="B14" s="510"/>
      <c r="C14" s="129" t="s">
        <v>953</v>
      </c>
      <c r="D14" s="368">
        <f>SUMIFS('caseload data'!E:E,'caseload data'!$D:$D,"TPO",'caseload data'!$A:$A,"East of England")</f>
        <v>0</v>
      </c>
      <c r="E14" s="94">
        <f>SUMIFS('caseload data'!F:F,'caseload data'!$D:$D,"TPO",'caseload data'!$A:$A,"East of England")</f>
        <v>0</v>
      </c>
      <c r="F14" s="94">
        <f>SUMIFS('caseload data'!G:G,'caseload data'!$D:$D,"TPO",'caseload data'!$A:$A,"East of England")</f>
        <v>0</v>
      </c>
      <c r="G14" s="94">
        <f>SUMIFS('caseload data'!H:H,'caseload data'!$D:$D,"TPO",'caseload data'!$A:$A,"East of England")</f>
        <v>0</v>
      </c>
      <c r="H14" s="94">
        <f>SUMIFS('caseload data'!I:I,'caseload data'!$D:$D,"TPO",'caseload data'!$A:$A,"East of England")</f>
        <v>0</v>
      </c>
      <c r="I14" s="94">
        <f>SUMIFS('caseload data'!J:J,'caseload data'!$D:$D,"TPO",'caseload data'!$A:$A,"East of England")</f>
        <v>0</v>
      </c>
      <c r="J14" s="94">
        <f>SUMIFS('caseload data'!K:K,'caseload data'!$D:$D,"TPO",'caseload data'!$A:$A,"East of England")</f>
        <v>0</v>
      </c>
      <c r="K14" s="94">
        <f>SUMIFS('caseload data'!L:L,'caseload data'!$D:$D,"TPO",'caseload data'!$A:$A,"East of England")</f>
        <v>0</v>
      </c>
      <c r="L14" s="94">
        <f>SUMIFS('caseload data'!M:M,'caseload data'!$D:$D,"TPO",'caseload data'!$A:$A,"East of England")</f>
        <v>0</v>
      </c>
      <c r="M14" s="94">
        <f>SUMIFS('caseload data'!N:N,'caseload data'!$D:$D,"TPO",'caseload data'!$A:$A,"East of England")</f>
        <v>0</v>
      </c>
      <c r="N14" s="94">
        <f>SUMIFS('caseload data'!O:O,'caseload data'!$D:$D,"TPO",'caseload data'!$A:$A,"East of England")</f>
        <v>0</v>
      </c>
      <c r="O14" s="94">
        <f>SUMIFS('caseload data'!P:P,'caseload data'!$D:$D,"TPO",'caseload data'!$A:$A,"East of England")</f>
        <v>0</v>
      </c>
      <c r="P14" s="94">
        <f>SUMIFS('caseload data'!Q:Q,'caseload data'!$D:$D,"TPO",'caseload data'!$A:$A,"East of England")</f>
        <v>0</v>
      </c>
      <c r="Q14" s="94">
        <f>SUMIFS('caseload data'!R:R,'caseload data'!$D:$D,"TPO",'caseload data'!$A:$A,"East of England")</f>
        <v>0</v>
      </c>
      <c r="R14" s="94">
        <f>SUMIFS('caseload data'!S:S,'caseload data'!$D:$D,"TPO",'caseload data'!$A:$A,"East of England")</f>
        <v>0</v>
      </c>
      <c r="S14" s="94">
        <f>SUMIFS('caseload data'!T:T,'caseload data'!$D:$D,"TPO",'caseload data'!$A:$A,"East of England")</f>
        <v>0</v>
      </c>
      <c r="T14" s="94">
        <f>SUMIFS('caseload data'!V:V,'caseload data'!$D:$D,"TPO",'caseload data'!$A:$A,"East of England")</f>
        <v>0</v>
      </c>
      <c r="U14" s="64"/>
      <c r="V14" s="64"/>
      <c r="W14" s="504"/>
      <c r="X14" s="129" t="s">
        <v>953</v>
      </c>
      <c r="Y14" s="167" t="e">
        <f t="shared" si="10"/>
        <v>#DIV/0!</v>
      </c>
      <c r="Z14" s="167" t="e">
        <f t="shared" si="3"/>
        <v>#DIV/0!</v>
      </c>
      <c r="AA14" s="167" t="e">
        <f t="shared" si="3"/>
        <v>#DIV/0!</v>
      </c>
      <c r="AB14" s="167" t="e">
        <f t="shared" si="3"/>
        <v>#DIV/0!</v>
      </c>
      <c r="AC14" s="167" t="e">
        <f t="shared" si="3"/>
        <v>#DIV/0!</v>
      </c>
      <c r="AD14" s="167" t="e">
        <f t="shared" si="11"/>
        <v>#DIV/0!</v>
      </c>
      <c r="AE14" s="167" t="e">
        <f t="shared" si="4"/>
        <v>#DIV/0!</v>
      </c>
      <c r="AF14" s="167" t="e">
        <f t="shared" si="5"/>
        <v>#DIV/0!</v>
      </c>
      <c r="AG14" s="167" t="e">
        <f t="shared" si="6"/>
        <v>#DIV/0!</v>
      </c>
      <c r="AH14" s="167" t="e">
        <f t="shared" si="12"/>
        <v>#DIV/0!</v>
      </c>
      <c r="AI14" s="167" t="e">
        <f t="shared" si="13"/>
        <v>#DIV/0!</v>
      </c>
      <c r="AJ14" s="167" t="e">
        <f t="shared" si="7"/>
        <v>#DIV/0!</v>
      </c>
      <c r="AK14" s="167" t="e">
        <f t="shared" si="8"/>
        <v>#DIV/0!</v>
      </c>
      <c r="AL14" s="167" t="e">
        <f t="shared" si="9"/>
        <v>#DIV/0!</v>
      </c>
      <c r="AM14" s="167" t="e">
        <f t="shared" si="14"/>
        <v>#DIV/0!</v>
      </c>
      <c r="AN14" s="167" t="e">
        <f t="shared" si="15"/>
        <v>#DIV/0!</v>
      </c>
      <c r="AO14" s="167" t="e">
        <f t="shared" si="15"/>
        <v>#DIV/0!</v>
      </c>
    </row>
    <row r="15" spans="1:41" x14ac:dyDescent="0.15">
      <c r="B15" s="510"/>
      <c r="C15" s="129" t="s">
        <v>954</v>
      </c>
      <c r="D15" s="368">
        <f>SUMIFS('caseload data'!E:E,'caseload data'!$D:$D,"SPO",'caseload data'!$A:$A,"East of England")</f>
        <v>0</v>
      </c>
      <c r="E15" s="94">
        <f>SUMIFS('caseload data'!F:F,'caseload data'!$D:$D,"SPO",'caseload data'!$A:$A,"East of England")</f>
        <v>0</v>
      </c>
      <c r="F15" s="94">
        <f>SUMIFS('caseload data'!$G:$G,'caseload data'!$D:$D,"SPO",'caseload data'!$A:$A,"East of England")</f>
        <v>0</v>
      </c>
      <c r="G15" s="94">
        <f>SUMIFS('caseload data'!H:H,'caseload data'!$D:$D,"SPO",'caseload data'!$A:$A,"East of England")</f>
        <v>0</v>
      </c>
      <c r="H15" s="94">
        <f>SUMIFS('caseload data'!I:I,'caseload data'!$D:$D,"SPO",'caseload data'!$A:$A,"East of England")</f>
        <v>0</v>
      </c>
      <c r="I15" s="94">
        <f>SUMIFS('caseload data'!J:J,'caseload data'!$D:$D,"SPO",'caseload data'!$A:$A,"East of England")</f>
        <v>0</v>
      </c>
      <c r="J15" s="94">
        <f>SUMIFS('caseload data'!K:K,'caseload data'!$D:$D,"SPO",'caseload data'!$A:$A,"East of England")</f>
        <v>0</v>
      </c>
      <c r="K15" s="94">
        <f>SUMIFS('caseload data'!L:L,'caseload data'!$D:$D,"SPO",'caseload data'!$A:$A,"East of England")</f>
        <v>0</v>
      </c>
      <c r="L15" s="94">
        <f>SUMIFS('caseload data'!M:M,'caseload data'!$D:$D,"SPO",'caseload data'!$A:$A,"East of England")</f>
        <v>0</v>
      </c>
      <c r="M15" s="94">
        <f>SUMIFS('caseload data'!N:N,'caseload data'!$D:$D,"SPO",'caseload data'!$A:$A,"East of England")</f>
        <v>0</v>
      </c>
      <c r="N15" s="94">
        <f>SUMIFS('caseload data'!O:O,'caseload data'!$D:$D,"SPO",'caseload data'!$A:$A,"East of England")</f>
        <v>0</v>
      </c>
      <c r="O15" s="94">
        <f>SUMIFS('caseload data'!P:P,'caseload data'!$D:$D,"SPO",'caseload data'!$A:$A,"East of England")</f>
        <v>0</v>
      </c>
      <c r="P15" s="94">
        <f>SUMIFS('caseload data'!Q:Q,'caseload data'!$D:$D,"SPO",'caseload data'!$A:$A,"East of England")</f>
        <v>0</v>
      </c>
      <c r="Q15" s="94">
        <f>SUMIFS('caseload data'!R:R,'caseload data'!$D:$D,"SPO",'caseload data'!$A:$A,"East of England")</f>
        <v>0</v>
      </c>
      <c r="R15" s="94">
        <f>SUMIFS('caseload data'!S:S,'caseload data'!$D:$D,"SPO",'caseload data'!$A:$A,"East of England")</f>
        <v>0</v>
      </c>
      <c r="S15" s="94">
        <f>SUMIFS('caseload data'!T:T,'caseload data'!$D:$D,"SPO",'caseload data'!$A:$A,"East of England")</f>
        <v>0</v>
      </c>
      <c r="T15" s="94">
        <f>SUMIFS('caseload data'!V:V,'caseload data'!$D:$D,"SPO",'caseload data'!$A:$A,"East of England")</f>
        <v>0</v>
      </c>
      <c r="U15" s="64"/>
      <c r="V15" s="64"/>
      <c r="W15" s="504"/>
      <c r="X15" s="129" t="s">
        <v>954</v>
      </c>
      <c r="Y15" s="167" t="e">
        <f t="shared" si="10"/>
        <v>#DIV/0!</v>
      </c>
      <c r="Z15" s="167" t="e">
        <f t="shared" si="3"/>
        <v>#DIV/0!</v>
      </c>
      <c r="AA15" s="167" t="e">
        <f t="shared" si="3"/>
        <v>#DIV/0!</v>
      </c>
      <c r="AB15" s="167" t="e">
        <f t="shared" si="3"/>
        <v>#DIV/0!</v>
      </c>
      <c r="AC15" s="167" t="e">
        <f t="shared" si="3"/>
        <v>#DIV/0!</v>
      </c>
      <c r="AD15" s="167" t="e">
        <f t="shared" si="11"/>
        <v>#DIV/0!</v>
      </c>
      <c r="AE15" s="167" t="e">
        <f t="shared" si="4"/>
        <v>#DIV/0!</v>
      </c>
      <c r="AF15" s="167" t="e">
        <f t="shared" si="5"/>
        <v>#DIV/0!</v>
      </c>
      <c r="AG15" s="167" t="e">
        <f t="shared" si="6"/>
        <v>#DIV/0!</v>
      </c>
      <c r="AH15" s="167" t="e">
        <f t="shared" si="12"/>
        <v>#DIV/0!</v>
      </c>
      <c r="AI15" s="167" t="e">
        <f t="shared" si="13"/>
        <v>#DIV/0!</v>
      </c>
      <c r="AJ15" s="167" t="e">
        <f t="shared" si="7"/>
        <v>#DIV/0!</v>
      </c>
      <c r="AK15" s="167" t="e">
        <f t="shared" si="8"/>
        <v>#DIV/0!</v>
      </c>
      <c r="AL15" s="167" t="e">
        <f t="shared" si="9"/>
        <v>#DIV/0!</v>
      </c>
      <c r="AM15" s="167" t="e">
        <f t="shared" si="14"/>
        <v>#DIV/0!</v>
      </c>
      <c r="AN15" s="167" t="e">
        <f t="shared" si="15"/>
        <v>#DIV/0!</v>
      </c>
      <c r="AO15" s="167" t="e">
        <f t="shared" si="15"/>
        <v>#DIV/0!</v>
      </c>
    </row>
    <row r="16" spans="1:41" x14ac:dyDescent="0.15">
      <c r="B16" s="511"/>
      <c r="C16" s="130" t="s">
        <v>1286</v>
      </c>
      <c r="D16" s="368">
        <f>SUMIFS('caseload data'!E:E,'caseload data'!$D:$D,"DMY",'caseload data'!$A:$A,"East of England")</f>
        <v>0</v>
      </c>
      <c r="E16" s="94">
        <f>SUMIFS('caseload data'!F:F,'caseload data'!$D:$D,"DMY",'caseload data'!$A:$A,"East of England")</f>
        <v>0</v>
      </c>
      <c r="F16" s="94">
        <f>SUMIFS('caseload data'!G:G,'caseload data'!$D:$D,"DMY",'caseload data'!$A:$A,"East of England")</f>
        <v>0</v>
      </c>
      <c r="G16" s="94">
        <f>SUMIFS('caseload data'!H:H,'caseload data'!$D:$D,"DMY",'caseload data'!$A:$A,"East of England")</f>
        <v>0</v>
      </c>
      <c r="H16" s="94">
        <f>SUMIFS('caseload data'!I:I,'caseload data'!$D:$D,"DMY",'caseload data'!$A:$A,"East of England")</f>
        <v>0</v>
      </c>
      <c r="I16" s="94">
        <f>SUMIFS('caseload data'!J:J,'caseload data'!$D:$D,"DMY",'caseload data'!$A:$A,"East of England")</f>
        <v>0</v>
      </c>
      <c r="J16" s="94">
        <f>SUMIFS('caseload data'!K:K,'caseload data'!$D:$D,"DMY",'caseload data'!$A:$A,"East of England")</f>
        <v>0</v>
      </c>
      <c r="K16" s="94">
        <f>SUMIFS('caseload data'!L:L,'caseload data'!$D:$D,"DMY",'caseload data'!$A:$A,"East of England")</f>
        <v>0</v>
      </c>
      <c r="L16" s="94">
        <f>SUMIFS('caseload data'!M:M,'caseload data'!$D:$D,"DMY",'caseload data'!$A:$A,"East of England")</f>
        <v>0</v>
      </c>
      <c r="M16" s="94">
        <f>SUMIFS('caseload data'!N:N,'caseload data'!$D:$D,"DMY",'caseload data'!$A:$A,"East of England")</f>
        <v>0</v>
      </c>
      <c r="N16" s="94">
        <f>SUMIFS('caseload data'!O:O,'caseload data'!$D:$D,"DMY",'caseload data'!$A:$A,"East of England")</f>
        <v>0</v>
      </c>
      <c r="O16" s="94">
        <f>SUMIFS('caseload data'!P:P,'caseload data'!$D:$D,"DMY",'caseload data'!$A:$A,"East of England")</f>
        <v>0</v>
      </c>
      <c r="P16" s="94">
        <f>SUMIFS('caseload data'!Q:Q,'caseload data'!$D:$D,"DMY",'caseload data'!$A:$A,"East of England")</f>
        <v>0</v>
      </c>
      <c r="Q16" s="94">
        <f>SUMIFS('caseload data'!R:R,'caseload data'!$D:$D,"DMY",'caseload data'!$A:$A,"East of England")</f>
        <v>0</v>
      </c>
      <c r="R16" s="94">
        <f>SUMIFS('caseload data'!S:S,'caseload data'!$D:$D,"DMY",'caseload data'!$A:$A,"East of England")</f>
        <v>0</v>
      </c>
      <c r="S16" s="94">
        <f>SUMIFS('caseload data'!T:T,'caseload data'!$D:$D,"DMY",'caseload data'!$A:$A,"East of England")</f>
        <v>0</v>
      </c>
      <c r="T16" s="94">
        <f>SUMIFS('caseload data'!V:V,'caseload data'!$D:$D,"DMY",'caseload data'!$A:$A,"East of England")</f>
        <v>0</v>
      </c>
      <c r="U16" s="64"/>
      <c r="V16" s="64"/>
      <c r="W16" s="505"/>
      <c r="X16" s="130" t="s">
        <v>1286</v>
      </c>
      <c r="Y16" s="167" t="e">
        <f t="shared" si="10"/>
        <v>#DIV/0!</v>
      </c>
      <c r="Z16" s="167" t="e">
        <f t="shared" si="3"/>
        <v>#DIV/0!</v>
      </c>
      <c r="AA16" s="167" t="e">
        <f t="shared" si="3"/>
        <v>#DIV/0!</v>
      </c>
      <c r="AB16" s="167" t="e">
        <f t="shared" si="3"/>
        <v>#DIV/0!</v>
      </c>
      <c r="AC16" s="167" t="e">
        <f t="shared" si="3"/>
        <v>#DIV/0!</v>
      </c>
      <c r="AD16" s="167" t="e">
        <f t="shared" si="11"/>
        <v>#DIV/0!</v>
      </c>
      <c r="AE16" s="167" t="e">
        <f t="shared" si="4"/>
        <v>#DIV/0!</v>
      </c>
      <c r="AF16" s="167" t="e">
        <f t="shared" si="5"/>
        <v>#DIV/0!</v>
      </c>
      <c r="AG16" s="167" t="e">
        <f t="shared" si="6"/>
        <v>#DIV/0!</v>
      </c>
      <c r="AH16" s="167" t="e">
        <f t="shared" si="12"/>
        <v>#DIV/0!</v>
      </c>
      <c r="AI16" s="167" t="e">
        <f t="shared" si="13"/>
        <v>#DIV/0!</v>
      </c>
      <c r="AJ16" s="167" t="e">
        <f t="shared" si="7"/>
        <v>#DIV/0!</v>
      </c>
      <c r="AK16" s="167" t="e">
        <f t="shared" si="8"/>
        <v>#DIV/0!</v>
      </c>
      <c r="AL16" s="167" t="e">
        <f t="shared" si="9"/>
        <v>#DIV/0!</v>
      </c>
      <c r="AM16" s="167" t="e">
        <f t="shared" si="14"/>
        <v>#DIV/0!</v>
      </c>
      <c r="AN16" s="167" t="e">
        <f t="shared" si="15"/>
        <v>#DIV/0!</v>
      </c>
      <c r="AO16" s="167" t="e">
        <f t="shared" si="15"/>
        <v>#DIV/0!</v>
      </c>
    </row>
    <row r="17" spans="2:41" x14ac:dyDescent="0.15">
      <c r="B17" s="509" t="s">
        <v>19</v>
      </c>
      <c r="C17" s="128" t="s">
        <v>947</v>
      </c>
      <c r="D17" s="368">
        <f>SUMIFS('caseload data'!E:E,'caseload data'!$D:$D,"PO",'caseload data'!$A:$A,'national caseload'!$B$17:$B$19)</f>
        <v>0</v>
      </c>
      <c r="E17" s="94">
        <f>SUMIFS('caseload data'!F:F,'caseload data'!$D:$D,"PO",'caseload data'!$A:$A,'national caseload'!$B$17:$B$19)</f>
        <v>0</v>
      </c>
      <c r="F17" s="94">
        <f>SUMIFS('caseload data'!G:G,'caseload data'!$D:$D,"PO",'caseload data'!$A:$A,'national caseload'!$B$17:$B$19)</f>
        <v>0</v>
      </c>
      <c r="G17" s="94">
        <f>SUMIFS('caseload data'!H:H,'caseload data'!$D:$D,"PO",'caseload data'!$A:$A,'national caseload'!$B$17:$B$19)</f>
        <v>0</v>
      </c>
      <c r="H17" s="94">
        <f>SUMIFS('caseload data'!I:I,'caseload data'!$D:$D,"PO",'caseload data'!$A:$A,'national caseload'!$B$17:$B$19)</f>
        <v>0</v>
      </c>
      <c r="I17" s="94">
        <f>SUMIFS('caseload data'!J:J,'caseload data'!$D:$D,"PO",'caseload data'!$A:$A,'national caseload'!$B$17:$B$19)</f>
        <v>0</v>
      </c>
      <c r="J17" s="94">
        <f>SUMIFS('caseload data'!K:K,'caseload data'!$D:$D,"PO",'caseload data'!$A:$A,'national caseload'!$B$17:$B$19)</f>
        <v>0</v>
      </c>
      <c r="K17" s="94">
        <f>SUMIFS('caseload data'!L:L,'caseload data'!$D:$D,"PO",'caseload data'!$A:$A,'national caseload'!$B$17:$B$19)</f>
        <v>0</v>
      </c>
      <c r="L17" s="94">
        <f>SUMIFS('caseload data'!M:M,'caseload data'!$D:$D,"PO",'caseload data'!$A:$A,'national caseload'!$B$17:$B$19)</f>
        <v>0</v>
      </c>
      <c r="M17" s="94">
        <f>SUMIFS('caseload data'!N:N,'caseload data'!$D:$D,"PO",'caseload data'!$A:$A,'national caseload'!$B$17:$B$19)</f>
        <v>0</v>
      </c>
      <c r="N17" s="94">
        <f>SUMIFS('caseload data'!O:O,'caseload data'!$D:$D,"PO",'caseload data'!$A:$A,'national caseload'!$B$17:$B$19)</f>
        <v>0</v>
      </c>
      <c r="O17" s="94">
        <f>SUMIFS('caseload data'!P:P,'caseload data'!$D:$D,"PO",'caseload data'!$A:$A,'national caseload'!$B$17:$B$19)</f>
        <v>0</v>
      </c>
      <c r="P17" s="94">
        <f>SUMIFS('caseload data'!Q:Q,'caseload data'!$D:$D,"PO",'caseload data'!$A:$A,'national caseload'!$B$17:$B$19)</f>
        <v>0</v>
      </c>
      <c r="Q17" s="94">
        <f>SUMIFS('caseload data'!R:R,'caseload data'!$D:$D,"PO",'caseload data'!$A:$A,'national caseload'!$B$17:$B$19)</f>
        <v>0</v>
      </c>
      <c r="R17" s="94">
        <f>SUMIFS('caseload data'!S:S,'caseload data'!$D:$D,"PO",'caseload data'!$A:$A,'national caseload'!$B$17:$B$19)</f>
        <v>0</v>
      </c>
      <c r="S17" s="94">
        <f>SUMIFS('caseload data'!T:T,'caseload data'!$D:$D,"PO",'caseload data'!$A:$A,'national caseload'!$B$17:$B$19)</f>
        <v>0</v>
      </c>
      <c r="T17" s="94">
        <f>SUMIFS('caseload data'!V:V,'caseload data'!$D:$D,"PO",'caseload data'!$A:$A,'national caseload'!B17:B19)</f>
        <v>0</v>
      </c>
      <c r="U17" s="64"/>
      <c r="V17" s="64"/>
      <c r="W17" s="503" t="s">
        <v>19</v>
      </c>
      <c r="X17" s="128" t="s">
        <v>947</v>
      </c>
      <c r="Y17" s="167" t="e">
        <f>SUM(D17)/SUM(D$17:D$21)</f>
        <v>#DIV/0!</v>
      </c>
      <c r="Z17" s="167" t="e">
        <f>SUM(E17)/SUM(E$17:E$21)</f>
        <v>#DIV/0!</v>
      </c>
      <c r="AA17" s="167" t="e">
        <f t="shared" ref="AA17:AO21" si="16">SUM(F17)/SUM(F$17:F$21)</f>
        <v>#DIV/0!</v>
      </c>
      <c r="AB17" s="167" t="e">
        <f t="shared" si="16"/>
        <v>#DIV/0!</v>
      </c>
      <c r="AC17" s="167" t="e">
        <f t="shared" si="16"/>
        <v>#DIV/0!</v>
      </c>
      <c r="AD17" s="167" t="e">
        <f t="shared" si="16"/>
        <v>#DIV/0!</v>
      </c>
      <c r="AE17" s="167" t="e">
        <f t="shared" si="16"/>
        <v>#DIV/0!</v>
      </c>
      <c r="AF17" s="167" t="e">
        <f t="shared" si="16"/>
        <v>#DIV/0!</v>
      </c>
      <c r="AG17" s="167" t="e">
        <f t="shared" si="16"/>
        <v>#DIV/0!</v>
      </c>
      <c r="AH17" s="167" t="e">
        <f t="shared" si="16"/>
        <v>#DIV/0!</v>
      </c>
      <c r="AI17" s="167" t="e">
        <f t="shared" si="16"/>
        <v>#DIV/0!</v>
      </c>
      <c r="AJ17" s="167" t="e">
        <f t="shared" si="16"/>
        <v>#DIV/0!</v>
      </c>
      <c r="AK17" s="167" t="e">
        <f t="shared" si="16"/>
        <v>#DIV/0!</v>
      </c>
      <c r="AL17" s="167" t="e">
        <f t="shared" si="16"/>
        <v>#DIV/0!</v>
      </c>
      <c r="AM17" s="167" t="e">
        <f t="shared" si="16"/>
        <v>#DIV/0!</v>
      </c>
      <c r="AN17" s="167" t="e">
        <f t="shared" si="16"/>
        <v>#DIV/0!</v>
      </c>
      <c r="AO17" s="167" t="e">
        <f t="shared" si="16"/>
        <v>#DIV/0!</v>
      </c>
    </row>
    <row r="18" spans="2:41" x14ac:dyDescent="0.15">
      <c r="B18" s="510"/>
      <c r="C18" s="129" t="s">
        <v>952</v>
      </c>
      <c r="D18" s="368">
        <f>SUMIFS('caseload data'!E:E,'caseload data'!$D:$D,"PSO",'caseload data'!$A:$A,"Greater Manchester")</f>
        <v>0</v>
      </c>
      <c r="E18" s="94">
        <f>SUMIFS('caseload data'!F:F,'caseload data'!$D:$D,"PSO",'caseload data'!$A:$A,"Greater Manchester")</f>
        <v>0</v>
      </c>
      <c r="F18" s="94">
        <f>SUMIFS('caseload data'!G:G,'caseload data'!$D:$D,"PSO",'caseload data'!$A:$A,"Greater Manchester")</f>
        <v>0</v>
      </c>
      <c r="G18" s="94">
        <f>SUMIFS('caseload data'!H:H,'caseload data'!$D:$D,"PSO",'caseload data'!$A:$A,"Greater Manchester")</f>
        <v>0</v>
      </c>
      <c r="H18" s="94">
        <f>SUMIFS('caseload data'!I:I,'caseload data'!$D:$D,"PSO",'caseload data'!$A:$A,"Greater Manchester")</f>
        <v>0</v>
      </c>
      <c r="I18" s="94">
        <f>SUMIFS('caseload data'!J:J,'caseload data'!$D:$D,"PSO",'caseload data'!$A:$A,"Greater Manchester")</f>
        <v>0</v>
      </c>
      <c r="J18" s="94">
        <f>SUMIFS('caseload data'!K:K,'caseload data'!$D:$D,"PSO",'caseload data'!$A:$A,"Greater Manchester")</f>
        <v>0</v>
      </c>
      <c r="K18" s="94">
        <f>SUMIFS('caseload data'!L:L,'caseload data'!$D:$D,"PSO",'caseload data'!$A:$A,"Greater Manchester")</f>
        <v>0</v>
      </c>
      <c r="L18" s="94">
        <f>SUMIFS('caseload data'!M:M,'caseload data'!$D:$D,"PSO",'caseload data'!$A:$A,"Greater Manchester")</f>
        <v>0</v>
      </c>
      <c r="M18" s="94">
        <f>SUMIFS('caseload data'!N:N,'caseload data'!$D:$D,"PSO",'caseload data'!$A:$A,"Greater Manchester")</f>
        <v>0</v>
      </c>
      <c r="N18" s="94">
        <f>SUMIFS('caseload data'!O:O,'caseload data'!$D:$D,"PSO",'caseload data'!$A:$A,"Greater Manchester")</f>
        <v>0</v>
      </c>
      <c r="O18" s="94">
        <f>SUMIFS('caseload data'!P:P,'caseload data'!$D:$D,"PSO",'caseload data'!$A:$A,"Greater Manchester")</f>
        <v>0</v>
      </c>
      <c r="P18" s="94">
        <f>SUMIFS('caseload data'!Q:Q,'caseload data'!$D:$D,"PSO",'caseload data'!$A:$A,"Greater Manchester")</f>
        <v>0</v>
      </c>
      <c r="Q18" s="94">
        <f>SUMIFS('caseload data'!R:R,'caseload data'!$D:$D,"PSO",'caseload data'!$A:$A,"Greater Manchester")</f>
        <v>0</v>
      </c>
      <c r="R18" s="94">
        <f>SUMIFS('caseload data'!S:S,'caseload data'!$D:$D,"PSO",'caseload data'!$A:$A,"Greater Manchester")</f>
        <v>0</v>
      </c>
      <c r="S18" s="94">
        <f>SUMIFS('caseload data'!T:T,'caseload data'!$D:$D,"PSO",'caseload data'!$A:$A,"Greater Manchester")</f>
        <v>0</v>
      </c>
      <c r="T18" s="94">
        <f>SUMIFS('caseload data'!V:V,'caseload data'!$D:$D,"PSO",'caseload data'!$A:$A,"Greater Manchester")</f>
        <v>0</v>
      </c>
      <c r="U18" s="64"/>
      <c r="V18" s="64"/>
      <c r="W18" s="504"/>
      <c r="X18" s="129" t="s">
        <v>952</v>
      </c>
      <c r="Y18" s="167" t="e">
        <f t="shared" ref="Y18:Z21" si="17">SUM(D18)/SUM(D$17:D$21)</f>
        <v>#DIV/0!</v>
      </c>
      <c r="Z18" s="167" t="e">
        <f t="shared" si="17"/>
        <v>#DIV/0!</v>
      </c>
      <c r="AA18" s="167" t="e">
        <f t="shared" si="16"/>
        <v>#DIV/0!</v>
      </c>
      <c r="AB18" s="167" t="e">
        <f t="shared" si="16"/>
        <v>#DIV/0!</v>
      </c>
      <c r="AC18" s="167" t="e">
        <f t="shared" si="16"/>
        <v>#DIV/0!</v>
      </c>
      <c r="AD18" s="167" t="e">
        <f t="shared" si="16"/>
        <v>#DIV/0!</v>
      </c>
      <c r="AE18" s="167" t="e">
        <f t="shared" si="16"/>
        <v>#DIV/0!</v>
      </c>
      <c r="AF18" s="167" t="e">
        <f t="shared" si="16"/>
        <v>#DIV/0!</v>
      </c>
      <c r="AG18" s="167" t="e">
        <f t="shared" si="16"/>
        <v>#DIV/0!</v>
      </c>
      <c r="AH18" s="167" t="e">
        <f t="shared" si="16"/>
        <v>#DIV/0!</v>
      </c>
      <c r="AI18" s="167" t="e">
        <f t="shared" si="16"/>
        <v>#DIV/0!</v>
      </c>
      <c r="AJ18" s="167" t="e">
        <f t="shared" si="16"/>
        <v>#DIV/0!</v>
      </c>
      <c r="AK18" s="167" t="e">
        <f t="shared" si="16"/>
        <v>#DIV/0!</v>
      </c>
      <c r="AL18" s="167" t="e">
        <f t="shared" si="16"/>
        <v>#DIV/0!</v>
      </c>
      <c r="AM18" s="167" t="e">
        <f t="shared" si="16"/>
        <v>#DIV/0!</v>
      </c>
      <c r="AN18" s="167" t="e">
        <f t="shared" si="16"/>
        <v>#DIV/0!</v>
      </c>
      <c r="AO18" s="167" t="e">
        <f t="shared" si="16"/>
        <v>#DIV/0!</v>
      </c>
    </row>
    <row r="19" spans="2:41" x14ac:dyDescent="0.15">
      <c r="B19" s="510"/>
      <c r="C19" s="129" t="s">
        <v>953</v>
      </c>
      <c r="D19" s="368">
        <f>SUMIFS('caseload data'!E:E,'caseload data'!$D:$D,"TPO",'caseload data'!$A:$A,"Greater Manchester")</f>
        <v>0</v>
      </c>
      <c r="E19" s="94">
        <f>SUMIFS('caseload data'!F:F,'caseload data'!$D:$D,"TPO",'caseload data'!$A:$A,"Greater Manchester")</f>
        <v>0</v>
      </c>
      <c r="F19" s="94">
        <f>SUMIFS('caseload data'!G:G,'caseload data'!$D:$D,"TPO",'caseload data'!$A:$A,"Greater Manchester")</f>
        <v>0</v>
      </c>
      <c r="G19" s="94">
        <f>SUMIFS('caseload data'!H:H,'caseload data'!$D:$D,"TPO",'caseload data'!$A:$A,"Greater Manchester")</f>
        <v>0</v>
      </c>
      <c r="H19" s="94">
        <f>SUMIFS('caseload data'!I:I,'caseload data'!$D:$D,"TPO",'caseload data'!$A:$A,"Greater Manchester")</f>
        <v>0</v>
      </c>
      <c r="I19" s="94">
        <f>SUMIFS('caseload data'!J:J,'caseload data'!$D:$D,"TPO",'caseload data'!$A:$A,"Greater Manchester")</f>
        <v>0</v>
      </c>
      <c r="J19" s="94">
        <f>SUMIFS('caseload data'!K:K,'caseload data'!$D:$D,"TPO",'caseload data'!$A:$A,"Greater Manchester")</f>
        <v>0</v>
      </c>
      <c r="K19" s="94">
        <f>SUMIFS('caseload data'!L:L,'caseload data'!$D:$D,"TPO",'caseload data'!$A:$A,"Greater Manchester")</f>
        <v>0</v>
      </c>
      <c r="L19" s="94">
        <f>SUMIFS('caseload data'!M:M,'caseload data'!$D:$D,"TPO",'caseload data'!$A:$A,"Greater Manchester")</f>
        <v>0</v>
      </c>
      <c r="M19" s="94">
        <f>SUMIFS('caseload data'!N:N,'caseload data'!$D:$D,"TPO",'caseload data'!$A:$A,"Greater Manchester")</f>
        <v>0</v>
      </c>
      <c r="N19" s="94">
        <f>SUMIFS('caseload data'!O:O,'caseload data'!$D:$D,"TPO",'caseload data'!$A:$A,"Greater Manchester")</f>
        <v>0</v>
      </c>
      <c r="O19" s="94">
        <f>SUMIFS('caseload data'!P:P,'caseload data'!$D:$D,"TPO",'caseload data'!$A:$A,"Greater Manchester")</f>
        <v>0</v>
      </c>
      <c r="P19" s="94">
        <f>SUMIFS('caseload data'!Q:Q,'caseload data'!$D:$D,"TPO",'caseload data'!$A:$A,"Greater Manchester")</f>
        <v>0</v>
      </c>
      <c r="Q19" s="94">
        <f>SUMIFS('caseload data'!R:R,'caseload data'!$D:$D,"TPO",'caseload data'!$A:$A,"Greater Manchester")</f>
        <v>0</v>
      </c>
      <c r="R19" s="94">
        <f>SUMIFS('caseload data'!S:S,'caseload data'!$D:$D,"TPO",'caseload data'!$A:$A,"Greater Manchester")</f>
        <v>0</v>
      </c>
      <c r="S19" s="94">
        <f>SUMIFS('caseload data'!T:T,'caseload data'!$D:$D,"TPO",'caseload data'!$A:$A,"Greater Manchester")</f>
        <v>0</v>
      </c>
      <c r="T19" s="94">
        <f>SUMIFS('caseload data'!V:V,'caseload data'!$D:$D,"TPO",'caseload data'!$A:$A,"Greater Manchester")</f>
        <v>0</v>
      </c>
      <c r="U19" s="64"/>
      <c r="V19" s="64"/>
      <c r="W19" s="504"/>
      <c r="X19" s="129" t="s">
        <v>953</v>
      </c>
      <c r="Y19" s="167" t="e">
        <f t="shared" si="17"/>
        <v>#DIV/0!</v>
      </c>
      <c r="Z19" s="167" t="e">
        <f t="shared" si="17"/>
        <v>#DIV/0!</v>
      </c>
      <c r="AA19" s="167" t="e">
        <f t="shared" si="16"/>
        <v>#DIV/0!</v>
      </c>
      <c r="AB19" s="167" t="e">
        <f t="shared" si="16"/>
        <v>#DIV/0!</v>
      </c>
      <c r="AC19" s="167" t="e">
        <f t="shared" si="16"/>
        <v>#DIV/0!</v>
      </c>
      <c r="AD19" s="167" t="e">
        <f t="shared" si="16"/>
        <v>#DIV/0!</v>
      </c>
      <c r="AE19" s="167" t="e">
        <f t="shared" si="16"/>
        <v>#DIV/0!</v>
      </c>
      <c r="AF19" s="167" t="e">
        <f t="shared" si="16"/>
        <v>#DIV/0!</v>
      </c>
      <c r="AG19" s="167" t="e">
        <f t="shared" si="16"/>
        <v>#DIV/0!</v>
      </c>
      <c r="AH19" s="167" t="e">
        <f t="shared" si="16"/>
        <v>#DIV/0!</v>
      </c>
      <c r="AI19" s="167" t="e">
        <f t="shared" si="16"/>
        <v>#DIV/0!</v>
      </c>
      <c r="AJ19" s="167" t="e">
        <f t="shared" si="16"/>
        <v>#DIV/0!</v>
      </c>
      <c r="AK19" s="167" t="e">
        <f t="shared" si="16"/>
        <v>#DIV/0!</v>
      </c>
      <c r="AL19" s="167" t="e">
        <f t="shared" si="16"/>
        <v>#DIV/0!</v>
      </c>
      <c r="AM19" s="167" t="e">
        <f t="shared" si="16"/>
        <v>#DIV/0!</v>
      </c>
      <c r="AN19" s="167" t="e">
        <f t="shared" si="16"/>
        <v>#DIV/0!</v>
      </c>
      <c r="AO19" s="167" t="e">
        <f t="shared" si="16"/>
        <v>#DIV/0!</v>
      </c>
    </row>
    <row r="20" spans="2:41" x14ac:dyDescent="0.15">
      <c r="B20" s="510"/>
      <c r="C20" s="129" t="s">
        <v>954</v>
      </c>
      <c r="D20" s="368">
        <f>SUMIFS('caseload data'!E:E,'caseload data'!$D:$D,"SPO",'caseload data'!$A:$A,"Greater Manchester")</f>
        <v>0</v>
      </c>
      <c r="E20" s="94">
        <f>SUMIFS('caseload data'!F:F,'caseload data'!$D:$D,"SPO",'caseload data'!$A:$A,"Greater Manchester")</f>
        <v>0</v>
      </c>
      <c r="F20" s="94">
        <f>SUMIFS('caseload data'!G:G,'caseload data'!$D:$D,"SPO",'caseload data'!$A:$A,"Greater Manchester")</f>
        <v>0</v>
      </c>
      <c r="G20" s="94">
        <f>SUMIFS('caseload data'!H:H,'caseload data'!$D:$D,"SPO",'caseload data'!$A:$A,"Greater Manchester")</f>
        <v>0</v>
      </c>
      <c r="H20" s="94">
        <f>SUMIFS('caseload data'!I:I,'caseload data'!$D:$D,"SPO",'caseload data'!$A:$A,"Greater Manchester")</f>
        <v>0</v>
      </c>
      <c r="I20" s="94">
        <f>SUMIFS('caseload data'!J:J,'caseload data'!$D:$D,"SPO",'caseload data'!$A:$A,"Greater Manchester")</f>
        <v>0</v>
      </c>
      <c r="J20" s="94">
        <f>SUMIFS('caseload data'!K:K,'caseload data'!$D:$D,"SPO",'caseload data'!$A:$A,"Greater Manchester")</f>
        <v>0</v>
      </c>
      <c r="K20" s="94">
        <f>SUMIFS('caseload data'!L:L,'caseload data'!$D:$D,"SPO",'caseload data'!$A:$A,"Greater Manchester")</f>
        <v>0</v>
      </c>
      <c r="L20" s="94">
        <f>SUMIFS('caseload data'!M:M,'caseload data'!$D:$D,"SPO",'caseload data'!$A:$A,"Greater Manchester")</f>
        <v>0</v>
      </c>
      <c r="M20" s="94">
        <f>SUMIFS('caseload data'!N:N,'caseload data'!$D:$D,"SPO",'caseload data'!$A:$A,"Greater Manchester")</f>
        <v>0</v>
      </c>
      <c r="N20" s="94">
        <f>SUMIFS('caseload data'!O:O,'caseload data'!$D:$D,"SPO",'caseload data'!$A:$A,"Greater Manchester")</f>
        <v>0</v>
      </c>
      <c r="O20" s="94">
        <f>SUMIFS('caseload data'!P:P,'caseload data'!$D:$D,"SPO",'caseload data'!$A:$A,"Greater Manchester")</f>
        <v>0</v>
      </c>
      <c r="P20" s="94">
        <f>SUMIFS('caseload data'!Q:Q,'caseload data'!$D:$D,"SPO",'caseload data'!$A:$A,"Greater Manchester")</f>
        <v>0</v>
      </c>
      <c r="Q20" s="94">
        <f>SUMIFS('caseload data'!R:R,'caseload data'!$D:$D,"SPO",'caseload data'!$A:$A,"Greater Manchester")</f>
        <v>0</v>
      </c>
      <c r="R20" s="94">
        <f>SUMIFS('caseload data'!S:S,'caseload data'!$D:$D,"SPO",'caseload data'!$A:$A,"Greater Manchester")</f>
        <v>0</v>
      </c>
      <c r="S20" s="94">
        <f>SUMIFS('caseload data'!T:T,'caseload data'!$D:$D,"SPO",'caseload data'!$A:$A,"Greater Manchester")</f>
        <v>0</v>
      </c>
      <c r="T20" s="94">
        <f>SUMIFS('caseload data'!V:V,'caseload data'!$D:$D,"SPO",'caseload data'!$A:$A,"Greater Manchester")</f>
        <v>0</v>
      </c>
      <c r="U20" s="64"/>
      <c r="V20" s="64"/>
      <c r="W20" s="504"/>
      <c r="X20" s="129" t="s">
        <v>954</v>
      </c>
      <c r="Y20" s="167" t="e">
        <f t="shared" si="17"/>
        <v>#DIV/0!</v>
      </c>
      <c r="Z20" s="167" t="e">
        <f t="shared" si="17"/>
        <v>#DIV/0!</v>
      </c>
      <c r="AA20" s="167" t="e">
        <f t="shared" si="16"/>
        <v>#DIV/0!</v>
      </c>
      <c r="AB20" s="167" t="e">
        <f t="shared" si="16"/>
        <v>#DIV/0!</v>
      </c>
      <c r="AC20" s="167" t="e">
        <f t="shared" si="16"/>
        <v>#DIV/0!</v>
      </c>
      <c r="AD20" s="167" t="e">
        <f t="shared" si="16"/>
        <v>#DIV/0!</v>
      </c>
      <c r="AE20" s="167" t="e">
        <f t="shared" si="16"/>
        <v>#DIV/0!</v>
      </c>
      <c r="AF20" s="167" t="e">
        <f t="shared" si="16"/>
        <v>#DIV/0!</v>
      </c>
      <c r="AG20" s="167" t="e">
        <f t="shared" si="16"/>
        <v>#DIV/0!</v>
      </c>
      <c r="AH20" s="167" t="e">
        <f t="shared" si="16"/>
        <v>#DIV/0!</v>
      </c>
      <c r="AI20" s="167" t="e">
        <f t="shared" si="16"/>
        <v>#DIV/0!</v>
      </c>
      <c r="AJ20" s="167" t="e">
        <f t="shared" si="16"/>
        <v>#DIV/0!</v>
      </c>
      <c r="AK20" s="167" t="e">
        <f t="shared" si="16"/>
        <v>#DIV/0!</v>
      </c>
      <c r="AL20" s="167" t="e">
        <f t="shared" si="16"/>
        <v>#DIV/0!</v>
      </c>
      <c r="AM20" s="167" t="e">
        <f t="shared" si="16"/>
        <v>#DIV/0!</v>
      </c>
      <c r="AN20" s="167" t="e">
        <f t="shared" si="16"/>
        <v>#DIV/0!</v>
      </c>
      <c r="AO20" s="167" t="e">
        <f t="shared" si="16"/>
        <v>#DIV/0!</v>
      </c>
    </row>
    <row r="21" spans="2:41" x14ac:dyDescent="0.15">
      <c r="B21" s="511"/>
      <c r="C21" s="130" t="s">
        <v>1286</v>
      </c>
      <c r="D21" s="368">
        <f>SUMIFS('caseload data'!E:E,'caseload data'!$D:$D,"DMY",'caseload data'!$A:$A,"Greater Manchester")</f>
        <v>0</v>
      </c>
      <c r="E21" s="368">
        <f>SUMIFS('caseload data'!F:F,'caseload data'!$D:$D,"DMY",'caseload data'!$A:$A,"Greater Manchester")</f>
        <v>0</v>
      </c>
      <c r="F21" s="368">
        <f>SUMIFS('caseload data'!G:G,'caseload data'!$D:$D,"DMY",'caseload data'!$A:$A,"Greater Manchester")</f>
        <v>0</v>
      </c>
      <c r="G21" s="368">
        <f>SUMIFS('caseload data'!H:H,'caseload data'!$D:$D,"DMY",'caseload data'!$A:$A,"Greater Manchester")</f>
        <v>0</v>
      </c>
      <c r="H21" s="368">
        <f>SUMIFS('caseload data'!I:I,'caseload data'!$D:$D,"DMY",'caseload data'!$A:$A,"Greater Manchester")</f>
        <v>0</v>
      </c>
      <c r="I21" s="368">
        <f>SUMIFS('caseload data'!J:J,'caseload data'!$D:$D,"DMY",'caseload data'!$A:$A,"Greater Manchester")</f>
        <v>0</v>
      </c>
      <c r="J21" s="368">
        <f>SUMIFS('caseload data'!K:K,'caseload data'!$D:$D,"DMY",'caseload data'!$A:$A,"Greater Manchester")</f>
        <v>0</v>
      </c>
      <c r="K21" s="368">
        <f>SUMIFS('caseload data'!L:L,'caseload data'!$D:$D,"DMY",'caseload data'!$A:$A,"Greater Manchester")</f>
        <v>0</v>
      </c>
      <c r="L21" s="368">
        <f>SUMIFS('caseload data'!M:M,'caseload data'!$D:$D,"DMY",'caseload data'!$A:$A,"Greater Manchester")</f>
        <v>0</v>
      </c>
      <c r="M21" s="368">
        <f>SUMIFS('caseload data'!N:N,'caseload data'!$D:$D,"DMY",'caseload data'!$A:$A,"Greater Manchester")</f>
        <v>0</v>
      </c>
      <c r="N21" s="368">
        <f>SUMIFS('caseload data'!O:O,'caseload data'!$D:$D,"DMY",'caseload data'!$A:$A,"Greater Manchester")</f>
        <v>0</v>
      </c>
      <c r="O21" s="368">
        <f>SUMIFS('caseload data'!P:P,'caseload data'!$D:$D,"DMY",'caseload data'!$A:$A,"Greater Manchester")</f>
        <v>0</v>
      </c>
      <c r="P21" s="368">
        <f>SUMIFS('caseload data'!Q:Q,'caseload data'!$D:$D,"DMY",'caseload data'!$A:$A,"Greater Manchester")</f>
        <v>0</v>
      </c>
      <c r="Q21" s="368">
        <f>SUMIFS('caseload data'!R:R,'caseload data'!$D:$D,"DMY",'caseload data'!$A:$A,"Greater Manchester")</f>
        <v>0</v>
      </c>
      <c r="R21" s="368">
        <f>SUMIFS('caseload data'!S:S,'caseload data'!$D:$D,"DMY",'caseload data'!$A:$A,"Greater Manchester")</f>
        <v>0</v>
      </c>
      <c r="S21" s="368">
        <f>SUMIFS('caseload data'!T:T,'caseload data'!$D:$D,"DMY",'caseload data'!$A:$A,"Greater Manchester")</f>
        <v>0</v>
      </c>
      <c r="T21" s="94">
        <f>SUMIFS('caseload data'!V:V,'caseload data'!$D:$D,"DMY",'caseload data'!$A:$A,"Greater Manchester")</f>
        <v>0</v>
      </c>
      <c r="U21" s="64"/>
      <c r="V21" s="64"/>
      <c r="W21" s="505"/>
      <c r="X21" s="130" t="s">
        <v>1286</v>
      </c>
      <c r="Y21" s="167" t="e">
        <f t="shared" si="17"/>
        <v>#DIV/0!</v>
      </c>
      <c r="Z21" s="167" t="e">
        <f t="shared" si="17"/>
        <v>#DIV/0!</v>
      </c>
      <c r="AA21" s="167" t="e">
        <f t="shared" si="16"/>
        <v>#DIV/0!</v>
      </c>
      <c r="AB21" s="167" t="e">
        <f t="shared" si="16"/>
        <v>#DIV/0!</v>
      </c>
      <c r="AC21" s="167" t="e">
        <f t="shared" si="16"/>
        <v>#DIV/0!</v>
      </c>
      <c r="AD21" s="167" t="e">
        <f t="shared" si="16"/>
        <v>#DIV/0!</v>
      </c>
      <c r="AE21" s="167" t="e">
        <f t="shared" si="16"/>
        <v>#DIV/0!</v>
      </c>
      <c r="AF21" s="167" t="e">
        <f t="shared" si="16"/>
        <v>#DIV/0!</v>
      </c>
      <c r="AG21" s="167" t="e">
        <f t="shared" si="16"/>
        <v>#DIV/0!</v>
      </c>
      <c r="AH21" s="167" t="e">
        <f t="shared" si="16"/>
        <v>#DIV/0!</v>
      </c>
      <c r="AI21" s="167" t="e">
        <f t="shared" si="16"/>
        <v>#DIV/0!</v>
      </c>
      <c r="AJ21" s="167" t="e">
        <f t="shared" si="16"/>
        <v>#DIV/0!</v>
      </c>
      <c r="AK21" s="167" t="e">
        <f t="shared" si="16"/>
        <v>#DIV/0!</v>
      </c>
      <c r="AL21" s="167" t="e">
        <f t="shared" si="16"/>
        <v>#DIV/0!</v>
      </c>
      <c r="AM21" s="167" t="e">
        <f t="shared" si="16"/>
        <v>#DIV/0!</v>
      </c>
      <c r="AN21" s="167" t="e">
        <f t="shared" si="16"/>
        <v>#DIV/0!</v>
      </c>
      <c r="AO21" s="167" t="e">
        <f t="shared" si="16"/>
        <v>#DIV/0!</v>
      </c>
    </row>
    <row r="22" spans="2:41" x14ac:dyDescent="0.15">
      <c r="B22" s="509" t="s">
        <v>20</v>
      </c>
      <c r="C22" s="128" t="s">
        <v>947</v>
      </c>
      <c r="D22" s="368">
        <f>SUMIFS('caseload data'!E:E,'caseload data'!$D:$D,"PO",'caseload data'!$A:$A,'national caseload'!$B$22:$B$24)</f>
        <v>0</v>
      </c>
      <c r="E22" s="94">
        <f>SUMIFS('caseload data'!F:F,'caseload data'!$D:$D,"PO",'caseload data'!$A:$A,'national caseload'!$B$22:$B$24)</f>
        <v>0</v>
      </c>
      <c r="F22" s="94">
        <f>SUMIFS('caseload data'!G:G,'caseload data'!$D:$D,"PO",'caseload data'!$A:$A,'national caseload'!$B$22:$B$24)</f>
        <v>0</v>
      </c>
      <c r="G22" s="94">
        <f>SUMIFS('caseload data'!H:H,'caseload data'!$D:$D,"PO",'caseload data'!$A:$A,'national caseload'!$B$22:$B$24)</f>
        <v>0</v>
      </c>
      <c r="H22" s="94">
        <f>SUMIFS('caseload data'!I:I,'caseload data'!$D:$D,"PO",'caseload data'!$A:$A,'national caseload'!$B$22:$B$24)</f>
        <v>0</v>
      </c>
      <c r="I22" s="94">
        <f>SUMIFS('caseload data'!J:J,'caseload data'!$D:$D,"PO",'caseload data'!$A:$A,'national caseload'!$B$22:$B$24)</f>
        <v>0</v>
      </c>
      <c r="J22" s="94">
        <f>SUMIFS('caseload data'!K:K,'caseload data'!$D:$D,"PO",'caseload data'!$A:$A,'national caseload'!$B$22:$B$24)</f>
        <v>0</v>
      </c>
      <c r="K22" s="94">
        <f>SUMIFS('caseload data'!L:L,'caseload data'!$D:$D,"PO",'caseload data'!$A:$A,'national caseload'!$B$22:$B$24)</f>
        <v>0</v>
      </c>
      <c r="L22" s="94">
        <f>SUMIFS('caseload data'!M:M,'caseload data'!$D:$D,"PO",'caseload data'!$A:$A,'national caseload'!$B$22:$B$24)</f>
        <v>0</v>
      </c>
      <c r="M22" s="94">
        <f>SUMIFS('caseload data'!N:N,'caseload data'!$D:$D,"PO",'caseload data'!$A:$A,'national caseload'!$B$22:$B$24)</f>
        <v>0</v>
      </c>
      <c r="N22" s="94">
        <f>SUMIFS('caseload data'!O:O,'caseload data'!$D:$D,"PO",'caseload data'!$A:$A,'national caseload'!$B$22:$B$24)</f>
        <v>0</v>
      </c>
      <c r="O22" s="94">
        <f>SUMIFS('caseload data'!P:P,'caseload data'!$D:$D,"PO",'caseload data'!$A:$A,'national caseload'!$B$22:$B$24)</f>
        <v>0</v>
      </c>
      <c r="P22" s="94">
        <f>SUMIFS('caseload data'!Q:Q,'caseload data'!$D:$D,"PO",'caseload data'!$A:$A,'national caseload'!$B$22:$B$24)</f>
        <v>0</v>
      </c>
      <c r="Q22" s="94">
        <f>SUMIFS('caseload data'!R:R,'caseload data'!$D:$D,"PO",'caseload data'!$A:$A,'national caseload'!$B$22:$B$24)</f>
        <v>0</v>
      </c>
      <c r="R22" s="94">
        <f>SUMIFS('caseload data'!S:S,'caseload data'!$D:$D,"PO",'caseload data'!$A:$A,'national caseload'!$B$22:$B$24)</f>
        <v>0</v>
      </c>
      <c r="S22" s="94">
        <f>SUMIFS('caseload data'!T:T,'caseload data'!$D:$D,"PO",'caseload data'!$A:$A,'national caseload'!$B$22:$B$24)</f>
        <v>0</v>
      </c>
      <c r="T22" s="94">
        <f>SUMIFS('caseload data'!V:V,'caseload data'!$D:$D,"PO",'caseload data'!$A:$A,'national caseload'!B22:B24)</f>
        <v>0</v>
      </c>
      <c r="U22" s="64"/>
      <c r="V22" s="64"/>
      <c r="W22" s="503" t="s">
        <v>20</v>
      </c>
      <c r="X22" s="128" t="s">
        <v>947</v>
      </c>
      <c r="Y22" s="167" t="e">
        <f>SUM(D22)/SUM(D$22:D$26)</f>
        <v>#DIV/0!</v>
      </c>
      <c r="Z22" s="167" t="e">
        <f t="shared" ref="Z22:AG26" si="18">SUM(E22)/SUM(E$22:E$26)</f>
        <v>#DIV/0!</v>
      </c>
      <c r="AA22" s="167" t="e">
        <f t="shared" si="18"/>
        <v>#DIV/0!</v>
      </c>
      <c r="AB22" s="167" t="e">
        <f t="shared" si="18"/>
        <v>#DIV/0!</v>
      </c>
      <c r="AC22" s="167" t="e">
        <f t="shared" si="18"/>
        <v>#DIV/0!</v>
      </c>
      <c r="AD22" s="167" t="e">
        <f t="shared" si="18"/>
        <v>#DIV/0!</v>
      </c>
      <c r="AE22" s="167" t="e">
        <f t="shared" si="18"/>
        <v>#DIV/0!</v>
      </c>
      <c r="AF22" s="167" t="e">
        <f t="shared" si="18"/>
        <v>#DIV/0!</v>
      </c>
      <c r="AG22" s="167" t="e">
        <f t="shared" si="18"/>
        <v>#DIV/0!</v>
      </c>
      <c r="AH22" s="167" t="e">
        <f>SUM(M22)/SUM(M$22:M$26)</f>
        <v>#DIV/0!</v>
      </c>
      <c r="AI22" s="167" t="e">
        <f t="shared" ref="AI22:AI26" si="19">SUM(N22)/SUM(N$22:N$26)</f>
        <v>#DIV/0!</v>
      </c>
      <c r="AJ22" s="167" t="e">
        <f t="shared" ref="AJ22:AJ26" si="20">SUM(O22)/SUM(O$22:O$26)</f>
        <v>#DIV/0!</v>
      </c>
      <c r="AK22" s="167" t="e">
        <f t="shared" ref="AK22:AK26" si="21">SUM(P22)/SUM(P$22:P$26)</f>
        <v>#DIV/0!</v>
      </c>
      <c r="AL22" s="167" t="e">
        <f t="shared" ref="AL22:AL26" si="22">SUM(Q22)/SUM(Q$22:Q$26)</f>
        <v>#DIV/0!</v>
      </c>
      <c r="AM22" s="167" t="e">
        <f t="shared" ref="AM22:AM26" si="23">SUM(R22)/SUM(R$22:R$26)</f>
        <v>#DIV/0!</v>
      </c>
      <c r="AN22" s="167" t="e">
        <f t="shared" ref="AN22:AO26" si="24">SUM(S22)/SUM(S$22:S$26)</f>
        <v>#DIV/0!</v>
      </c>
      <c r="AO22" s="167" t="e">
        <f t="shared" si="24"/>
        <v>#DIV/0!</v>
      </c>
    </row>
    <row r="23" spans="2:41" x14ac:dyDescent="0.15">
      <c r="B23" s="510"/>
      <c r="C23" s="129" t="s">
        <v>952</v>
      </c>
      <c r="D23" s="368">
        <f>SUMIFS('caseload data'!E:E,'caseload data'!$D:$D,"PSO",'caseload data'!$A:$A,"Kent Surrey Sussex Region")</f>
        <v>0</v>
      </c>
      <c r="E23" s="94">
        <f>SUMIFS('caseload data'!F:F,'caseload data'!$D:$D,"PSO",'caseload data'!$A:$A,"Kent Surrey Sussex Region")</f>
        <v>0</v>
      </c>
      <c r="F23" s="94">
        <f>SUMIFS('caseload data'!G:G,'caseload data'!$D:$D,"PSO",'caseload data'!$A:$A,"Kent Surrey Sussex Region")</f>
        <v>0</v>
      </c>
      <c r="G23" s="94">
        <f>SUMIFS('caseload data'!H:H,'caseload data'!$D:$D,"PSO",'caseload data'!$A:$A,"Kent Surrey Sussex Region")</f>
        <v>0</v>
      </c>
      <c r="H23" s="94">
        <f>SUMIFS('caseload data'!I:I,'caseload data'!$D:$D,"PSO",'caseload data'!$A:$A,"Kent Surrey Sussex Region")</f>
        <v>0</v>
      </c>
      <c r="I23" s="94">
        <f>SUMIFS('caseload data'!J:J,'caseload data'!$D:$D,"PSO",'caseload data'!$A:$A,"Kent Surrey Sussex Region")</f>
        <v>0</v>
      </c>
      <c r="J23" s="94">
        <f>SUMIFS('caseload data'!K:K,'caseload data'!$D:$D,"PSO",'caseload data'!$A:$A,"Kent Surrey Sussex Region")</f>
        <v>0</v>
      </c>
      <c r="K23" s="94">
        <f>SUMIFS('caseload data'!L:L,'caseload data'!$D:$D,"PSO",'caseload data'!$A:$A,"Kent Surrey Sussex Region")</f>
        <v>0</v>
      </c>
      <c r="L23" s="94">
        <f>SUMIFS('caseload data'!M:M,'caseload data'!$D:$D,"PSO",'caseload data'!$A:$A,"Kent Surrey Sussex Region")</f>
        <v>0</v>
      </c>
      <c r="M23" s="94">
        <f>SUMIFS('caseload data'!N:N,'caseload data'!$D:$D,"PSO",'caseload data'!$A:$A,"Kent Surrey Sussex Region")</f>
        <v>0</v>
      </c>
      <c r="N23" s="94">
        <f>SUMIFS('caseload data'!O:O,'caseload data'!$D:$D,"PSO",'caseload data'!$A:$A,"Kent Surrey Sussex Region")</f>
        <v>0</v>
      </c>
      <c r="O23" s="94">
        <f>SUMIFS('caseload data'!P:P,'caseload data'!$D:$D,"PSO",'caseload data'!$A:$A,"Kent Surrey Sussex Region")</f>
        <v>0</v>
      </c>
      <c r="P23" s="94">
        <f>SUMIFS('caseload data'!Q:Q,'caseload data'!$D:$D,"PSO",'caseload data'!$A:$A,"Kent Surrey Sussex Region")</f>
        <v>0</v>
      </c>
      <c r="Q23" s="94">
        <f>SUMIFS('caseload data'!R:R,'caseload data'!$D:$D,"PSO",'caseload data'!$A:$A,"Kent Surrey Sussex Region")</f>
        <v>0</v>
      </c>
      <c r="R23" s="94">
        <f>SUMIFS('caseload data'!S:S,'caseload data'!$D:$D,"PSO",'caseload data'!$A:$A,"Kent Surrey Sussex Region")</f>
        <v>0</v>
      </c>
      <c r="S23" s="94">
        <f>SUMIFS('caseload data'!T:T,'caseload data'!$D:$D,"PSO",'caseload data'!$A:$A,"Kent Surrey Sussex Region")</f>
        <v>0</v>
      </c>
      <c r="T23" s="94">
        <f>SUMIFS('caseload data'!V:V,'caseload data'!$D:$D,"PSO",'caseload data'!$A:$A,"Kent Surrey Sussex Region")</f>
        <v>0</v>
      </c>
      <c r="U23" s="64"/>
      <c r="V23" s="64"/>
      <c r="W23" s="504"/>
      <c r="X23" s="129" t="s">
        <v>952</v>
      </c>
      <c r="Y23" s="167" t="e">
        <f t="shared" ref="Y23:Y26" si="25">SUM(D23)/SUM(D$22:D$26)</f>
        <v>#DIV/0!</v>
      </c>
      <c r="Z23" s="167" t="e">
        <f t="shared" si="18"/>
        <v>#DIV/0!</v>
      </c>
      <c r="AA23" s="167" t="e">
        <f t="shared" si="18"/>
        <v>#DIV/0!</v>
      </c>
      <c r="AB23" s="167" t="e">
        <f t="shared" si="18"/>
        <v>#DIV/0!</v>
      </c>
      <c r="AC23" s="167" t="e">
        <f t="shared" si="18"/>
        <v>#DIV/0!</v>
      </c>
      <c r="AD23" s="167" t="e">
        <f t="shared" si="18"/>
        <v>#DIV/0!</v>
      </c>
      <c r="AE23" s="167" t="e">
        <f t="shared" si="18"/>
        <v>#DIV/0!</v>
      </c>
      <c r="AF23" s="167" t="e">
        <f t="shared" si="18"/>
        <v>#DIV/0!</v>
      </c>
      <c r="AG23" s="167" t="e">
        <f t="shared" si="18"/>
        <v>#DIV/0!</v>
      </c>
      <c r="AH23" s="167" t="e">
        <f t="shared" ref="AH23:AH26" si="26">SUM(M23)/SUM(M$22:M$26)</f>
        <v>#DIV/0!</v>
      </c>
      <c r="AI23" s="167" t="e">
        <f t="shared" si="19"/>
        <v>#DIV/0!</v>
      </c>
      <c r="AJ23" s="167" t="e">
        <f t="shared" si="20"/>
        <v>#DIV/0!</v>
      </c>
      <c r="AK23" s="167" t="e">
        <f t="shared" si="21"/>
        <v>#DIV/0!</v>
      </c>
      <c r="AL23" s="167" t="e">
        <f t="shared" si="22"/>
        <v>#DIV/0!</v>
      </c>
      <c r="AM23" s="167" t="e">
        <f t="shared" si="23"/>
        <v>#DIV/0!</v>
      </c>
      <c r="AN23" s="167" t="e">
        <f t="shared" si="24"/>
        <v>#DIV/0!</v>
      </c>
      <c r="AO23" s="167" t="e">
        <f t="shared" si="24"/>
        <v>#DIV/0!</v>
      </c>
    </row>
    <row r="24" spans="2:41" x14ac:dyDescent="0.15">
      <c r="B24" s="510"/>
      <c r="C24" s="129" t="s">
        <v>953</v>
      </c>
      <c r="D24" s="368">
        <f>SUMIFS('caseload data'!E:E,'caseload data'!$D:$D,"TPO",'caseload data'!$A:$A,"Kent Surrey Sussex Region")</f>
        <v>0</v>
      </c>
      <c r="E24" s="94">
        <f>SUMIFS('caseload data'!F:F,'caseload data'!$D:$D,"TPO",'caseload data'!$A:$A,"Kent Surrey Sussex Region")</f>
        <v>0</v>
      </c>
      <c r="F24" s="94">
        <f>SUMIFS('caseload data'!G:G,'caseload data'!$D:$D,"TPO",'caseload data'!$A:$A,"Kent Surrey Sussex Region")</f>
        <v>0</v>
      </c>
      <c r="G24" s="94">
        <f>SUMIFS('caseload data'!H:H,'caseload data'!$D:$D,"TPO",'caseload data'!$A:$A,"Kent Surrey Sussex Region")</f>
        <v>0</v>
      </c>
      <c r="H24" s="94">
        <f>SUMIFS('caseload data'!I:I,'caseload data'!$D:$D,"TPO",'caseload data'!$A:$A,"Kent Surrey Sussex Region")</f>
        <v>0</v>
      </c>
      <c r="I24" s="94">
        <f>SUMIFS('caseload data'!J:J,'caseload data'!$D:$D,"TPO",'caseload data'!$A:$A,"Kent Surrey Sussex Region")</f>
        <v>0</v>
      </c>
      <c r="J24" s="94">
        <f>SUMIFS('caseload data'!K:K,'caseload data'!$D:$D,"TPO",'caseload data'!$A:$A,"Kent Surrey Sussex Region")</f>
        <v>0</v>
      </c>
      <c r="K24" s="94">
        <f>SUMIFS('caseload data'!L:L,'caseload data'!$D:$D,"TPO",'caseload data'!$A:$A,"Kent Surrey Sussex Region")</f>
        <v>0</v>
      </c>
      <c r="L24" s="94">
        <f>SUMIFS('caseload data'!M:M,'caseload data'!$D:$D,"TPO",'caseload data'!$A:$A,"Kent Surrey Sussex Region")</f>
        <v>0</v>
      </c>
      <c r="M24" s="94">
        <f>SUMIFS('caseload data'!N:N,'caseload data'!$D:$D,"TPO",'caseload data'!$A:$A,"Kent Surrey Sussex Region")</f>
        <v>0</v>
      </c>
      <c r="N24" s="94">
        <f>SUMIFS('caseload data'!O:O,'caseload data'!$D:$D,"TPO",'caseload data'!$A:$A,"Kent Surrey Sussex Region")</f>
        <v>0</v>
      </c>
      <c r="O24" s="94">
        <f>SUMIFS('caseload data'!P:P,'caseload data'!$D:$D,"TPO",'caseload data'!$A:$A,"Kent Surrey Sussex Region")</f>
        <v>0</v>
      </c>
      <c r="P24" s="94">
        <f>SUMIFS('caseload data'!Q:Q,'caseload data'!$D:$D,"TPO",'caseload data'!$A:$A,"Kent Surrey Sussex Region")</f>
        <v>0</v>
      </c>
      <c r="Q24" s="94">
        <f>SUMIFS('caseload data'!R:R,'caseload data'!$D:$D,"TPO",'caseload data'!$A:$A,"Kent Surrey Sussex Region")</f>
        <v>0</v>
      </c>
      <c r="R24" s="94">
        <f>SUMIFS('caseload data'!S:S,'caseload data'!$D:$D,"TPO",'caseload data'!$A:$A,"Kent Surrey Sussex Region")</f>
        <v>0</v>
      </c>
      <c r="S24" s="94">
        <f>SUMIFS('caseload data'!T:T,'caseload data'!$D:$D,"TPO",'caseload data'!$A:$A,"Kent Surrey Sussex Region")</f>
        <v>0</v>
      </c>
      <c r="T24" s="94">
        <f>SUMIFS('caseload data'!V:V,'caseload data'!$D:$D,"TPO",'caseload data'!$A:$A,"Kent Surrey Sussex Region")</f>
        <v>0</v>
      </c>
      <c r="U24" s="64"/>
      <c r="V24" s="64"/>
      <c r="W24" s="504"/>
      <c r="X24" s="129" t="s">
        <v>953</v>
      </c>
      <c r="Y24" s="167" t="e">
        <f t="shared" si="25"/>
        <v>#DIV/0!</v>
      </c>
      <c r="Z24" s="167" t="e">
        <f t="shared" si="18"/>
        <v>#DIV/0!</v>
      </c>
      <c r="AA24" s="167" t="e">
        <f t="shared" si="18"/>
        <v>#DIV/0!</v>
      </c>
      <c r="AB24" s="167" t="e">
        <f t="shared" si="18"/>
        <v>#DIV/0!</v>
      </c>
      <c r="AC24" s="167" t="e">
        <f t="shared" si="18"/>
        <v>#DIV/0!</v>
      </c>
      <c r="AD24" s="167" t="e">
        <f t="shared" si="18"/>
        <v>#DIV/0!</v>
      </c>
      <c r="AE24" s="167" t="e">
        <f t="shared" si="18"/>
        <v>#DIV/0!</v>
      </c>
      <c r="AF24" s="167" t="e">
        <f t="shared" si="18"/>
        <v>#DIV/0!</v>
      </c>
      <c r="AG24" s="167" t="e">
        <f t="shared" si="18"/>
        <v>#DIV/0!</v>
      </c>
      <c r="AH24" s="167" t="e">
        <f t="shared" si="26"/>
        <v>#DIV/0!</v>
      </c>
      <c r="AI24" s="167" t="e">
        <f t="shared" si="19"/>
        <v>#DIV/0!</v>
      </c>
      <c r="AJ24" s="167" t="e">
        <f t="shared" si="20"/>
        <v>#DIV/0!</v>
      </c>
      <c r="AK24" s="167" t="e">
        <f t="shared" si="21"/>
        <v>#DIV/0!</v>
      </c>
      <c r="AL24" s="167" t="e">
        <f t="shared" si="22"/>
        <v>#DIV/0!</v>
      </c>
      <c r="AM24" s="167" t="e">
        <f t="shared" si="23"/>
        <v>#DIV/0!</v>
      </c>
      <c r="AN24" s="167" t="e">
        <f t="shared" si="24"/>
        <v>#DIV/0!</v>
      </c>
      <c r="AO24" s="167" t="e">
        <f t="shared" si="24"/>
        <v>#DIV/0!</v>
      </c>
    </row>
    <row r="25" spans="2:41" x14ac:dyDescent="0.15">
      <c r="B25" s="510"/>
      <c r="C25" s="129" t="s">
        <v>954</v>
      </c>
      <c r="D25" s="368">
        <f>SUMIFS('caseload data'!E:E,'caseload data'!$D:$D,"SPO",'caseload data'!$A:$A,"Kent Surrey Sussex Region")</f>
        <v>0</v>
      </c>
      <c r="E25" s="94">
        <f>SUMIFS('caseload data'!F:F,'caseload data'!$D:$D,"SPO",'caseload data'!$A:$A,"Kent Surrey Sussex Region")</f>
        <v>0</v>
      </c>
      <c r="F25" s="94">
        <f>SUMIFS('caseload data'!G:G,'caseload data'!$D:$D,"SPO",'caseload data'!$A:$A,"Kent Surrey Sussex Region")</f>
        <v>0</v>
      </c>
      <c r="G25" s="94">
        <f>SUMIFS('caseload data'!H:H,'caseload data'!$D:$D,"SPO",'caseload data'!$A:$A,"Kent Surrey Sussex Region")</f>
        <v>0</v>
      </c>
      <c r="H25" s="94">
        <f>SUMIFS('caseload data'!I:I,'caseload data'!$D:$D,"SPO",'caseload data'!$A:$A,"Kent Surrey Sussex Region")</f>
        <v>0</v>
      </c>
      <c r="I25" s="94">
        <f>SUMIFS('caseload data'!J:J,'caseload data'!$D:$D,"SPO",'caseload data'!$A:$A,"Kent Surrey Sussex Region")</f>
        <v>0</v>
      </c>
      <c r="J25" s="94">
        <f>SUMIFS('caseload data'!K:K,'caseload data'!$D:$D,"SPO",'caseload data'!$A:$A,"Kent Surrey Sussex Region")</f>
        <v>0</v>
      </c>
      <c r="K25" s="94">
        <f>SUMIFS('caseload data'!L:L,'caseload data'!$D:$D,"SPO",'caseload data'!$A:$A,"Kent Surrey Sussex Region")</f>
        <v>0</v>
      </c>
      <c r="L25" s="94">
        <f>SUMIFS('caseload data'!M:M,'caseload data'!$D:$D,"SPO",'caseload data'!$A:$A,"Kent Surrey Sussex Region")</f>
        <v>0</v>
      </c>
      <c r="M25" s="94">
        <f>SUMIFS('caseload data'!N:N,'caseload data'!$D:$D,"SPO",'caseload data'!$A:$A,"Kent Surrey Sussex Region")</f>
        <v>0</v>
      </c>
      <c r="N25" s="94">
        <f>SUMIFS('caseload data'!O:O,'caseload data'!$D:$D,"SPO",'caseload data'!$A:$A,"Kent Surrey Sussex Region")</f>
        <v>0</v>
      </c>
      <c r="O25" s="94">
        <f>SUMIFS('caseload data'!P:P,'caseload data'!$D:$D,"SPO",'caseload data'!$A:$A,"Kent Surrey Sussex Region")</f>
        <v>0</v>
      </c>
      <c r="P25" s="94">
        <f>SUMIFS('caseload data'!Q:Q,'caseload data'!$D:$D,"SPO",'caseload data'!$A:$A,"Kent Surrey Sussex Region")</f>
        <v>0</v>
      </c>
      <c r="Q25" s="94">
        <f>SUMIFS('caseload data'!R:R,'caseload data'!$D:$D,"SPO",'caseload data'!$A:$A,"Kent Surrey Sussex Region")</f>
        <v>0</v>
      </c>
      <c r="R25" s="94">
        <f>SUMIFS('caseload data'!S:S,'caseload data'!$D:$D,"SPO",'caseload data'!$A:$A,"Kent Surrey Sussex Region")</f>
        <v>0</v>
      </c>
      <c r="S25" s="94">
        <f>SUMIFS('caseload data'!T:T,'caseload data'!$D:$D,"SPO",'caseload data'!$A:$A,"Kent Surrey Sussex Region")</f>
        <v>0</v>
      </c>
      <c r="T25" s="94">
        <f>SUMIFS('caseload data'!V:V,'caseload data'!$D:$D,"SPO",'caseload data'!$A:$A,"Kent Surrey Sussex Region")</f>
        <v>0</v>
      </c>
      <c r="U25" s="64"/>
      <c r="V25" s="64"/>
      <c r="W25" s="504"/>
      <c r="X25" s="129" t="s">
        <v>954</v>
      </c>
      <c r="Y25" s="167" t="e">
        <f t="shared" si="25"/>
        <v>#DIV/0!</v>
      </c>
      <c r="Z25" s="167" t="e">
        <f t="shared" si="18"/>
        <v>#DIV/0!</v>
      </c>
      <c r="AA25" s="167" t="e">
        <f t="shared" si="18"/>
        <v>#DIV/0!</v>
      </c>
      <c r="AB25" s="167" t="e">
        <f t="shared" si="18"/>
        <v>#DIV/0!</v>
      </c>
      <c r="AC25" s="167" t="e">
        <f t="shared" si="18"/>
        <v>#DIV/0!</v>
      </c>
      <c r="AD25" s="167" t="e">
        <f t="shared" si="18"/>
        <v>#DIV/0!</v>
      </c>
      <c r="AE25" s="167" t="e">
        <f t="shared" si="18"/>
        <v>#DIV/0!</v>
      </c>
      <c r="AF25" s="167" t="e">
        <f t="shared" si="18"/>
        <v>#DIV/0!</v>
      </c>
      <c r="AG25" s="167" t="e">
        <f t="shared" si="18"/>
        <v>#DIV/0!</v>
      </c>
      <c r="AH25" s="167" t="e">
        <f t="shared" si="26"/>
        <v>#DIV/0!</v>
      </c>
      <c r="AI25" s="167" t="e">
        <f t="shared" si="19"/>
        <v>#DIV/0!</v>
      </c>
      <c r="AJ25" s="167" t="e">
        <f t="shared" si="20"/>
        <v>#DIV/0!</v>
      </c>
      <c r="AK25" s="167" t="e">
        <f t="shared" si="21"/>
        <v>#DIV/0!</v>
      </c>
      <c r="AL25" s="167" t="e">
        <f t="shared" si="22"/>
        <v>#DIV/0!</v>
      </c>
      <c r="AM25" s="167" t="e">
        <f t="shared" si="23"/>
        <v>#DIV/0!</v>
      </c>
      <c r="AN25" s="167" t="e">
        <f t="shared" si="24"/>
        <v>#DIV/0!</v>
      </c>
      <c r="AO25" s="167" t="e">
        <f t="shared" si="24"/>
        <v>#DIV/0!</v>
      </c>
    </row>
    <row r="26" spans="2:41" x14ac:dyDescent="0.15">
      <c r="B26" s="511"/>
      <c r="C26" s="130" t="s">
        <v>1286</v>
      </c>
      <c r="D26" s="368">
        <f>SUMIFS('caseload data'!E:E,'caseload data'!$D:$D,"DMY",'caseload data'!$A:$A,"Kent Surrey Sussex Region")</f>
        <v>0</v>
      </c>
      <c r="E26" s="368">
        <f>SUMIFS('caseload data'!F:F,'caseload data'!$D:$D,"DMY",'caseload data'!$A:$A,"Kent Surrey Sussex Region")</f>
        <v>0</v>
      </c>
      <c r="F26" s="368">
        <f>SUMIFS('caseload data'!G:G,'caseload data'!$D:$D,"DMY",'caseload data'!$A:$A,"Kent Surrey Sussex Region")</f>
        <v>0</v>
      </c>
      <c r="G26" s="368">
        <f>SUMIFS('caseload data'!H:H,'caseload data'!$D:$D,"DMY",'caseload data'!$A:$A,"Kent Surrey Sussex Region")</f>
        <v>0</v>
      </c>
      <c r="H26" s="368">
        <f>SUMIFS('caseload data'!I:I,'caseload data'!$D:$D,"DMY",'caseload data'!$A:$A,"Kent Surrey Sussex Region")</f>
        <v>0</v>
      </c>
      <c r="I26" s="368">
        <f>SUMIFS('caseload data'!J:J,'caseload data'!$D:$D,"DMY",'caseload data'!$A:$A,"Kent Surrey Sussex Region")</f>
        <v>0</v>
      </c>
      <c r="J26" s="368">
        <f>SUMIFS('caseload data'!K:K,'caseload data'!$D:$D,"DMY",'caseload data'!$A:$A,"Kent Surrey Sussex Region")</f>
        <v>0</v>
      </c>
      <c r="K26" s="368">
        <f>SUMIFS('caseload data'!L:L,'caseload data'!$D:$D,"DMY",'caseload data'!$A:$A,"Kent Surrey Sussex Region")</f>
        <v>0</v>
      </c>
      <c r="L26" s="368">
        <f>SUMIFS('caseload data'!M:M,'caseload data'!$D:$D,"DMY",'caseload data'!$A:$A,"Kent Surrey Sussex Region")</f>
        <v>0</v>
      </c>
      <c r="M26" s="368">
        <f>SUMIFS('caseload data'!N:N,'caseload data'!$D:$D,"DMY",'caseload data'!$A:$A,"Kent Surrey Sussex Region")</f>
        <v>0</v>
      </c>
      <c r="N26" s="368">
        <f>SUMIFS('caseload data'!O:O,'caseload data'!$D:$D,"DMY",'caseload data'!$A:$A,"Kent Surrey Sussex Region")</f>
        <v>0</v>
      </c>
      <c r="O26" s="368">
        <f>SUMIFS('caseload data'!P:P,'caseload data'!$D:$D,"DMY",'caseload data'!$A:$A,"Kent Surrey Sussex Region")</f>
        <v>0</v>
      </c>
      <c r="P26" s="368">
        <f>SUMIFS('caseload data'!Q:Q,'caseload data'!$D:$D,"DMY",'caseload data'!$A:$A,"Kent Surrey Sussex Region")</f>
        <v>0</v>
      </c>
      <c r="Q26" s="368">
        <f>SUMIFS('caseload data'!R:R,'caseload data'!$D:$D,"DMY",'caseload data'!$A:$A,"Kent Surrey Sussex Region")</f>
        <v>0</v>
      </c>
      <c r="R26" s="368">
        <f>SUMIFS('caseload data'!S:S,'caseload data'!$D:$D,"DMY",'caseload data'!$A:$A,"Kent Surrey Sussex Region")</f>
        <v>0</v>
      </c>
      <c r="S26" s="368">
        <f>SUMIFS('caseload data'!T:T,'caseload data'!$D:$D,"DMY",'caseload data'!$A:$A,"Kent Surrey Sussex Region")</f>
        <v>0</v>
      </c>
      <c r="T26" s="94">
        <f>SUMIFS('caseload data'!V:V,'caseload data'!$D:$D,"DMY",'caseload data'!$A:$A,"Kent Surrey Sussex Region")</f>
        <v>0</v>
      </c>
      <c r="U26" s="64"/>
      <c r="V26" s="64"/>
      <c r="W26" s="505"/>
      <c r="X26" s="130" t="s">
        <v>1286</v>
      </c>
      <c r="Y26" s="167" t="e">
        <f t="shared" si="25"/>
        <v>#DIV/0!</v>
      </c>
      <c r="Z26" s="167" t="e">
        <f t="shared" si="18"/>
        <v>#DIV/0!</v>
      </c>
      <c r="AA26" s="167" t="e">
        <f t="shared" si="18"/>
        <v>#DIV/0!</v>
      </c>
      <c r="AB26" s="167" t="e">
        <f t="shared" si="18"/>
        <v>#DIV/0!</v>
      </c>
      <c r="AC26" s="167" t="e">
        <f t="shared" si="18"/>
        <v>#DIV/0!</v>
      </c>
      <c r="AD26" s="167" t="e">
        <f t="shared" si="18"/>
        <v>#DIV/0!</v>
      </c>
      <c r="AE26" s="167" t="e">
        <f t="shared" si="18"/>
        <v>#DIV/0!</v>
      </c>
      <c r="AF26" s="167" t="e">
        <f t="shared" si="18"/>
        <v>#DIV/0!</v>
      </c>
      <c r="AG26" s="167" t="e">
        <f t="shared" si="18"/>
        <v>#DIV/0!</v>
      </c>
      <c r="AH26" s="167" t="e">
        <f t="shared" si="26"/>
        <v>#DIV/0!</v>
      </c>
      <c r="AI26" s="167" t="e">
        <f t="shared" si="19"/>
        <v>#DIV/0!</v>
      </c>
      <c r="AJ26" s="167" t="e">
        <f t="shared" si="20"/>
        <v>#DIV/0!</v>
      </c>
      <c r="AK26" s="167" t="e">
        <f t="shared" si="21"/>
        <v>#DIV/0!</v>
      </c>
      <c r="AL26" s="167" t="e">
        <f t="shared" si="22"/>
        <v>#DIV/0!</v>
      </c>
      <c r="AM26" s="167" t="e">
        <f t="shared" si="23"/>
        <v>#DIV/0!</v>
      </c>
      <c r="AN26" s="167" t="e">
        <f t="shared" si="24"/>
        <v>#DIV/0!</v>
      </c>
      <c r="AO26" s="167" t="e">
        <f t="shared" si="24"/>
        <v>#DIV/0!</v>
      </c>
    </row>
    <row r="27" spans="2:41" x14ac:dyDescent="0.15">
      <c r="B27" s="509" t="s">
        <v>21</v>
      </c>
      <c r="C27" s="128" t="s">
        <v>947</v>
      </c>
      <c r="D27" s="368">
        <f>SUMIFS('caseload data'!E:E,'caseload data'!$D:$D,"PO",'caseload data'!$A:$A,'national caseload'!$B$27:$B$29)</f>
        <v>0</v>
      </c>
      <c r="E27" s="94">
        <f>SUMIFS('caseload data'!F:F,'caseload data'!$D:$D,"PO",'caseload data'!$A:$A,'national caseload'!$B$27:$B$29)</f>
        <v>0</v>
      </c>
      <c r="F27" s="94">
        <f>SUMIFS('caseload data'!G:G,'caseload data'!$D:$D,"PO",'caseload data'!$A:$A,'national caseload'!$B$27:$B$29)</f>
        <v>0</v>
      </c>
      <c r="G27" s="94">
        <f>SUMIFS('caseload data'!H:H,'caseload data'!$D:$D,"PO",'caseload data'!$A:$A,'national caseload'!$B$27:$B$29)</f>
        <v>0</v>
      </c>
      <c r="H27" s="94">
        <f>SUMIFS('caseload data'!I:I,'caseload data'!$D:$D,"PO",'caseload data'!$A:$A,'national caseload'!$B$27:$B$29)</f>
        <v>0</v>
      </c>
      <c r="I27" s="94">
        <f>SUMIFS('caseload data'!J:J,'caseload data'!$D:$D,"PO",'caseload data'!$A:$A,'national caseload'!$B$27:$B$29)</f>
        <v>0</v>
      </c>
      <c r="J27" s="94">
        <f>SUMIFS('caseload data'!K:K,'caseload data'!$D:$D,"PO",'caseload data'!$A:$A,'national caseload'!$B$27:$B$29)</f>
        <v>0</v>
      </c>
      <c r="K27" s="94">
        <f>SUMIFS('caseload data'!L:L,'caseload data'!$D:$D,"PO",'caseload data'!$A:$A,'national caseload'!$B$27:$B$29)</f>
        <v>0</v>
      </c>
      <c r="L27" s="94">
        <f>SUMIFS('caseload data'!M:M,'caseload data'!$D:$D,"PO",'caseload data'!$A:$A,'national caseload'!$B$27:$B$29)</f>
        <v>0</v>
      </c>
      <c r="M27" s="94">
        <f>SUMIFS('caseload data'!N:N,'caseload data'!$D:$D,"PO",'caseload data'!$A:$A,'national caseload'!$B$27:$B$29)</f>
        <v>0</v>
      </c>
      <c r="N27" s="94">
        <f>SUMIFS('caseload data'!O:O,'caseload data'!$D:$D,"PO",'caseload data'!$A:$A,'national caseload'!$B$27:$B$29)</f>
        <v>0</v>
      </c>
      <c r="O27" s="94">
        <f>SUMIFS('caseload data'!P:P,'caseload data'!$D:$D,"PO",'caseload data'!$A:$A,'national caseload'!$B$27:$B$29)</f>
        <v>0</v>
      </c>
      <c r="P27" s="94">
        <f>SUMIFS('caseload data'!Q:Q,'caseload data'!$D:$D,"PO",'caseload data'!$A:$A,'national caseload'!$B$27:$B$29)</f>
        <v>0</v>
      </c>
      <c r="Q27" s="94">
        <f>SUMIFS('caseload data'!R:R,'caseload data'!$D:$D,"PO",'caseload data'!$A:$A,'national caseload'!$B$27:$B$29)</f>
        <v>0</v>
      </c>
      <c r="R27" s="94">
        <f>SUMIFS('caseload data'!S:S,'caseload data'!$D:$D,"PO",'caseload data'!$A:$A,'national caseload'!$B$27:$B$29)</f>
        <v>0</v>
      </c>
      <c r="S27" s="94">
        <f>SUMIFS('caseload data'!T:T,'caseload data'!$D:$D,"PO",'caseload data'!$A:$A,'national caseload'!$B$27:$B$29)</f>
        <v>0</v>
      </c>
      <c r="T27" s="94">
        <f>SUMIFS('caseload data'!V:V,'caseload data'!$D:$D,"PO",'caseload data'!$A:$A,'national caseload'!B27:B29)</f>
        <v>0</v>
      </c>
      <c r="U27" s="64"/>
      <c r="V27" s="64"/>
      <c r="W27" s="503" t="s">
        <v>21</v>
      </c>
      <c r="X27" s="128" t="s">
        <v>947</v>
      </c>
      <c r="Y27" s="167" t="e">
        <f>SUM(D27)/SUM(D$27:D$31)</f>
        <v>#DIV/0!</v>
      </c>
      <c r="Z27" s="167" t="e">
        <f>SUM(E27)/SUM(E$27:E$31)</f>
        <v>#DIV/0!</v>
      </c>
      <c r="AA27" s="167" t="e">
        <f t="shared" ref="AA27:AO31" si="27">SUM(F27)/SUM(F$27:F$31)</f>
        <v>#DIV/0!</v>
      </c>
      <c r="AB27" s="167" t="e">
        <f t="shared" si="27"/>
        <v>#DIV/0!</v>
      </c>
      <c r="AC27" s="167" t="e">
        <f t="shared" si="27"/>
        <v>#DIV/0!</v>
      </c>
      <c r="AD27" s="167" t="e">
        <f t="shared" si="27"/>
        <v>#DIV/0!</v>
      </c>
      <c r="AE27" s="167" t="e">
        <f t="shared" si="27"/>
        <v>#DIV/0!</v>
      </c>
      <c r="AF27" s="167" t="e">
        <f t="shared" si="27"/>
        <v>#DIV/0!</v>
      </c>
      <c r="AG27" s="167" t="e">
        <f t="shared" si="27"/>
        <v>#DIV/0!</v>
      </c>
      <c r="AH27" s="167" t="e">
        <f t="shared" si="27"/>
        <v>#DIV/0!</v>
      </c>
      <c r="AI27" s="167" t="e">
        <f t="shared" si="27"/>
        <v>#DIV/0!</v>
      </c>
      <c r="AJ27" s="167" t="e">
        <f t="shared" si="27"/>
        <v>#DIV/0!</v>
      </c>
      <c r="AK27" s="167" t="e">
        <f t="shared" si="27"/>
        <v>#DIV/0!</v>
      </c>
      <c r="AL27" s="167" t="e">
        <f t="shared" si="27"/>
        <v>#DIV/0!</v>
      </c>
      <c r="AM27" s="167" t="e">
        <f t="shared" si="27"/>
        <v>#DIV/0!</v>
      </c>
      <c r="AN27" s="167" t="e">
        <f t="shared" si="27"/>
        <v>#DIV/0!</v>
      </c>
      <c r="AO27" s="167" t="e">
        <f t="shared" si="27"/>
        <v>#DIV/0!</v>
      </c>
    </row>
    <row r="28" spans="2:41" x14ac:dyDescent="0.15">
      <c r="B28" s="510"/>
      <c r="C28" s="129" t="s">
        <v>952</v>
      </c>
      <c r="D28" s="368">
        <f>SUMIFS('caseload data'!E:E,'caseload data'!$D:$D,"PSO",'caseload data'!$A:$A,"London")</f>
        <v>0</v>
      </c>
      <c r="E28" s="94">
        <f>SUMIFS('caseload data'!F:F,'caseload data'!$D:$D,"PSO",'caseload data'!$A:$A,"London")</f>
        <v>0</v>
      </c>
      <c r="F28" s="94">
        <f>SUMIFS('caseload data'!G:G,'caseload data'!$D:$D,"PSO",'caseload data'!$A:$A,"London")</f>
        <v>0</v>
      </c>
      <c r="G28" s="94">
        <f>SUMIFS('caseload data'!H:H,'caseload data'!$D:$D,"PSO",'caseload data'!$A:$A,"London")</f>
        <v>0</v>
      </c>
      <c r="H28" s="94">
        <f>SUMIFS('caseload data'!I:I,'caseload data'!$D:$D,"PSO",'caseload data'!$A:$A,"London")</f>
        <v>0</v>
      </c>
      <c r="I28" s="94">
        <f>SUMIFS('caseload data'!J:J,'caseload data'!$D:$D,"PSO",'caseload data'!$A:$A,"London")</f>
        <v>0</v>
      </c>
      <c r="J28" s="94">
        <f>SUMIFS('caseload data'!K:K,'caseload data'!$D:$D,"PSO",'caseload data'!$A:$A,"London")</f>
        <v>0</v>
      </c>
      <c r="K28" s="94">
        <f>SUMIFS('caseload data'!L:L,'caseload data'!$D:$D,"PSO",'caseload data'!$A:$A,"London")</f>
        <v>0</v>
      </c>
      <c r="L28" s="94">
        <f>SUMIFS('caseload data'!M:M,'caseload data'!$D:$D,"PSO",'caseload data'!$A:$A,"London")</f>
        <v>0</v>
      </c>
      <c r="M28" s="94">
        <f>SUMIFS('caseload data'!N:N,'caseload data'!$D:$D,"PSO",'caseload data'!$A:$A,"London")</f>
        <v>0</v>
      </c>
      <c r="N28" s="94">
        <f>SUMIFS('caseload data'!O:O,'caseload data'!$D:$D,"PSO",'caseload data'!$A:$A,"London")</f>
        <v>0</v>
      </c>
      <c r="O28" s="94">
        <f>SUMIFS('caseload data'!P:P,'caseload data'!$D:$D,"PSO",'caseload data'!$A:$A,"London")</f>
        <v>0</v>
      </c>
      <c r="P28" s="94">
        <f>SUMIFS('caseload data'!Q:Q,'caseload data'!$D:$D,"PSO",'caseload data'!$A:$A,"London")</f>
        <v>0</v>
      </c>
      <c r="Q28" s="94">
        <f>SUMIFS('caseload data'!R:R,'caseload data'!$D:$D,"PSO",'caseload data'!$A:$A,"London")</f>
        <v>0</v>
      </c>
      <c r="R28" s="94">
        <f>SUMIFS('caseload data'!S:S,'caseload data'!$D:$D,"PSO",'caseload data'!$A:$A,"London")</f>
        <v>0</v>
      </c>
      <c r="S28" s="94">
        <f>SUMIFS('caseload data'!T:T,'caseload data'!$D:$D,"PSO",'caseload data'!$A:$A,"London")</f>
        <v>0</v>
      </c>
      <c r="T28" s="94">
        <f>SUMIFS('caseload data'!V:V,'caseload data'!$D:$D,"PSO",'caseload data'!$A:$A,"London")</f>
        <v>0</v>
      </c>
      <c r="U28" s="64"/>
      <c r="V28" s="64"/>
      <c r="W28" s="504"/>
      <c r="X28" s="129" t="s">
        <v>952</v>
      </c>
      <c r="Y28" s="167" t="e">
        <f t="shared" ref="Y28:Z31" si="28">SUM(D28)/SUM(D$27:D$31)</f>
        <v>#DIV/0!</v>
      </c>
      <c r="Z28" s="167" t="e">
        <f t="shared" si="28"/>
        <v>#DIV/0!</v>
      </c>
      <c r="AA28" s="167" t="e">
        <f t="shared" si="27"/>
        <v>#DIV/0!</v>
      </c>
      <c r="AB28" s="167" t="e">
        <f t="shared" si="27"/>
        <v>#DIV/0!</v>
      </c>
      <c r="AC28" s="167" t="e">
        <f t="shared" si="27"/>
        <v>#DIV/0!</v>
      </c>
      <c r="AD28" s="167" t="e">
        <f t="shared" si="27"/>
        <v>#DIV/0!</v>
      </c>
      <c r="AE28" s="167" t="e">
        <f t="shared" si="27"/>
        <v>#DIV/0!</v>
      </c>
      <c r="AF28" s="167" t="e">
        <f t="shared" si="27"/>
        <v>#DIV/0!</v>
      </c>
      <c r="AG28" s="167" t="e">
        <f t="shared" si="27"/>
        <v>#DIV/0!</v>
      </c>
      <c r="AH28" s="167" t="e">
        <f t="shared" si="27"/>
        <v>#DIV/0!</v>
      </c>
      <c r="AI28" s="167" t="e">
        <f t="shared" si="27"/>
        <v>#DIV/0!</v>
      </c>
      <c r="AJ28" s="167" t="e">
        <f t="shared" si="27"/>
        <v>#DIV/0!</v>
      </c>
      <c r="AK28" s="167" t="e">
        <f t="shared" si="27"/>
        <v>#DIV/0!</v>
      </c>
      <c r="AL28" s="167" t="e">
        <f t="shared" si="27"/>
        <v>#DIV/0!</v>
      </c>
      <c r="AM28" s="167" t="e">
        <f t="shared" si="27"/>
        <v>#DIV/0!</v>
      </c>
      <c r="AN28" s="167" t="e">
        <f t="shared" si="27"/>
        <v>#DIV/0!</v>
      </c>
      <c r="AO28" s="167" t="e">
        <f t="shared" si="27"/>
        <v>#DIV/0!</v>
      </c>
    </row>
    <row r="29" spans="2:41" x14ac:dyDescent="0.15">
      <c r="B29" s="510"/>
      <c r="C29" s="129" t="s">
        <v>953</v>
      </c>
      <c r="D29" s="368">
        <f>SUMIFS('caseload data'!E:E,'caseload data'!$D:$D,"TPO",'caseload data'!$A:$A,"London")</f>
        <v>0</v>
      </c>
      <c r="E29" s="94">
        <f>SUMIFS('caseload data'!F:F,'caseload data'!$D:$D,"TPO",'caseload data'!$A:$A,"London")</f>
        <v>0</v>
      </c>
      <c r="F29" s="94">
        <f>SUMIFS('caseload data'!G:G,'caseload data'!$D:$D,"TPO",'caseload data'!$A:$A,"London")</f>
        <v>0</v>
      </c>
      <c r="G29" s="94">
        <f>SUMIFS('caseload data'!H:H,'caseload data'!$D:$D,"TPO",'caseload data'!$A:$A,"London")</f>
        <v>0</v>
      </c>
      <c r="H29" s="94">
        <f>SUMIFS('caseload data'!I:I,'caseload data'!$D:$D,"TPO",'caseload data'!$A:$A,"London")</f>
        <v>0</v>
      </c>
      <c r="I29" s="94">
        <f>SUMIFS('caseload data'!J:J,'caseload data'!$D:$D,"TPO",'caseload data'!$A:$A,"London")</f>
        <v>0</v>
      </c>
      <c r="J29" s="94">
        <f>SUMIFS('caseload data'!K:K,'caseload data'!$D:$D,"TPO",'caseload data'!$A:$A,"London")</f>
        <v>0</v>
      </c>
      <c r="K29" s="94">
        <f>SUMIFS('caseload data'!L:L,'caseload data'!$D:$D,"TPO",'caseload data'!$A:$A,"London")</f>
        <v>0</v>
      </c>
      <c r="L29" s="94">
        <f>SUMIFS('caseload data'!M:M,'caseload data'!$D:$D,"TPO",'caseload data'!$A:$A,"London")</f>
        <v>0</v>
      </c>
      <c r="M29" s="94">
        <f>SUMIFS('caseload data'!N:N,'caseload data'!$D:$D,"TPO",'caseload data'!$A:$A,"London")</f>
        <v>0</v>
      </c>
      <c r="N29" s="94">
        <f>SUMIFS('caseload data'!O:O,'caseload data'!$D:$D,"TPO",'caseload data'!$A:$A,"London")</f>
        <v>0</v>
      </c>
      <c r="O29" s="94">
        <f>SUMIFS('caseload data'!P:P,'caseload data'!$D:$D,"TPO",'caseload data'!$A:$A,"London")</f>
        <v>0</v>
      </c>
      <c r="P29" s="94">
        <f>SUMIFS('caseload data'!Q:Q,'caseload data'!$D:$D,"TPO",'caseload data'!$A:$A,"London")</f>
        <v>0</v>
      </c>
      <c r="Q29" s="94">
        <f>SUMIFS('caseload data'!R:R,'caseload data'!$D:$D,"TPO",'caseload data'!$A:$A,"London")</f>
        <v>0</v>
      </c>
      <c r="R29" s="94">
        <f>SUMIFS('caseload data'!S:S,'caseload data'!$D:$D,"TPO",'caseload data'!$A:$A,"London")</f>
        <v>0</v>
      </c>
      <c r="S29" s="94">
        <f>SUMIFS('caseload data'!T:T,'caseload data'!$D:$D,"TPO",'caseload data'!$A:$A,"London")</f>
        <v>0</v>
      </c>
      <c r="T29" s="94">
        <f>SUMIFS('caseload data'!V:V,'caseload data'!$D:$D,"TPO",'caseload data'!$A:$A,"London")</f>
        <v>0</v>
      </c>
      <c r="U29" s="64"/>
      <c r="V29" s="64"/>
      <c r="W29" s="504"/>
      <c r="X29" s="129" t="s">
        <v>953</v>
      </c>
      <c r="Y29" s="167" t="e">
        <f t="shared" si="28"/>
        <v>#DIV/0!</v>
      </c>
      <c r="Z29" s="167" t="e">
        <f t="shared" si="28"/>
        <v>#DIV/0!</v>
      </c>
      <c r="AA29" s="167" t="e">
        <f t="shared" si="27"/>
        <v>#DIV/0!</v>
      </c>
      <c r="AB29" s="167" t="e">
        <f t="shared" si="27"/>
        <v>#DIV/0!</v>
      </c>
      <c r="AC29" s="167" t="e">
        <f t="shared" si="27"/>
        <v>#DIV/0!</v>
      </c>
      <c r="AD29" s="167" t="e">
        <f t="shared" si="27"/>
        <v>#DIV/0!</v>
      </c>
      <c r="AE29" s="167" t="e">
        <f t="shared" si="27"/>
        <v>#DIV/0!</v>
      </c>
      <c r="AF29" s="167" t="e">
        <f t="shared" si="27"/>
        <v>#DIV/0!</v>
      </c>
      <c r="AG29" s="167" t="e">
        <f t="shared" si="27"/>
        <v>#DIV/0!</v>
      </c>
      <c r="AH29" s="167" t="e">
        <f t="shared" si="27"/>
        <v>#DIV/0!</v>
      </c>
      <c r="AI29" s="167" t="e">
        <f t="shared" si="27"/>
        <v>#DIV/0!</v>
      </c>
      <c r="AJ29" s="167" t="e">
        <f t="shared" si="27"/>
        <v>#DIV/0!</v>
      </c>
      <c r="AK29" s="167" t="e">
        <f t="shared" si="27"/>
        <v>#DIV/0!</v>
      </c>
      <c r="AL29" s="167" t="e">
        <f t="shared" si="27"/>
        <v>#DIV/0!</v>
      </c>
      <c r="AM29" s="167" t="e">
        <f t="shared" si="27"/>
        <v>#DIV/0!</v>
      </c>
      <c r="AN29" s="167" t="e">
        <f t="shared" si="27"/>
        <v>#DIV/0!</v>
      </c>
      <c r="AO29" s="167" t="e">
        <f t="shared" si="27"/>
        <v>#DIV/0!</v>
      </c>
    </row>
    <row r="30" spans="2:41" x14ac:dyDescent="0.15">
      <c r="B30" s="510"/>
      <c r="C30" s="129" t="s">
        <v>954</v>
      </c>
      <c r="D30" s="368">
        <f>SUMIFS('caseload data'!E:E,'caseload data'!$D:$D,"SPO",'caseload data'!$A:$A,"London")</f>
        <v>0</v>
      </c>
      <c r="E30" s="94">
        <f>SUMIFS('caseload data'!F:F,'caseload data'!$D:$D,"SPO",'caseload data'!$A:$A,"London")</f>
        <v>0</v>
      </c>
      <c r="F30" s="94">
        <f>SUMIFS('caseload data'!G:G,'caseload data'!$D:$D,"SPO",'caseload data'!$A:$A,"London")</f>
        <v>0</v>
      </c>
      <c r="G30" s="94">
        <f>SUMIFS('caseload data'!H:H,'caseload data'!$D:$D,"SPO",'caseload data'!$A:$A,"London")</f>
        <v>0</v>
      </c>
      <c r="H30" s="94">
        <f>SUMIFS('caseload data'!I:I,'caseload data'!$D:$D,"SPO",'caseload data'!$A:$A,"London")</f>
        <v>0</v>
      </c>
      <c r="I30" s="94">
        <f>SUMIFS('caseload data'!J:J,'caseload data'!$D:$D,"SPO",'caseload data'!$A:$A,"London")</f>
        <v>0</v>
      </c>
      <c r="J30" s="94">
        <f>SUMIFS('caseload data'!K:K,'caseload data'!$D:$D,"SPO",'caseload data'!$A:$A,"London")</f>
        <v>0</v>
      </c>
      <c r="K30" s="94">
        <f>SUMIFS('caseload data'!L:L,'caseload data'!$D:$D,"SPO",'caseload data'!$A:$A,"London")</f>
        <v>0</v>
      </c>
      <c r="L30" s="94">
        <f>SUMIFS('caseload data'!M:M,'caseload data'!$D:$D,"SPO",'caseload data'!$A:$A,"London")</f>
        <v>0</v>
      </c>
      <c r="M30" s="94">
        <f>SUMIFS('caseload data'!N:N,'caseload data'!$D:$D,"SPO",'caseload data'!$A:$A,"London")</f>
        <v>0</v>
      </c>
      <c r="N30" s="94">
        <f>SUMIFS('caseload data'!O:O,'caseload data'!$D:$D,"SPO",'caseload data'!$A:$A,"London")</f>
        <v>0</v>
      </c>
      <c r="O30" s="94">
        <f>SUMIFS('caseload data'!P:P,'caseload data'!$D:$D,"SPO",'caseload data'!$A:$A,"London")</f>
        <v>0</v>
      </c>
      <c r="P30" s="94">
        <f>SUMIFS('caseload data'!Q:Q,'caseload data'!$D:$D,"SPO",'caseload data'!$A:$A,"London")</f>
        <v>0</v>
      </c>
      <c r="Q30" s="94">
        <f>SUMIFS('caseload data'!R:R,'caseload data'!$D:$D,"SPO",'caseload data'!$A:$A,"London")</f>
        <v>0</v>
      </c>
      <c r="R30" s="94">
        <f>SUMIFS('caseload data'!S:S,'caseload data'!$D:$D,"SPO",'caseload data'!$A:$A,"London")</f>
        <v>0</v>
      </c>
      <c r="S30" s="94">
        <f>SUMIFS('caseload data'!T:T,'caseload data'!$D:$D,"SPO",'caseload data'!$A:$A,"London")</f>
        <v>0</v>
      </c>
      <c r="T30" s="94">
        <f>SUMIFS('caseload data'!V:V,'caseload data'!$D:$D,"SPO",'caseload data'!$A:$A,"London")</f>
        <v>0</v>
      </c>
      <c r="U30" s="64"/>
      <c r="V30" s="64"/>
      <c r="W30" s="504"/>
      <c r="X30" s="129" t="s">
        <v>954</v>
      </c>
      <c r="Y30" s="167" t="e">
        <f t="shared" si="28"/>
        <v>#DIV/0!</v>
      </c>
      <c r="Z30" s="167" t="e">
        <f t="shared" si="28"/>
        <v>#DIV/0!</v>
      </c>
      <c r="AA30" s="167" t="e">
        <f t="shared" si="27"/>
        <v>#DIV/0!</v>
      </c>
      <c r="AB30" s="167" t="e">
        <f t="shared" si="27"/>
        <v>#DIV/0!</v>
      </c>
      <c r="AC30" s="167" t="e">
        <f t="shared" si="27"/>
        <v>#DIV/0!</v>
      </c>
      <c r="AD30" s="167" t="e">
        <f t="shared" si="27"/>
        <v>#DIV/0!</v>
      </c>
      <c r="AE30" s="167" t="e">
        <f t="shared" si="27"/>
        <v>#DIV/0!</v>
      </c>
      <c r="AF30" s="167" t="e">
        <f t="shared" si="27"/>
        <v>#DIV/0!</v>
      </c>
      <c r="AG30" s="167" t="e">
        <f t="shared" si="27"/>
        <v>#DIV/0!</v>
      </c>
      <c r="AH30" s="167" t="e">
        <f t="shared" si="27"/>
        <v>#DIV/0!</v>
      </c>
      <c r="AI30" s="167" t="e">
        <f t="shared" si="27"/>
        <v>#DIV/0!</v>
      </c>
      <c r="AJ30" s="167" t="e">
        <f t="shared" si="27"/>
        <v>#DIV/0!</v>
      </c>
      <c r="AK30" s="167" t="e">
        <f t="shared" si="27"/>
        <v>#DIV/0!</v>
      </c>
      <c r="AL30" s="167" t="e">
        <f t="shared" si="27"/>
        <v>#DIV/0!</v>
      </c>
      <c r="AM30" s="167" t="e">
        <f t="shared" si="27"/>
        <v>#DIV/0!</v>
      </c>
      <c r="AN30" s="167" t="e">
        <f t="shared" si="27"/>
        <v>#DIV/0!</v>
      </c>
      <c r="AO30" s="167" t="e">
        <f t="shared" si="27"/>
        <v>#DIV/0!</v>
      </c>
    </row>
    <row r="31" spans="2:41" x14ac:dyDescent="0.15">
      <c r="B31" s="511"/>
      <c r="C31" s="130" t="s">
        <v>1286</v>
      </c>
      <c r="D31" s="368">
        <f>SUMIFS('caseload data'!E:E,'caseload data'!$D:$D,"DMY",'caseload data'!$A:$A,"London")</f>
        <v>0</v>
      </c>
      <c r="E31" s="368">
        <f>SUMIFS('caseload data'!F:F,'caseload data'!$D:$D,"DMY",'caseload data'!$A:$A,"London")</f>
        <v>0</v>
      </c>
      <c r="F31" s="368">
        <f>SUMIFS('caseload data'!G:G,'caseload data'!$D:$D,"DMY",'caseload data'!$A:$A,"London")</f>
        <v>0</v>
      </c>
      <c r="G31" s="368">
        <f>SUMIFS('caseload data'!H:H,'caseload data'!$D:$D,"DMY",'caseload data'!$A:$A,"London")</f>
        <v>0</v>
      </c>
      <c r="H31" s="368">
        <f>SUMIFS('caseload data'!I:I,'caseload data'!$D:$D,"DMY",'caseload data'!$A:$A,"London")</f>
        <v>0</v>
      </c>
      <c r="I31" s="368">
        <f>SUMIFS('caseload data'!J:J,'caseload data'!$D:$D,"DMY",'caseload data'!$A:$A,"London")</f>
        <v>0</v>
      </c>
      <c r="J31" s="368">
        <f>SUMIFS('caseload data'!K:K,'caseload data'!$D:$D,"DMY",'caseload data'!$A:$A,"London")</f>
        <v>0</v>
      </c>
      <c r="K31" s="368">
        <f>SUMIFS('caseload data'!L:L,'caseload data'!$D:$D,"DMY",'caseload data'!$A:$A,"London")</f>
        <v>0</v>
      </c>
      <c r="L31" s="368">
        <f>SUMIFS('caseload data'!M:M,'caseload data'!$D:$D,"DMY",'caseload data'!$A:$A,"London")</f>
        <v>0</v>
      </c>
      <c r="M31" s="368">
        <f>SUMIFS('caseload data'!N:N,'caseload data'!$D:$D,"DMY",'caseload data'!$A:$A,"London")</f>
        <v>0</v>
      </c>
      <c r="N31" s="368">
        <f>SUMIFS('caseload data'!O:O,'caseload data'!$D:$D,"DMY",'caseload data'!$A:$A,"London")</f>
        <v>0</v>
      </c>
      <c r="O31" s="368">
        <f>SUMIFS('caseload data'!P:P,'caseload data'!$D:$D,"DMY",'caseload data'!$A:$A,"London")</f>
        <v>0</v>
      </c>
      <c r="P31" s="368">
        <f>SUMIFS('caseload data'!Q:Q,'caseload data'!$D:$D,"DMY",'caseload data'!$A:$A,"London")</f>
        <v>0</v>
      </c>
      <c r="Q31" s="368">
        <f>SUMIFS('caseload data'!R:R,'caseload data'!$D:$D,"DMY",'caseload data'!$A:$A,"London")</f>
        <v>0</v>
      </c>
      <c r="R31" s="368">
        <f>SUMIFS('caseload data'!S:S,'caseload data'!$D:$D,"DMY",'caseload data'!$A:$A,"London")</f>
        <v>0</v>
      </c>
      <c r="S31" s="368">
        <f>SUMIFS('caseload data'!T:T,'caseload data'!$D:$D,"DMY",'caseload data'!$A:$A,"London")</f>
        <v>0</v>
      </c>
      <c r="T31" s="94">
        <f>SUMIFS('caseload data'!V:V,'caseload data'!$D:$D,"DMY",'caseload data'!$A:$A,"London")</f>
        <v>0</v>
      </c>
      <c r="U31" s="64"/>
      <c r="V31" s="64"/>
      <c r="W31" s="505"/>
      <c r="X31" s="130" t="s">
        <v>1286</v>
      </c>
      <c r="Y31" s="167" t="e">
        <f t="shared" si="28"/>
        <v>#DIV/0!</v>
      </c>
      <c r="Z31" s="167" t="e">
        <f t="shared" si="28"/>
        <v>#DIV/0!</v>
      </c>
      <c r="AA31" s="167" t="e">
        <f t="shared" si="27"/>
        <v>#DIV/0!</v>
      </c>
      <c r="AB31" s="167" t="e">
        <f t="shared" si="27"/>
        <v>#DIV/0!</v>
      </c>
      <c r="AC31" s="167" t="e">
        <f t="shared" si="27"/>
        <v>#DIV/0!</v>
      </c>
      <c r="AD31" s="167" t="e">
        <f t="shared" si="27"/>
        <v>#DIV/0!</v>
      </c>
      <c r="AE31" s="167" t="e">
        <f t="shared" si="27"/>
        <v>#DIV/0!</v>
      </c>
      <c r="AF31" s="167" t="e">
        <f t="shared" si="27"/>
        <v>#DIV/0!</v>
      </c>
      <c r="AG31" s="167" t="e">
        <f t="shared" si="27"/>
        <v>#DIV/0!</v>
      </c>
      <c r="AH31" s="167" t="e">
        <f t="shared" si="27"/>
        <v>#DIV/0!</v>
      </c>
      <c r="AI31" s="167" t="e">
        <f t="shared" si="27"/>
        <v>#DIV/0!</v>
      </c>
      <c r="AJ31" s="167" t="e">
        <f t="shared" si="27"/>
        <v>#DIV/0!</v>
      </c>
      <c r="AK31" s="167" t="e">
        <f t="shared" si="27"/>
        <v>#DIV/0!</v>
      </c>
      <c r="AL31" s="167" t="e">
        <f t="shared" si="27"/>
        <v>#DIV/0!</v>
      </c>
      <c r="AM31" s="167" t="e">
        <f t="shared" si="27"/>
        <v>#DIV/0!</v>
      </c>
      <c r="AN31" s="167" t="e">
        <f t="shared" si="27"/>
        <v>#DIV/0!</v>
      </c>
      <c r="AO31" s="167" t="e">
        <f t="shared" si="27"/>
        <v>#DIV/0!</v>
      </c>
    </row>
    <row r="32" spans="2:41" x14ac:dyDescent="0.15">
      <c r="B32" s="509" t="s">
        <v>22</v>
      </c>
      <c r="C32" s="128" t="s">
        <v>947</v>
      </c>
      <c r="D32" s="368">
        <f>SUMIFS('caseload data'!E:E,'caseload data'!$D:$D,"PO",'caseload data'!$A:$A,$B$32)</f>
        <v>0</v>
      </c>
      <c r="E32" s="94">
        <f>SUMIFS('caseload data'!F:F,'caseload data'!$D:$D,"PO",'caseload data'!$A:$A,$B$32)</f>
        <v>0</v>
      </c>
      <c r="F32" s="94">
        <f>SUMIFS('caseload data'!G:G,'caseload data'!$D:$D,"PO",'caseload data'!$A:$A,$B$32)</f>
        <v>0</v>
      </c>
      <c r="G32" s="94">
        <f>SUMIFS('caseload data'!H:H,'caseload data'!$D:$D,"PO",'caseload data'!$A:$A,$B$32)</f>
        <v>0</v>
      </c>
      <c r="H32" s="94">
        <f>SUMIFS('caseload data'!I:I,'caseload data'!$D:$D,"PO",'caseload data'!$A:$A,$B$32)</f>
        <v>0</v>
      </c>
      <c r="I32" s="94">
        <f>SUMIFS('caseload data'!J:J,'caseload data'!$D:$D,"PO",'caseload data'!$A:$A,$B$32)</f>
        <v>0</v>
      </c>
      <c r="J32" s="94">
        <f>SUMIFS('caseload data'!K:K,'caseload data'!$D:$D,"PO",'caseload data'!$A:$A,$B$32)</f>
        <v>0</v>
      </c>
      <c r="K32" s="94">
        <f>SUMIFS('caseload data'!L:L,'caseload data'!$D:$D,"PO",'caseload data'!$A:$A,$B$32)</f>
        <v>0</v>
      </c>
      <c r="L32" s="94">
        <f>SUMIFS('caseload data'!M:M,'caseload data'!$D:$D,"PO",'caseload data'!$A:$A,$B$32)</f>
        <v>0</v>
      </c>
      <c r="M32" s="94">
        <f>SUMIFS('caseload data'!N:N,'caseload data'!$D:$D,"PO",'caseload data'!$A:$A,$B$32)</f>
        <v>0</v>
      </c>
      <c r="N32" s="94">
        <f>SUMIFS('caseload data'!O:O,'caseload data'!$D:$D,"PO",'caseload data'!$A:$A,$B$32)</f>
        <v>0</v>
      </c>
      <c r="O32" s="94">
        <f>SUMIFS('caseload data'!P:P,'caseload data'!$D:$D,"PO",'caseload data'!$A:$A,$B$32)</f>
        <v>0</v>
      </c>
      <c r="P32" s="94">
        <f>SUMIFS('caseload data'!Q:Q,'caseload data'!$D:$D,"PO",'caseload data'!$A:$A,$B$32)</f>
        <v>0</v>
      </c>
      <c r="Q32" s="94">
        <f>SUMIFS('caseload data'!R:R,'caseload data'!$D:$D,"PO",'caseload data'!$A:$A,$B$32)</f>
        <v>0</v>
      </c>
      <c r="R32" s="94">
        <f>SUMIFS('caseload data'!S:S,'caseload data'!$D:$D,"PO",'caseload data'!$A:$A,$B$32)</f>
        <v>0</v>
      </c>
      <c r="S32" s="94">
        <f>SUMIFS('caseload data'!T:T,'caseload data'!$D:$D,"PO",'caseload data'!$A:$A,$B$32)</f>
        <v>0</v>
      </c>
      <c r="T32" s="94">
        <f>SUMIFS('caseload data'!V:V,'caseload data'!$D:$D,"PO",'caseload data'!$A:$A,B32)</f>
        <v>0</v>
      </c>
      <c r="U32" s="64"/>
      <c r="V32" s="64"/>
      <c r="W32" s="503" t="s">
        <v>22</v>
      </c>
      <c r="X32" s="128" t="s">
        <v>947</v>
      </c>
      <c r="Y32" s="167" t="e">
        <f>SUM(D32)/SUM(D$32:D$36)</f>
        <v>#DIV/0!</v>
      </c>
      <c r="Z32" s="167" t="e">
        <f t="shared" ref="Z32:AO36" si="29">SUM(E32)/SUM(E$32:E$36)</f>
        <v>#DIV/0!</v>
      </c>
      <c r="AA32" s="167" t="e">
        <f t="shared" si="29"/>
        <v>#DIV/0!</v>
      </c>
      <c r="AB32" s="167" t="e">
        <f t="shared" si="29"/>
        <v>#DIV/0!</v>
      </c>
      <c r="AC32" s="167" t="e">
        <f t="shared" si="29"/>
        <v>#DIV/0!</v>
      </c>
      <c r="AD32" s="167" t="e">
        <f t="shared" si="29"/>
        <v>#DIV/0!</v>
      </c>
      <c r="AE32" s="167" t="e">
        <f t="shared" si="29"/>
        <v>#DIV/0!</v>
      </c>
      <c r="AF32" s="167" t="e">
        <f t="shared" si="29"/>
        <v>#DIV/0!</v>
      </c>
      <c r="AG32" s="167" t="e">
        <f t="shared" si="29"/>
        <v>#DIV/0!</v>
      </c>
      <c r="AH32" s="167" t="e">
        <f t="shared" si="29"/>
        <v>#DIV/0!</v>
      </c>
      <c r="AI32" s="167" t="e">
        <f t="shared" si="29"/>
        <v>#DIV/0!</v>
      </c>
      <c r="AJ32" s="167" t="e">
        <f t="shared" si="29"/>
        <v>#DIV/0!</v>
      </c>
      <c r="AK32" s="167" t="e">
        <f t="shared" si="29"/>
        <v>#DIV/0!</v>
      </c>
      <c r="AL32" s="167" t="e">
        <f t="shared" si="29"/>
        <v>#DIV/0!</v>
      </c>
      <c r="AM32" s="167" t="e">
        <f t="shared" si="29"/>
        <v>#DIV/0!</v>
      </c>
      <c r="AN32" s="167" t="e">
        <f t="shared" si="29"/>
        <v>#DIV/0!</v>
      </c>
      <c r="AO32" s="167" t="e">
        <f t="shared" si="29"/>
        <v>#DIV/0!</v>
      </c>
    </row>
    <row r="33" spans="2:41" x14ac:dyDescent="0.15">
      <c r="B33" s="510"/>
      <c r="C33" s="129" t="s">
        <v>952</v>
      </c>
      <c r="D33" s="368">
        <f>SUMIFS('caseload data'!E:E,'caseload data'!$D:$D,"PSO",'caseload data'!$A:$A,"North East Region")</f>
        <v>0</v>
      </c>
      <c r="E33" s="94">
        <f>SUMIFS('caseload data'!F:F,'caseload data'!$D:$D,"PSO",'caseload data'!$A:$A,"North East Region")</f>
        <v>0</v>
      </c>
      <c r="F33" s="94">
        <f>SUMIFS('caseload data'!G:G,'caseload data'!$D:$D,"PSO",'caseload data'!$A:$A,"North East Region")</f>
        <v>0</v>
      </c>
      <c r="G33" s="94">
        <f>SUMIFS('caseload data'!H:H,'caseload data'!$D:$D,"PSO",'caseload data'!$A:$A,"North East Region")</f>
        <v>0</v>
      </c>
      <c r="H33" s="94">
        <f>SUMIFS('caseload data'!I:I,'caseload data'!$D:$D,"PSO",'caseload data'!$A:$A,"North East Region")</f>
        <v>0</v>
      </c>
      <c r="I33" s="94">
        <f>SUMIFS('caseload data'!J:J,'caseload data'!$D:$D,"PSO",'caseload data'!$A:$A,"North East Region")</f>
        <v>0</v>
      </c>
      <c r="J33" s="94">
        <f>SUMIFS('caseload data'!K:K,'caseload data'!$D:$D,"PSO",'caseload data'!$A:$A,"North East Region")</f>
        <v>0</v>
      </c>
      <c r="K33" s="94">
        <f>SUMIFS('caseload data'!L:L,'caseload data'!$D:$D,"PSO",'caseload data'!$A:$A,"North East Region")</f>
        <v>0</v>
      </c>
      <c r="L33" s="94">
        <f>SUMIFS('caseload data'!M:M,'caseload data'!$D:$D,"PSO",'caseload data'!$A:$A,"North East Region")</f>
        <v>0</v>
      </c>
      <c r="M33" s="94">
        <f>SUMIFS('caseload data'!N:N,'caseload data'!$D:$D,"PSO",'caseload data'!$A:$A,"North East Region")</f>
        <v>0</v>
      </c>
      <c r="N33" s="94">
        <f>SUMIFS('caseload data'!O:O,'caseload data'!$D:$D,"PSO",'caseload data'!$A:$A,"North East Region")</f>
        <v>0</v>
      </c>
      <c r="O33" s="94">
        <f>SUMIFS('caseload data'!P:P,'caseload data'!$D:$D,"PSO",'caseload data'!$A:$A,"North East Region")</f>
        <v>0</v>
      </c>
      <c r="P33" s="94">
        <f>SUMIFS('caseload data'!Q:Q,'caseload data'!$D:$D,"PSO",'caseload data'!$A:$A,"North East Region")</f>
        <v>0</v>
      </c>
      <c r="Q33" s="94">
        <f>SUMIFS('caseload data'!R:R,'caseload data'!$D:$D,"PSO",'caseload data'!$A:$A,"North East Region")</f>
        <v>0</v>
      </c>
      <c r="R33" s="94">
        <f>SUMIFS('caseload data'!S:S,'caseload data'!$D:$D,"PSO",'caseload data'!$A:$A,"North East Region")</f>
        <v>0</v>
      </c>
      <c r="S33" s="94">
        <f>SUMIFS('caseload data'!T:T,'caseload data'!$D:$D,"PSO",'caseload data'!$A:$A,"North East Region")</f>
        <v>0</v>
      </c>
      <c r="T33" s="94">
        <f>SUMIFS('caseload data'!V:V,'caseload data'!$D:$D,"PSO",'caseload data'!$A:$A,"North East Region")</f>
        <v>0</v>
      </c>
      <c r="U33" s="64"/>
      <c r="V33" s="64"/>
      <c r="W33" s="504"/>
      <c r="X33" s="129" t="s">
        <v>952</v>
      </c>
      <c r="Y33" s="167" t="e">
        <f t="shared" ref="Y33:Y36" si="30">SUM(D33)/SUM(D$32:D$36)</f>
        <v>#DIV/0!</v>
      </c>
      <c r="Z33" s="167" t="e">
        <f t="shared" si="29"/>
        <v>#DIV/0!</v>
      </c>
      <c r="AA33" s="167" t="e">
        <f t="shared" si="29"/>
        <v>#DIV/0!</v>
      </c>
      <c r="AB33" s="167" t="e">
        <f t="shared" si="29"/>
        <v>#DIV/0!</v>
      </c>
      <c r="AC33" s="167" t="e">
        <f t="shared" si="29"/>
        <v>#DIV/0!</v>
      </c>
      <c r="AD33" s="167" t="e">
        <f t="shared" si="29"/>
        <v>#DIV/0!</v>
      </c>
      <c r="AE33" s="167" t="e">
        <f t="shared" si="29"/>
        <v>#DIV/0!</v>
      </c>
      <c r="AF33" s="167" t="e">
        <f t="shared" si="29"/>
        <v>#DIV/0!</v>
      </c>
      <c r="AG33" s="167" t="e">
        <f t="shared" si="29"/>
        <v>#DIV/0!</v>
      </c>
      <c r="AH33" s="167" t="e">
        <f t="shared" si="29"/>
        <v>#DIV/0!</v>
      </c>
      <c r="AI33" s="167" t="e">
        <f t="shared" si="29"/>
        <v>#DIV/0!</v>
      </c>
      <c r="AJ33" s="167" t="e">
        <f t="shared" si="29"/>
        <v>#DIV/0!</v>
      </c>
      <c r="AK33" s="167" t="e">
        <f t="shared" si="29"/>
        <v>#DIV/0!</v>
      </c>
      <c r="AL33" s="167" t="e">
        <f t="shared" si="29"/>
        <v>#DIV/0!</v>
      </c>
      <c r="AM33" s="167" t="e">
        <f t="shared" si="29"/>
        <v>#DIV/0!</v>
      </c>
      <c r="AN33" s="167" t="e">
        <f t="shared" si="29"/>
        <v>#DIV/0!</v>
      </c>
      <c r="AO33" s="167" t="e">
        <f t="shared" si="29"/>
        <v>#DIV/0!</v>
      </c>
    </row>
    <row r="34" spans="2:41" x14ac:dyDescent="0.15">
      <c r="B34" s="510"/>
      <c r="C34" s="129" t="s">
        <v>953</v>
      </c>
      <c r="D34" s="368">
        <f>SUMIFS('caseload data'!E:E,'caseload data'!$D:$D,"TPO",'caseload data'!$A:$A,"North East Region")</f>
        <v>0</v>
      </c>
      <c r="E34" s="94">
        <f>SUMIFS('caseload data'!F:F,'caseload data'!$D:$D,"TPO",'caseload data'!$A:$A,"North East Region")</f>
        <v>0</v>
      </c>
      <c r="F34" s="94">
        <f>SUMIFS('caseload data'!G:G,'caseload data'!$D:$D,"TPO",'caseload data'!$A:$A,"North East Region")</f>
        <v>0</v>
      </c>
      <c r="G34" s="94">
        <f>SUMIFS('caseload data'!H:H,'caseload data'!$D:$D,"TPO",'caseload data'!$A:$A,"North East Region")</f>
        <v>0</v>
      </c>
      <c r="H34" s="94">
        <f>SUMIFS('caseload data'!I:I,'caseload data'!$D:$D,"TPO",'caseload data'!$A:$A,"North East Region")</f>
        <v>0</v>
      </c>
      <c r="I34" s="94">
        <f>SUMIFS('caseload data'!J:J,'caseload data'!$D:$D,"TPO",'caseload data'!$A:$A,"North East Region")</f>
        <v>0</v>
      </c>
      <c r="J34" s="94">
        <f>SUMIFS('caseload data'!K:K,'caseload data'!$D:$D,"TPO",'caseload data'!$A:$A,"North East Region")</f>
        <v>0</v>
      </c>
      <c r="K34" s="94">
        <f>SUMIFS('caseload data'!L:L,'caseload data'!$D:$D,"TPO",'caseload data'!$A:$A,"North East Region")</f>
        <v>0</v>
      </c>
      <c r="L34" s="94">
        <f>SUMIFS('caseload data'!M:M,'caseload data'!$D:$D,"TPO",'caseload data'!$A:$A,"North East Region")</f>
        <v>0</v>
      </c>
      <c r="M34" s="94">
        <f>SUMIFS('caseload data'!N:N,'caseload data'!$D:$D,"TPO",'caseload data'!$A:$A,"North East Region")</f>
        <v>0</v>
      </c>
      <c r="N34" s="94">
        <f>SUMIFS('caseload data'!O:O,'caseload data'!$D:$D,"TPO",'caseload data'!$A:$A,"North East Region")</f>
        <v>0</v>
      </c>
      <c r="O34" s="94">
        <f>SUMIFS('caseload data'!P:P,'caseload data'!$D:$D,"TPO",'caseload data'!$A:$A,"North East Region")</f>
        <v>0</v>
      </c>
      <c r="P34" s="94">
        <f>SUMIFS('caseload data'!Q:Q,'caseload data'!$D:$D,"TPO",'caseload data'!$A:$A,"North East Region")</f>
        <v>0</v>
      </c>
      <c r="Q34" s="94">
        <f>SUMIFS('caseload data'!R:R,'caseload data'!$D:$D,"TPO",'caseload data'!$A:$A,"North East Region")</f>
        <v>0</v>
      </c>
      <c r="R34" s="94">
        <f>SUMIFS('caseload data'!S:S,'caseload data'!$D:$D,"TPO",'caseload data'!$A:$A,"North East Region")</f>
        <v>0</v>
      </c>
      <c r="S34" s="94">
        <f>SUMIFS('caseload data'!T:T,'caseload data'!$D:$D,"TPO",'caseload data'!$A:$A,"North East Region")</f>
        <v>0</v>
      </c>
      <c r="T34" s="94">
        <f>SUMIFS('caseload data'!V:V,'caseload data'!$D:$D,"TPO",'caseload data'!$A:$A,"North East Region")</f>
        <v>0</v>
      </c>
      <c r="U34" s="64"/>
      <c r="V34" s="64"/>
      <c r="W34" s="504"/>
      <c r="X34" s="129" t="s">
        <v>953</v>
      </c>
      <c r="Y34" s="167" t="e">
        <f t="shared" si="30"/>
        <v>#DIV/0!</v>
      </c>
      <c r="Z34" s="167" t="e">
        <f t="shared" si="29"/>
        <v>#DIV/0!</v>
      </c>
      <c r="AA34" s="167" t="e">
        <f t="shared" si="29"/>
        <v>#DIV/0!</v>
      </c>
      <c r="AB34" s="167" t="e">
        <f t="shared" si="29"/>
        <v>#DIV/0!</v>
      </c>
      <c r="AC34" s="167" t="e">
        <f t="shared" si="29"/>
        <v>#DIV/0!</v>
      </c>
      <c r="AD34" s="167" t="e">
        <f t="shared" si="29"/>
        <v>#DIV/0!</v>
      </c>
      <c r="AE34" s="167" t="e">
        <f t="shared" si="29"/>
        <v>#DIV/0!</v>
      </c>
      <c r="AF34" s="167" t="e">
        <f t="shared" si="29"/>
        <v>#DIV/0!</v>
      </c>
      <c r="AG34" s="167" t="e">
        <f t="shared" si="29"/>
        <v>#DIV/0!</v>
      </c>
      <c r="AH34" s="167" t="e">
        <f t="shared" si="29"/>
        <v>#DIV/0!</v>
      </c>
      <c r="AI34" s="167" t="e">
        <f t="shared" si="29"/>
        <v>#DIV/0!</v>
      </c>
      <c r="AJ34" s="167" t="e">
        <f t="shared" si="29"/>
        <v>#DIV/0!</v>
      </c>
      <c r="AK34" s="167" t="e">
        <f t="shared" si="29"/>
        <v>#DIV/0!</v>
      </c>
      <c r="AL34" s="167" t="e">
        <f t="shared" si="29"/>
        <v>#DIV/0!</v>
      </c>
      <c r="AM34" s="167" t="e">
        <f t="shared" si="29"/>
        <v>#DIV/0!</v>
      </c>
      <c r="AN34" s="167" t="e">
        <f t="shared" si="29"/>
        <v>#DIV/0!</v>
      </c>
      <c r="AO34" s="167" t="e">
        <f t="shared" si="29"/>
        <v>#DIV/0!</v>
      </c>
    </row>
    <row r="35" spans="2:41" x14ac:dyDescent="0.15">
      <c r="B35" s="510"/>
      <c r="C35" s="129" t="s">
        <v>954</v>
      </c>
      <c r="D35" s="368">
        <f>SUMIFS('caseload data'!E:E,'caseload data'!$D:$D,"SPO",'caseload data'!$A:$A,"North East Region")</f>
        <v>0</v>
      </c>
      <c r="E35" s="94">
        <f>SUMIFS('caseload data'!F:F,'caseload data'!$D:$D,"SPO",'caseload data'!$A:$A,"North East Region")</f>
        <v>0</v>
      </c>
      <c r="F35" s="94">
        <f>SUMIFS('caseload data'!G:G,'caseload data'!$D:$D,"SPO",'caseload data'!$A:$A,"North East Region")</f>
        <v>0</v>
      </c>
      <c r="G35" s="94">
        <f>SUMIFS('caseload data'!H:H,'caseload data'!$D:$D,"SPO",'caseload data'!$A:$A,"North East Region")</f>
        <v>0</v>
      </c>
      <c r="H35" s="94">
        <f>SUMIFS('caseload data'!I:I,'caseload data'!$D:$D,"SPO",'caseload data'!$A:$A,"North East Region")</f>
        <v>0</v>
      </c>
      <c r="I35" s="94">
        <f>SUMIFS('caseload data'!J:J,'caseload data'!$D:$D,"SPO",'caseload data'!$A:$A,"North East Region")</f>
        <v>0</v>
      </c>
      <c r="J35" s="94">
        <f>SUMIFS('caseload data'!K:K,'caseload data'!$D:$D,"SPO",'caseload data'!$A:$A,"North East Region")</f>
        <v>0</v>
      </c>
      <c r="K35" s="94">
        <f>SUMIFS('caseload data'!L:L,'caseload data'!$D:$D,"SPO",'caseload data'!$A:$A,"North East Region")</f>
        <v>0</v>
      </c>
      <c r="L35" s="94">
        <f>SUMIFS('caseload data'!M:M,'caseload data'!$D:$D,"SPO",'caseload data'!$A:$A,"North East Region")</f>
        <v>0</v>
      </c>
      <c r="M35" s="94">
        <f>SUMIFS('caseload data'!N:N,'caseload data'!$D:$D,"SPO",'caseload data'!$A:$A,"North East Region")</f>
        <v>0</v>
      </c>
      <c r="N35" s="94">
        <f>SUMIFS('caseload data'!O:O,'caseload data'!$D:$D,"SPO",'caseload data'!$A:$A,"North East Region")</f>
        <v>0</v>
      </c>
      <c r="O35" s="94">
        <f>SUMIFS('caseload data'!P:P,'caseload data'!$D:$D,"SPO",'caseload data'!$A:$A,"North East Region")</f>
        <v>0</v>
      </c>
      <c r="P35" s="94">
        <f>SUMIFS('caseload data'!Q:Q,'caseload data'!$D:$D,"SPO",'caseload data'!$A:$A,"North East Region")</f>
        <v>0</v>
      </c>
      <c r="Q35" s="94">
        <f>SUMIFS('caseload data'!R:R,'caseload data'!$D:$D,"SPO",'caseload data'!$A:$A,"North East Region")</f>
        <v>0</v>
      </c>
      <c r="R35" s="94">
        <f>SUMIFS('caseload data'!S:S,'caseload data'!$D:$D,"SPO",'caseload data'!$A:$A,"North East Region")</f>
        <v>0</v>
      </c>
      <c r="S35" s="94">
        <f>SUMIFS('caseload data'!T:T,'caseload data'!$D:$D,"SPO",'caseload data'!$A:$A,"North East Region")</f>
        <v>0</v>
      </c>
      <c r="T35" s="94">
        <f>SUMIFS('caseload data'!V:V,'caseload data'!$D:$D,"SPO",'caseload data'!$A:$A,"North East Region")</f>
        <v>0</v>
      </c>
      <c r="U35" s="64"/>
      <c r="V35" s="64"/>
      <c r="W35" s="504"/>
      <c r="X35" s="129" t="s">
        <v>954</v>
      </c>
      <c r="Y35" s="167" t="e">
        <f t="shared" si="30"/>
        <v>#DIV/0!</v>
      </c>
      <c r="Z35" s="167" t="e">
        <f t="shared" si="29"/>
        <v>#DIV/0!</v>
      </c>
      <c r="AA35" s="167" t="e">
        <f t="shared" si="29"/>
        <v>#DIV/0!</v>
      </c>
      <c r="AB35" s="167" t="e">
        <f t="shared" si="29"/>
        <v>#DIV/0!</v>
      </c>
      <c r="AC35" s="167" t="e">
        <f t="shared" si="29"/>
        <v>#DIV/0!</v>
      </c>
      <c r="AD35" s="167" t="e">
        <f t="shared" si="29"/>
        <v>#DIV/0!</v>
      </c>
      <c r="AE35" s="167" t="e">
        <f t="shared" si="29"/>
        <v>#DIV/0!</v>
      </c>
      <c r="AF35" s="167" t="e">
        <f t="shared" si="29"/>
        <v>#DIV/0!</v>
      </c>
      <c r="AG35" s="167" t="e">
        <f t="shared" si="29"/>
        <v>#DIV/0!</v>
      </c>
      <c r="AH35" s="167" t="e">
        <f t="shared" si="29"/>
        <v>#DIV/0!</v>
      </c>
      <c r="AI35" s="167" t="e">
        <f t="shared" si="29"/>
        <v>#DIV/0!</v>
      </c>
      <c r="AJ35" s="167" t="e">
        <f t="shared" si="29"/>
        <v>#DIV/0!</v>
      </c>
      <c r="AK35" s="167" t="e">
        <f t="shared" si="29"/>
        <v>#DIV/0!</v>
      </c>
      <c r="AL35" s="167" t="e">
        <f t="shared" si="29"/>
        <v>#DIV/0!</v>
      </c>
      <c r="AM35" s="167" t="e">
        <f t="shared" si="29"/>
        <v>#DIV/0!</v>
      </c>
      <c r="AN35" s="167" t="e">
        <f t="shared" si="29"/>
        <v>#DIV/0!</v>
      </c>
      <c r="AO35" s="167" t="e">
        <f t="shared" si="29"/>
        <v>#DIV/0!</v>
      </c>
    </row>
    <row r="36" spans="2:41" x14ac:dyDescent="0.15">
      <c r="B36" s="511"/>
      <c r="C36" s="130" t="s">
        <v>1286</v>
      </c>
      <c r="D36" s="368">
        <f>SUMIFS('caseload data'!E:E,'caseload data'!$D:$D,"DMY",'caseload data'!$A:$A,"North East Region")</f>
        <v>0</v>
      </c>
      <c r="E36" s="368">
        <f>SUMIFS('caseload data'!F:F,'caseload data'!$D:$D,"DMY",'caseload data'!$A:$A,"North East Region")</f>
        <v>0</v>
      </c>
      <c r="F36" s="368">
        <f>SUMIFS('caseload data'!G:G,'caseload data'!$D:$D,"DMY",'caseload data'!$A:$A,"North East Region")</f>
        <v>0</v>
      </c>
      <c r="G36" s="368">
        <f>SUMIFS('caseload data'!H:H,'caseload data'!$D:$D,"DMY",'caseload data'!$A:$A,"North East Region")</f>
        <v>0</v>
      </c>
      <c r="H36" s="368">
        <f>SUMIFS('caseload data'!I:I,'caseload data'!$D:$D,"DMY",'caseload data'!$A:$A,"North East Region")</f>
        <v>0</v>
      </c>
      <c r="I36" s="368">
        <f>SUMIFS('caseload data'!J:J,'caseload data'!$D:$D,"DMY",'caseload data'!$A:$A,"North East Region")</f>
        <v>0</v>
      </c>
      <c r="J36" s="368">
        <f>SUMIFS('caseload data'!K:K,'caseload data'!$D:$D,"DMY",'caseload data'!$A:$A,"North East Region")</f>
        <v>0</v>
      </c>
      <c r="K36" s="368">
        <f>SUMIFS('caseload data'!L:L,'caseload data'!$D:$D,"DMY",'caseload data'!$A:$A,"North East Region")</f>
        <v>0</v>
      </c>
      <c r="L36" s="368">
        <f>SUMIFS('caseload data'!M:M,'caseload data'!$D:$D,"DMY",'caseload data'!$A:$A,"North East Region")</f>
        <v>0</v>
      </c>
      <c r="M36" s="368">
        <f>SUMIFS('caseload data'!N:N,'caseload data'!$D:$D,"DMY",'caseload data'!$A:$A,"North East Region")</f>
        <v>0</v>
      </c>
      <c r="N36" s="368">
        <f>SUMIFS('caseload data'!O:O,'caseload data'!$D:$D,"DMY",'caseload data'!$A:$A,"North East Region")</f>
        <v>0</v>
      </c>
      <c r="O36" s="368">
        <f>SUMIFS('caseload data'!P:P,'caseload data'!$D:$D,"DMY",'caseload data'!$A:$A,"North East Region")</f>
        <v>0</v>
      </c>
      <c r="P36" s="368">
        <f>SUMIFS('caseload data'!Q:Q,'caseload data'!$D:$D,"DMY",'caseload data'!$A:$A,"North East Region")</f>
        <v>0</v>
      </c>
      <c r="Q36" s="368">
        <f>SUMIFS('caseload data'!R:R,'caseload data'!$D:$D,"DMY",'caseload data'!$A:$A,"North East Region")</f>
        <v>0</v>
      </c>
      <c r="R36" s="368">
        <f>SUMIFS('caseload data'!S:S,'caseload data'!$D:$D,"DMY",'caseload data'!$A:$A,"North East Region")</f>
        <v>0</v>
      </c>
      <c r="S36" s="368">
        <f>SUMIFS('caseload data'!T:T,'caseload data'!$D:$D,"DMY",'caseload data'!$A:$A,"North East Region")</f>
        <v>0</v>
      </c>
      <c r="T36" s="94">
        <f>SUMIFS('caseload data'!V:V,'caseload data'!$D:$D,"DMY",'caseload data'!$A:$A,"North East Region")</f>
        <v>0</v>
      </c>
      <c r="U36" s="64"/>
      <c r="V36" s="64"/>
      <c r="W36" s="505"/>
      <c r="X36" s="130" t="s">
        <v>1286</v>
      </c>
      <c r="Y36" s="167" t="e">
        <f t="shared" si="30"/>
        <v>#DIV/0!</v>
      </c>
      <c r="Z36" s="167" t="e">
        <f t="shared" si="29"/>
        <v>#DIV/0!</v>
      </c>
      <c r="AA36" s="167" t="e">
        <f t="shared" si="29"/>
        <v>#DIV/0!</v>
      </c>
      <c r="AB36" s="167" t="e">
        <f t="shared" si="29"/>
        <v>#DIV/0!</v>
      </c>
      <c r="AC36" s="167" t="e">
        <f t="shared" si="29"/>
        <v>#DIV/0!</v>
      </c>
      <c r="AD36" s="167" t="e">
        <f t="shared" si="29"/>
        <v>#DIV/0!</v>
      </c>
      <c r="AE36" s="167" t="e">
        <f t="shared" si="29"/>
        <v>#DIV/0!</v>
      </c>
      <c r="AF36" s="167" t="e">
        <f t="shared" si="29"/>
        <v>#DIV/0!</v>
      </c>
      <c r="AG36" s="167" t="e">
        <f t="shared" si="29"/>
        <v>#DIV/0!</v>
      </c>
      <c r="AH36" s="167" t="e">
        <f t="shared" si="29"/>
        <v>#DIV/0!</v>
      </c>
      <c r="AI36" s="167" t="e">
        <f t="shared" si="29"/>
        <v>#DIV/0!</v>
      </c>
      <c r="AJ36" s="167" t="e">
        <f t="shared" si="29"/>
        <v>#DIV/0!</v>
      </c>
      <c r="AK36" s="167" t="e">
        <f t="shared" si="29"/>
        <v>#DIV/0!</v>
      </c>
      <c r="AL36" s="167" t="e">
        <f t="shared" si="29"/>
        <v>#DIV/0!</v>
      </c>
      <c r="AM36" s="167" t="e">
        <f t="shared" si="29"/>
        <v>#DIV/0!</v>
      </c>
      <c r="AN36" s="167" t="e">
        <f t="shared" si="29"/>
        <v>#DIV/0!</v>
      </c>
      <c r="AO36" s="167" t="e">
        <f t="shared" si="29"/>
        <v>#DIV/0!</v>
      </c>
    </row>
    <row r="37" spans="2:41" x14ac:dyDescent="0.15">
      <c r="B37" s="503" t="s">
        <v>23</v>
      </c>
      <c r="C37" s="128" t="s">
        <v>947</v>
      </c>
      <c r="D37" s="368">
        <f>SUMIFS('caseload data'!E:E,'caseload data'!$D:$D,"PO",'caseload data'!$A:$A,$B$37)</f>
        <v>0</v>
      </c>
      <c r="E37" s="94">
        <f>SUMIFS('caseload data'!F:F,'caseload data'!$D:$D,"PO",'caseload data'!$A:$A,$B$37)</f>
        <v>0</v>
      </c>
      <c r="F37" s="94">
        <f>SUMIFS('caseload data'!G:G,'caseload data'!$D:$D,"PO",'caseload data'!$A:$A,$B$37)</f>
        <v>0</v>
      </c>
      <c r="G37" s="94">
        <f>SUMIFS('caseload data'!H:H,'caseload data'!$D:$D,"PO",'caseload data'!$A:$A,$B$37)</f>
        <v>0</v>
      </c>
      <c r="H37" s="94">
        <f>SUMIFS('caseload data'!I:I,'caseload data'!$D:$D,"PO",'caseload data'!$A:$A,$B$37)</f>
        <v>0</v>
      </c>
      <c r="I37" s="94">
        <f>SUMIFS('caseload data'!J:J,'caseload data'!$D:$D,"PO",'caseload data'!$A:$A,$B$37)</f>
        <v>0</v>
      </c>
      <c r="J37" s="94">
        <f>SUMIFS('caseload data'!K:K,'caseload data'!$D:$D,"PO",'caseload data'!$A:$A,$B$37)</f>
        <v>0</v>
      </c>
      <c r="K37" s="94">
        <f>SUMIFS('caseload data'!L:L,'caseload data'!$D:$D,"PO",'caseload data'!$A:$A,$B$37)</f>
        <v>0</v>
      </c>
      <c r="L37" s="94">
        <f>SUMIFS('caseload data'!M:M,'caseload data'!$D:$D,"PO",'caseload data'!$A:$A,$B$37)</f>
        <v>0</v>
      </c>
      <c r="M37" s="94">
        <f>SUMIFS('caseload data'!N:N,'caseload data'!$D:$D,"PO",'caseload data'!$A:$A,$B$37)</f>
        <v>0</v>
      </c>
      <c r="N37" s="94">
        <f>SUMIFS('caseload data'!O:O,'caseload data'!$D:$D,"PO",'caseload data'!$A:$A,$B$37)</f>
        <v>0</v>
      </c>
      <c r="O37" s="94">
        <f>SUMIFS('caseload data'!P:P,'caseload data'!$D:$D,"PO",'caseload data'!$A:$A,$B$37)</f>
        <v>0</v>
      </c>
      <c r="P37" s="94">
        <f>SUMIFS('caseload data'!Q:Q,'caseload data'!$D:$D,"PO",'caseload data'!$A:$A,$B$37)</f>
        <v>0</v>
      </c>
      <c r="Q37" s="94">
        <f>SUMIFS('caseload data'!R:R,'caseload data'!$D:$D,"PO",'caseload data'!$A:$A,$B$37)</f>
        <v>0</v>
      </c>
      <c r="R37" s="94">
        <f>SUMIFS('caseload data'!S:S,'caseload data'!$D:$D,"PO",'caseload data'!$A:$A,$B$37)</f>
        <v>0</v>
      </c>
      <c r="S37" s="94">
        <f>SUMIFS('caseload data'!T:T,'caseload data'!$D:$D,"PO",'caseload data'!$A:$A,$B$37)</f>
        <v>0</v>
      </c>
      <c r="T37" s="94">
        <f>SUMIFS('caseload data'!V:V,'caseload data'!$D:$D,"PO",'caseload data'!$A:$A,B37)</f>
        <v>0</v>
      </c>
      <c r="U37" s="64"/>
      <c r="V37" s="64"/>
      <c r="W37" s="503" t="s">
        <v>23</v>
      </c>
      <c r="X37" s="128" t="s">
        <v>947</v>
      </c>
      <c r="Y37" s="167" t="e">
        <f>SUM(D37)/SUM(D$37:D$41)</f>
        <v>#DIV/0!</v>
      </c>
      <c r="Z37" s="167" t="e">
        <f>SUM(E37)/SUM(E$37:E$41)</f>
        <v>#DIV/0!</v>
      </c>
      <c r="AA37" s="167" t="e">
        <f t="shared" ref="AA37:AO41" si="31">SUM(F37)/SUM(F$37:F$41)</f>
        <v>#DIV/0!</v>
      </c>
      <c r="AB37" s="167" t="e">
        <f t="shared" si="31"/>
        <v>#DIV/0!</v>
      </c>
      <c r="AC37" s="167" t="e">
        <f t="shared" si="31"/>
        <v>#DIV/0!</v>
      </c>
      <c r="AD37" s="167" t="e">
        <f t="shared" si="31"/>
        <v>#DIV/0!</v>
      </c>
      <c r="AE37" s="167" t="e">
        <f t="shared" si="31"/>
        <v>#DIV/0!</v>
      </c>
      <c r="AF37" s="167" t="e">
        <f t="shared" si="31"/>
        <v>#DIV/0!</v>
      </c>
      <c r="AG37" s="167" t="e">
        <f t="shared" si="31"/>
        <v>#DIV/0!</v>
      </c>
      <c r="AH37" s="167" t="e">
        <f t="shared" si="31"/>
        <v>#DIV/0!</v>
      </c>
      <c r="AI37" s="167" t="e">
        <f t="shared" si="31"/>
        <v>#DIV/0!</v>
      </c>
      <c r="AJ37" s="167" t="e">
        <f t="shared" si="31"/>
        <v>#DIV/0!</v>
      </c>
      <c r="AK37" s="167" t="e">
        <f t="shared" si="31"/>
        <v>#DIV/0!</v>
      </c>
      <c r="AL37" s="167" t="e">
        <f t="shared" si="31"/>
        <v>#DIV/0!</v>
      </c>
      <c r="AM37" s="167" t="e">
        <f t="shared" si="31"/>
        <v>#DIV/0!</v>
      </c>
      <c r="AN37" s="167" t="e">
        <f t="shared" si="31"/>
        <v>#DIV/0!</v>
      </c>
      <c r="AO37" s="167" t="e">
        <f t="shared" si="31"/>
        <v>#DIV/0!</v>
      </c>
    </row>
    <row r="38" spans="2:41" x14ac:dyDescent="0.15">
      <c r="B38" s="504"/>
      <c r="C38" s="129" t="s">
        <v>952</v>
      </c>
      <c r="D38" s="368">
        <f>SUMIFS('caseload data'!E:E,'caseload data'!$D:$D,"PSO",'caseload data'!$A:$A,"North West Region")</f>
        <v>0</v>
      </c>
      <c r="E38" s="94">
        <f>SUMIFS('caseload data'!F:F,'caseload data'!$D:$D,"PSO",'caseload data'!$A:$A,"North West Region")</f>
        <v>0</v>
      </c>
      <c r="F38" s="94">
        <f>SUMIFS('caseload data'!G:G,'caseload data'!$D:$D,"PSO",'caseload data'!$A:$A,"North West Region")</f>
        <v>0</v>
      </c>
      <c r="G38" s="94">
        <f>SUMIFS('caseload data'!H:H,'caseload data'!$D:$D,"PSO",'caseload data'!$A:$A,"North West Region")</f>
        <v>0</v>
      </c>
      <c r="H38" s="94">
        <f>SUMIFS('caseload data'!I:I,'caseload data'!$D:$D,"PSO",'caseload data'!$A:$A,"North West Region")</f>
        <v>0</v>
      </c>
      <c r="I38" s="94">
        <f>SUMIFS('caseload data'!J:J,'caseload data'!$D:$D,"PSO",'caseload data'!$A:$A,"North West Region")</f>
        <v>0</v>
      </c>
      <c r="J38" s="94">
        <f>SUMIFS('caseload data'!K:K,'caseload data'!$D:$D,"PSO",'caseload data'!$A:$A,"North West Region")</f>
        <v>0</v>
      </c>
      <c r="K38" s="94">
        <f>SUMIFS('caseload data'!L:L,'caseload data'!$D:$D,"PSO",'caseload data'!$A:$A,"North West Region")</f>
        <v>0</v>
      </c>
      <c r="L38" s="94">
        <f>SUMIFS('caseload data'!M:M,'caseload data'!$D:$D,"PSO",'caseload data'!$A:$A,"North West Region")</f>
        <v>0</v>
      </c>
      <c r="M38" s="94">
        <f>SUMIFS('caseload data'!N:N,'caseload data'!$D:$D,"PSO",'caseload data'!$A:$A,"North West Region")</f>
        <v>0</v>
      </c>
      <c r="N38" s="94">
        <f>SUMIFS('caseload data'!O:O,'caseload data'!$D:$D,"PSO",'caseload data'!$A:$A,"North West Region")</f>
        <v>0</v>
      </c>
      <c r="O38" s="94">
        <f>SUMIFS('caseload data'!P:P,'caseload data'!$D:$D,"PSO",'caseload data'!$A:$A,"North West Region")</f>
        <v>0</v>
      </c>
      <c r="P38" s="94">
        <f>SUMIFS('caseload data'!Q:Q,'caseload data'!$D:$D,"PSO",'caseload data'!$A:$A,"North West Region")</f>
        <v>0</v>
      </c>
      <c r="Q38" s="94">
        <f>SUMIFS('caseload data'!R:R,'caseload data'!$D:$D,"PSO",'caseload data'!$A:$A,"North West Region")</f>
        <v>0</v>
      </c>
      <c r="R38" s="94">
        <f>SUMIFS('caseload data'!S:S,'caseload data'!$D:$D,"PSO",'caseload data'!$A:$A,"North West Region")</f>
        <v>0</v>
      </c>
      <c r="S38" s="94">
        <f>SUMIFS('caseload data'!T:T,'caseload data'!$D:$D,"PSO",'caseload data'!$A:$A,"North West Region")</f>
        <v>0</v>
      </c>
      <c r="T38" s="94">
        <f>SUMIFS('caseload data'!V:V,'caseload data'!$D:$D,"PSO",'caseload data'!$A:$A,"North West Region")</f>
        <v>0</v>
      </c>
      <c r="U38" s="64"/>
      <c r="V38" s="64"/>
      <c r="W38" s="504"/>
      <c r="X38" s="129" t="s">
        <v>952</v>
      </c>
      <c r="Y38" s="167" t="e">
        <f t="shared" ref="Y38:Z41" si="32">SUM(D38)/SUM(D$37:D$41)</f>
        <v>#DIV/0!</v>
      </c>
      <c r="Z38" s="167" t="e">
        <f t="shared" si="32"/>
        <v>#DIV/0!</v>
      </c>
      <c r="AA38" s="167" t="e">
        <f t="shared" si="31"/>
        <v>#DIV/0!</v>
      </c>
      <c r="AB38" s="167" t="e">
        <f t="shared" si="31"/>
        <v>#DIV/0!</v>
      </c>
      <c r="AC38" s="167" t="e">
        <f t="shared" si="31"/>
        <v>#DIV/0!</v>
      </c>
      <c r="AD38" s="167" t="e">
        <f t="shared" si="31"/>
        <v>#DIV/0!</v>
      </c>
      <c r="AE38" s="167" t="e">
        <f t="shared" si="31"/>
        <v>#DIV/0!</v>
      </c>
      <c r="AF38" s="167" t="e">
        <f t="shared" si="31"/>
        <v>#DIV/0!</v>
      </c>
      <c r="AG38" s="167" t="e">
        <f t="shared" si="31"/>
        <v>#DIV/0!</v>
      </c>
      <c r="AH38" s="167" t="e">
        <f t="shared" si="31"/>
        <v>#DIV/0!</v>
      </c>
      <c r="AI38" s="167" t="e">
        <f t="shared" si="31"/>
        <v>#DIV/0!</v>
      </c>
      <c r="AJ38" s="167" t="e">
        <f t="shared" si="31"/>
        <v>#DIV/0!</v>
      </c>
      <c r="AK38" s="167" t="e">
        <f t="shared" si="31"/>
        <v>#DIV/0!</v>
      </c>
      <c r="AL38" s="167" t="e">
        <f t="shared" si="31"/>
        <v>#DIV/0!</v>
      </c>
      <c r="AM38" s="167" t="e">
        <f t="shared" si="31"/>
        <v>#DIV/0!</v>
      </c>
      <c r="AN38" s="167" t="e">
        <f t="shared" si="31"/>
        <v>#DIV/0!</v>
      </c>
      <c r="AO38" s="167" t="e">
        <f t="shared" si="31"/>
        <v>#DIV/0!</v>
      </c>
    </row>
    <row r="39" spans="2:41" x14ac:dyDescent="0.15">
      <c r="B39" s="504"/>
      <c r="C39" s="129" t="s">
        <v>953</v>
      </c>
      <c r="D39" s="368">
        <f>SUMIFS('caseload data'!E:E,'caseload data'!$D:$D,"TPO",'caseload data'!$A:$A,"North West Region")</f>
        <v>0</v>
      </c>
      <c r="E39" s="94">
        <f>SUMIFS('caseload data'!F:F,'caseload data'!$D:$D,"TPO",'caseload data'!$A:$A,"North West Region")</f>
        <v>0</v>
      </c>
      <c r="F39" s="94">
        <f>SUMIFS('caseload data'!G:G,'caseload data'!$D:$D,"TPO",'caseload data'!$A:$A,"North West Region")</f>
        <v>0</v>
      </c>
      <c r="G39" s="94">
        <f>SUMIFS('caseload data'!H:H,'caseload data'!$D:$D,"TPO",'caseload data'!$A:$A,"North West Region")</f>
        <v>0</v>
      </c>
      <c r="H39" s="94">
        <f>SUMIFS('caseload data'!I:I,'caseload data'!$D:$D,"TPO",'caseload data'!$A:$A,"North West Region")</f>
        <v>0</v>
      </c>
      <c r="I39" s="94">
        <f>SUMIFS('caseload data'!J:J,'caseload data'!$D:$D,"TPO",'caseload data'!$A:$A,"North West Region")</f>
        <v>0</v>
      </c>
      <c r="J39" s="94">
        <f>SUMIFS('caseload data'!K:K,'caseload data'!$D:$D,"TPO",'caseload data'!$A:$A,"North West Region")</f>
        <v>0</v>
      </c>
      <c r="K39" s="94">
        <f>SUMIFS('caseload data'!L:L,'caseload data'!$D:$D,"TPO",'caseload data'!$A:$A,"North West Region")</f>
        <v>0</v>
      </c>
      <c r="L39" s="94">
        <f>SUMIFS('caseload data'!M:M,'caseload data'!$D:$D,"TPO",'caseload data'!$A:$A,"North West Region")</f>
        <v>0</v>
      </c>
      <c r="M39" s="94">
        <f>SUMIFS('caseload data'!N:N,'caseload data'!$D:$D,"TPO",'caseload data'!$A:$A,"North West Region")</f>
        <v>0</v>
      </c>
      <c r="N39" s="94">
        <f>SUMIFS('caseload data'!O:O,'caseload data'!$D:$D,"TPO",'caseload data'!$A:$A,"North West Region")</f>
        <v>0</v>
      </c>
      <c r="O39" s="94">
        <f>SUMIFS('caseload data'!P:P,'caseload data'!$D:$D,"TPO",'caseload data'!$A:$A,"North West Region")</f>
        <v>0</v>
      </c>
      <c r="P39" s="94">
        <f>SUMIFS('caseload data'!Q:Q,'caseload data'!$D:$D,"TPO",'caseload data'!$A:$A,"North West Region")</f>
        <v>0</v>
      </c>
      <c r="Q39" s="94">
        <f>SUMIFS('caseload data'!R:R,'caseload data'!$D:$D,"TPO",'caseload data'!$A:$A,"North West Region")</f>
        <v>0</v>
      </c>
      <c r="R39" s="94">
        <f>SUMIFS('caseload data'!S:S,'caseload data'!$D:$D,"TPO",'caseload data'!$A:$A,"North West Region")</f>
        <v>0</v>
      </c>
      <c r="S39" s="94">
        <f>SUMIFS('caseload data'!T:T,'caseload data'!$D:$D,"TPO",'caseload data'!$A:$A,"North West Region")</f>
        <v>0</v>
      </c>
      <c r="T39" s="94">
        <f>SUMIFS('caseload data'!V:V,'caseload data'!$D:$D,"TPO",'caseload data'!$A:$A,"North West Region")</f>
        <v>0</v>
      </c>
      <c r="U39" s="64"/>
      <c r="V39" s="64"/>
      <c r="W39" s="504"/>
      <c r="X39" s="129" t="s">
        <v>953</v>
      </c>
      <c r="Y39" s="167" t="e">
        <f t="shared" si="32"/>
        <v>#DIV/0!</v>
      </c>
      <c r="Z39" s="167" t="e">
        <f t="shared" si="32"/>
        <v>#DIV/0!</v>
      </c>
      <c r="AA39" s="167" t="e">
        <f t="shared" si="31"/>
        <v>#DIV/0!</v>
      </c>
      <c r="AB39" s="167" t="e">
        <f t="shared" si="31"/>
        <v>#DIV/0!</v>
      </c>
      <c r="AC39" s="167" t="e">
        <f t="shared" si="31"/>
        <v>#DIV/0!</v>
      </c>
      <c r="AD39" s="167" t="e">
        <f t="shared" si="31"/>
        <v>#DIV/0!</v>
      </c>
      <c r="AE39" s="167" t="e">
        <f t="shared" si="31"/>
        <v>#DIV/0!</v>
      </c>
      <c r="AF39" s="167" t="e">
        <f t="shared" si="31"/>
        <v>#DIV/0!</v>
      </c>
      <c r="AG39" s="167" t="e">
        <f t="shared" si="31"/>
        <v>#DIV/0!</v>
      </c>
      <c r="AH39" s="167" t="e">
        <f t="shared" si="31"/>
        <v>#DIV/0!</v>
      </c>
      <c r="AI39" s="167" t="e">
        <f t="shared" si="31"/>
        <v>#DIV/0!</v>
      </c>
      <c r="AJ39" s="167" t="e">
        <f t="shared" si="31"/>
        <v>#DIV/0!</v>
      </c>
      <c r="AK39" s="167" t="e">
        <f t="shared" si="31"/>
        <v>#DIV/0!</v>
      </c>
      <c r="AL39" s="167" t="e">
        <f t="shared" si="31"/>
        <v>#DIV/0!</v>
      </c>
      <c r="AM39" s="167" t="e">
        <f t="shared" si="31"/>
        <v>#DIV/0!</v>
      </c>
      <c r="AN39" s="167" t="e">
        <f t="shared" si="31"/>
        <v>#DIV/0!</v>
      </c>
      <c r="AO39" s="167" t="e">
        <f t="shared" si="31"/>
        <v>#DIV/0!</v>
      </c>
    </row>
    <row r="40" spans="2:41" x14ac:dyDescent="0.15">
      <c r="B40" s="504"/>
      <c r="C40" s="129" t="s">
        <v>954</v>
      </c>
      <c r="D40" s="368">
        <f>SUMIFS('caseload data'!E:E,'caseload data'!$D:$D,"SPO",'caseload data'!$A:$A,"North West Region")</f>
        <v>0</v>
      </c>
      <c r="E40" s="94">
        <f>SUMIFS('caseload data'!F:F,'caseload data'!$D:$D,"SPO",'caseload data'!$A:$A,"North West Region")</f>
        <v>0</v>
      </c>
      <c r="F40" s="94">
        <f>SUMIFS('caseload data'!G:G,'caseload data'!$D:$D,"SPO",'caseload data'!$A:$A,"North West Region")</f>
        <v>0</v>
      </c>
      <c r="G40" s="94">
        <f>SUMIFS('caseload data'!H:H,'caseload data'!$D:$D,"SPO",'caseload data'!$A:$A,"North West Region")</f>
        <v>0</v>
      </c>
      <c r="H40" s="94">
        <f>SUMIFS('caseload data'!I:I,'caseload data'!$D:$D,"SPO",'caseload data'!$A:$A,"North West Region")</f>
        <v>0</v>
      </c>
      <c r="I40" s="94">
        <f>SUMIFS('caseload data'!J:J,'caseload data'!$D:$D,"SPO",'caseload data'!$A:$A,"North West Region")</f>
        <v>0</v>
      </c>
      <c r="J40" s="94">
        <f>SUMIFS('caseload data'!K:K,'caseload data'!$D:$D,"SPO",'caseload data'!$A:$A,"North West Region")</f>
        <v>0</v>
      </c>
      <c r="K40" s="94">
        <f>SUMIFS('caseload data'!L:L,'caseload data'!$D:$D,"SPO",'caseload data'!$A:$A,"North West Region")</f>
        <v>0</v>
      </c>
      <c r="L40" s="94">
        <f>SUMIFS('caseload data'!M:M,'caseload data'!$D:$D,"SPO",'caseload data'!$A:$A,"North West Region")</f>
        <v>0</v>
      </c>
      <c r="M40" s="94">
        <f>SUMIFS('caseload data'!N:N,'caseload data'!$D:$D,"SPO",'caseload data'!$A:$A,"North West Region")</f>
        <v>0</v>
      </c>
      <c r="N40" s="94">
        <f>SUMIFS('caseload data'!O:O,'caseload data'!$D:$D,"SPO",'caseload data'!$A:$A,"North West Region")</f>
        <v>0</v>
      </c>
      <c r="O40" s="94">
        <f>SUMIFS('caseload data'!P:P,'caseload data'!$D:$D,"SPO",'caseload data'!$A:$A,"North West Region")</f>
        <v>0</v>
      </c>
      <c r="P40" s="94">
        <f>SUMIFS('caseload data'!Q:Q,'caseload data'!$D:$D,"SPO",'caseload data'!$A:$A,"North West Region")</f>
        <v>0</v>
      </c>
      <c r="Q40" s="94">
        <f>SUMIFS('caseload data'!R:R,'caseload data'!$D:$D,"SPO",'caseload data'!$A:$A,"North West Region")</f>
        <v>0</v>
      </c>
      <c r="R40" s="94">
        <f>SUMIFS('caseload data'!S:S,'caseload data'!$D:$D,"SPO",'caseload data'!$A:$A,"North West Region")</f>
        <v>0</v>
      </c>
      <c r="S40" s="94">
        <f>SUMIFS('caseload data'!T:T,'caseload data'!$D:$D,"SPO",'caseload data'!$A:$A,"North West Region")</f>
        <v>0</v>
      </c>
      <c r="T40" s="94">
        <f>SUMIFS('caseload data'!V:V,'caseload data'!$D:$D,"SPO",'caseload data'!$A:$A,"North West Region")</f>
        <v>0</v>
      </c>
      <c r="U40" s="64"/>
      <c r="V40" s="64"/>
      <c r="W40" s="504"/>
      <c r="X40" s="129" t="s">
        <v>954</v>
      </c>
      <c r="Y40" s="167" t="e">
        <f t="shared" si="32"/>
        <v>#DIV/0!</v>
      </c>
      <c r="Z40" s="167" t="e">
        <f t="shared" si="32"/>
        <v>#DIV/0!</v>
      </c>
      <c r="AA40" s="167" t="e">
        <f t="shared" si="31"/>
        <v>#DIV/0!</v>
      </c>
      <c r="AB40" s="167" t="e">
        <f t="shared" si="31"/>
        <v>#DIV/0!</v>
      </c>
      <c r="AC40" s="167" t="e">
        <f t="shared" si="31"/>
        <v>#DIV/0!</v>
      </c>
      <c r="AD40" s="167" t="e">
        <f t="shared" si="31"/>
        <v>#DIV/0!</v>
      </c>
      <c r="AE40" s="167" t="e">
        <f t="shared" si="31"/>
        <v>#DIV/0!</v>
      </c>
      <c r="AF40" s="167" t="e">
        <f t="shared" si="31"/>
        <v>#DIV/0!</v>
      </c>
      <c r="AG40" s="167" t="e">
        <f t="shared" si="31"/>
        <v>#DIV/0!</v>
      </c>
      <c r="AH40" s="167" t="e">
        <f t="shared" si="31"/>
        <v>#DIV/0!</v>
      </c>
      <c r="AI40" s="167" t="e">
        <f t="shared" si="31"/>
        <v>#DIV/0!</v>
      </c>
      <c r="AJ40" s="167" t="e">
        <f t="shared" si="31"/>
        <v>#DIV/0!</v>
      </c>
      <c r="AK40" s="167" t="e">
        <f t="shared" si="31"/>
        <v>#DIV/0!</v>
      </c>
      <c r="AL40" s="167" t="e">
        <f t="shared" si="31"/>
        <v>#DIV/0!</v>
      </c>
      <c r="AM40" s="167" t="e">
        <f t="shared" si="31"/>
        <v>#DIV/0!</v>
      </c>
      <c r="AN40" s="167" t="e">
        <f t="shared" si="31"/>
        <v>#DIV/0!</v>
      </c>
      <c r="AO40" s="167" t="e">
        <f t="shared" si="31"/>
        <v>#DIV/0!</v>
      </c>
    </row>
    <row r="41" spans="2:41" x14ac:dyDescent="0.15">
      <c r="B41" s="505"/>
      <c r="C41" s="130" t="s">
        <v>1286</v>
      </c>
      <c r="D41" s="368">
        <f>SUMIFS('caseload data'!E:E,'caseload data'!$D:$D,"DMY",'caseload data'!$A:$A,"North West Region")</f>
        <v>0</v>
      </c>
      <c r="E41" s="368">
        <f>SUMIFS('caseload data'!F:F,'caseload data'!$D:$D,"DMY",'caseload data'!$A:$A,"North West Region")</f>
        <v>0</v>
      </c>
      <c r="F41" s="368">
        <f>SUMIFS('caseload data'!G:G,'caseload data'!$D:$D,"DMY",'caseload data'!$A:$A,"North West Region")</f>
        <v>0</v>
      </c>
      <c r="G41" s="368">
        <f>SUMIFS('caseload data'!H:H,'caseload data'!$D:$D,"DMY",'caseload data'!$A:$A,"North West Region")</f>
        <v>0</v>
      </c>
      <c r="H41" s="368">
        <f>SUMIFS('caseload data'!I:I,'caseload data'!$D:$D,"DMY",'caseload data'!$A:$A,"North West Region")</f>
        <v>0</v>
      </c>
      <c r="I41" s="368">
        <f>SUMIFS('caseload data'!J:J,'caseload data'!$D:$D,"DMY",'caseload data'!$A:$A,"North West Region")</f>
        <v>0</v>
      </c>
      <c r="J41" s="368">
        <f>SUMIFS('caseload data'!K:K,'caseload data'!$D:$D,"DMY",'caseload data'!$A:$A,"North West Region")</f>
        <v>0</v>
      </c>
      <c r="K41" s="368">
        <f>SUMIFS('caseload data'!L:L,'caseload data'!$D:$D,"DMY",'caseload data'!$A:$A,"North West Region")</f>
        <v>0</v>
      </c>
      <c r="L41" s="368">
        <f>SUMIFS('caseload data'!M:M,'caseload data'!$D:$D,"DMY",'caseload data'!$A:$A,"North West Region")</f>
        <v>0</v>
      </c>
      <c r="M41" s="368">
        <f>SUMIFS('caseload data'!N:N,'caseload data'!$D:$D,"DMY",'caseload data'!$A:$A,"North West Region")</f>
        <v>0</v>
      </c>
      <c r="N41" s="368">
        <f>SUMIFS('caseload data'!O:O,'caseload data'!$D:$D,"DMY",'caseload data'!$A:$A,"North West Region")</f>
        <v>0</v>
      </c>
      <c r="O41" s="368">
        <f>SUMIFS('caseload data'!P:P,'caseload data'!$D:$D,"DMY",'caseload data'!$A:$A,"North West Region")</f>
        <v>0</v>
      </c>
      <c r="P41" s="368">
        <f>SUMIFS('caseload data'!Q:Q,'caseload data'!$D:$D,"DMY",'caseload data'!$A:$A,"North West Region")</f>
        <v>0</v>
      </c>
      <c r="Q41" s="368">
        <f>SUMIFS('caseload data'!R:R,'caseload data'!$D:$D,"DMY",'caseload data'!$A:$A,"North West Region")</f>
        <v>0</v>
      </c>
      <c r="R41" s="368">
        <f>SUMIFS('caseload data'!S:S,'caseload data'!$D:$D,"DMY",'caseload data'!$A:$A,"North West Region")</f>
        <v>0</v>
      </c>
      <c r="S41" s="368">
        <f>SUMIFS('caseload data'!T:T,'caseload data'!$D:$D,"DMY",'caseload data'!$A:$A,"North West Region")</f>
        <v>0</v>
      </c>
      <c r="T41" s="94">
        <f>SUMIFS('caseload data'!V:V,'caseload data'!$D:$D,"DMY",'caseload data'!$A:$A,"North West Region")</f>
        <v>0</v>
      </c>
      <c r="U41" s="64"/>
      <c r="V41" s="64"/>
      <c r="W41" s="505"/>
      <c r="X41" s="130" t="s">
        <v>1286</v>
      </c>
      <c r="Y41" s="167" t="e">
        <f t="shared" si="32"/>
        <v>#DIV/0!</v>
      </c>
      <c r="Z41" s="167" t="e">
        <f t="shared" si="32"/>
        <v>#DIV/0!</v>
      </c>
      <c r="AA41" s="167" t="e">
        <f t="shared" si="31"/>
        <v>#DIV/0!</v>
      </c>
      <c r="AB41" s="167" t="e">
        <f t="shared" si="31"/>
        <v>#DIV/0!</v>
      </c>
      <c r="AC41" s="167" t="e">
        <f t="shared" si="31"/>
        <v>#DIV/0!</v>
      </c>
      <c r="AD41" s="167" t="e">
        <f t="shared" si="31"/>
        <v>#DIV/0!</v>
      </c>
      <c r="AE41" s="167" t="e">
        <f t="shared" si="31"/>
        <v>#DIV/0!</v>
      </c>
      <c r="AF41" s="167" t="e">
        <f t="shared" si="31"/>
        <v>#DIV/0!</v>
      </c>
      <c r="AG41" s="167" t="e">
        <f t="shared" si="31"/>
        <v>#DIV/0!</v>
      </c>
      <c r="AH41" s="167" t="e">
        <f t="shared" si="31"/>
        <v>#DIV/0!</v>
      </c>
      <c r="AI41" s="167" t="e">
        <f t="shared" si="31"/>
        <v>#DIV/0!</v>
      </c>
      <c r="AJ41" s="167" t="e">
        <f t="shared" si="31"/>
        <v>#DIV/0!</v>
      </c>
      <c r="AK41" s="167" t="e">
        <f t="shared" si="31"/>
        <v>#DIV/0!</v>
      </c>
      <c r="AL41" s="167" t="e">
        <f t="shared" si="31"/>
        <v>#DIV/0!</v>
      </c>
      <c r="AM41" s="167" t="e">
        <f t="shared" si="31"/>
        <v>#DIV/0!</v>
      </c>
      <c r="AN41" s="167" t="e">
        <f t="shared" si="31"/>
        <v>#DIV/0!</v>
      </c>
      <c r="AO41" s="167" t="e">
        <f t="shared" si="31"/>
        <v>#DIV/0!</v>
      </c>
    </row>
    <row r="42" spans="2:41" x14ac:dyDescent="0.15">
      <c r="B42" s="509" t="s">
        <v>24</v>
      </c>
      <c r="C42" s="128" t="s">
        <v>947</v>
      </c>
      <c r="D42" s="368">
        <f>SUMIFS('caseload data'!E:E,'caseload data'!$D:$D,"PO",'caseload data'!$A:$A,$B$42)</f>
        <v>0</v>
      </c>
      <c r="E42" s="94">
        <f>SUMIFS('caseload data'!F:F,'caseload data'!$D:$D,"PO",'caseload data'!$A:$A,$B$42)</f>
        <v>0</v>
      </c>
      <c r="F42" s="94">
        <f>SUMIFS('caseload data'!G:G,'caseload data'!$D:$D,"PO",'caseload data'!$A:$A,$B$42)</f>
        <v>0</v>
      </c>
      <c r="G42" s="94">
        <f>SUMIFS('caseload data'!H:H,'caseload data'!$D:$D,"PO",'caseload data'!$A:$A,$B$42)</f>
        <v>0</v>
      </c>
      <c r="H42" s="94">
        <f>SUMIFS('caseload data'!I:I,'caseload data'!$D:$D,"PO",'caseload data'!$A:$A,$B$42)</f>
        <v>0</v>
      </c>
      <c r="I42" s="94">
        <f>SUMIFS('caseload data'!J:J,'caseload data'!$D:$D,"PO",'caseload data'!$A:$A,$B$42)</f>
        <v>0</v>
      </c>
      <c r="J42" s="94">
        <f>SUMIFS('caseload data'!K:K,'caseload data'!$D:$D,"PO",'caseload data'!$A:$A,$B$42)</f>
        <v>0</v>
      </c>
      <c r="K42" s="94">
        <f>SUMIFS('caseload data'!L:L,'caseload data'!$D:$D,"PO",'caseload data'!$A:$A,$B$42)</f>
        <v>0</v>
      </c>
      <c r="L42" s="94">
        <f>SUMIFS('caseload data'!M:M,'caseload data'!$D:$D,"PO",'caseload data'!$A:$A,$B$42)</f>
        <v>0</v>
      </c>
      <c r="M42" s="94">
        <f>SUMIFS('caseload data'!N:N,'caseload data'!$D:$D,"PO",'caseload data'!$A:$A,$B$42)</f>
        <v>0</v>
      </c>
      <c r="N42" s="94">
        <f>SUMIFS('caseload data'!O:O,'caseload data'!$D:$D,"PO",'caseload data'!$A:$A,$B$42)</f>
        <v>0</v>
      </c>
      <c r="O42" s="94">
        <f>SUMIFS('caseload data'!P:P,'caseload data'!$D:$D,"PO",'caseload data'!$A:$A,$B$42)</f>
        <v>0</v>
      </c>
      <c r="P42" s="94">
        <f>SUMIFS('caseload data'!Q:Q,'caseload data'!$D:$D,"PO",'caseload data'!$A:$A,$B$42)</f>
        <v>0</v>
      </c>
      <c r="Q42" s="94">
        <f>SUMIFS('caseload data'!R:R,'caseload data'!$D:$D,"PO",'caseload data'!$A:$A,$B$42)</f>
        <v>0</v>
      </c>
      <c r="R42" s="94">
        <f>SUMIFS('caseload data'!S:S,'caseload data'!$D:$D,"PO",'caseload data'!$A:$A,$B$42)</f>
        <v>0</v>
      </c>
      <c r="S42" s="94">
        <f>SUMIFS('caseload data'!T:T,'caseload data'!$D:$D,"PO",'caseload data'!$A:$A,$B$42)</f>
        <v>0</v>
      </c>
      <c r="T42" s="94">
        <f>SUMIFS('caseload data'!V:V,'caseload data'!$D:$D,"PO",'caseload data'!$A:$A,B42)</f>
        <v>0</v>
      </c>
      <c r="U42" s="64"/>
      <c r="V42" s="64"/>
      <c r="W42" s="503" t="s">
        <v>24</v>
      </c>
      <c r="X42" s="128" t="s">
        <v>947</v>
      </c>
      <c r="Y42" s="167" t="e">
        <f>SUM(D42)/SUM(D$42:D$46)</f>
        <v>#DIV/0!</v>
      </c>
      <c r="Z42" s="167" t="e">
        <f t="shared" ref="Z42:AO46" si="33">SUM(E42)/SUM(E$42:E$46)</f>
        <v>#DIV/0!</v>
      </c>
      <c r="AA42" s="167" t="e">
        <f t="shared" si="33"/>
        <v>#DIV/0!</v>
      </c>
      <c r="AB42" s="167" t="e">
        <f t="shared" si="33"/>
        <v>#DIV/0!</v>
      </c>
      <c r="AC42" s="167" t="e">
        <f t="shared" si="33"/>
        <v>#DIV/0!</v>
      </c>
      <c r="AD42" s="167" t="e">
        <f t="shared" si="33"/>
        <v>#DIV/0!</v>
      </c>
      <c r="AE42" s="167" t="e">
        <f t="shared" si="33"/>
        <v>#DIV/0!</v>
      </c>
      <c r="AF42" s="167" t="e">
        <f t="shared" si="33"/>
        <v>#DIV/0!</v>
      </c>
      <c r="AG42" s="167" t="e">
        <f t="shared" si="33"/>
        <v>#DIV/0!</v>
      </c>
      <c r="AH42" s="167" t="e">
        <f t="shared" si="33"/>
        <v>#DIV/0!</v>
      </c>
      <c r="AI42" s="167" t="e">
        <f t="shared" si="33"/>
        <v>#DIV/0!</v>
      </c>
      <c r="AJ42" s="167" t="e">
        <f t="shared" si="33"/>
        <v>#DIV/0!</v>
      </c>
      <c r="AK42" s="167" t="e">
        <f t="shared" si="33"/>
        <v>#DIV/0!</v>
      </c>
      <c r="AL42" s="167" t="e">
        <f t="shared" si="33"/>
        <v>#DIV/0!</v>
      </c>
      <c r="AM42" s="167" t="e">
        <f t="shared" si="33"/>
        <v>#DIV/0!</v>
      </c>
      <c r="AN42" s="167" t="e">
        <f t="shared" si="33"/>
        <v>#DIV/0!</v>
      </c>
      <c r="AO42" s="167" t="e">
        <f t="shared" si="33"/>
        <v>#DIV/0!</v>
      </c>
    </row>
    <row r="43" spans="2:41" x14ac:dyDescent="0.15">
      <c r="B43" s="510"/>
      <c r="C43" s="129" t="s">
        <v>952</v>
      </c>
      <c r="D43" s="368">
        <f>SUMIFS('caseload data'!E:E,'caseload data'!$D:$D,"PSO",'caseload data'!$A:$A,"South Central")</f>
        <v>0</v>
      </c>
      <c r="E43" s="94">
        <f>SUMIFS('caseload data'!F:F,'caseload data'!$D:$D,"PSO",'caseload data'!$A:$A,"South Central")</f>
        <v>0</v>
      </c>
      <c r="F43" s="94">
        <f>SUMIFS('caseload data'!G:G,'caseload data'!$D:$D,"PSO",'caseload data'!$A:$A,"South Central")</f>
        <v>0</v>
      </c>
      <c r="G43" s="94">
        <f>SUMIFS('caseload data'!H:H,'caseload data'!$D:$D,"PSO",'caseload data'!$A:$A,"South Central")</f>
        <v>0</v>
      </c>
      <c r="H43" s="94">
        <f>SUMIFS('caseload data'!I:I,'caseload data'!$D:$D,"PSO",'caseload data'!$A:$A,"South Central")</f>
        <v>0</v>
      </c>
      <c r="I43" s="94">
        <f>SUMIFS('caseload data'!J:J,'caseload data'!$D:$D,"PSO",'caseload data'!$A:$A,"South Central")</f>
        <v>0</v>
      </c>
      <c r="J43" s="94">
        <f>SUMIFS('caseload data'!K:K,'caseload data'!$D:$D,"PSO",'caseload data'!$A:$A,"South Central")</f>
        <v>0</v>
      </c>
      <c r="K43" s="94">
        <f>SUMIFS('caseload data'!L:L,'caseload data'!$D:$D,"PSO",'caseload data'!$A:$A,"South Central")</f>
        <v>0</v>
      </c>
      <c r="L43" s="94">
        <f>SUMIFS('caseload data'!M:M,'caseload data'!$D:$D,"PSO",'caseload data'!$A:$A,"South Central")</f>
        <v>0</v>
      </c>
      <c r="M43" s="94">
        <f>SUMIFS('caseload data'!N:N,'caseload data'!$D:$D,"PSO",'caseload data'!$A:$A,"South Central")</f>
        <v>0</v>
      </c>
      <c r="N43" s="94">
        <f>SUMIFS('caseload data'!O:O,'caseload data'!$D:$D,"PSO",'caseload data'!$A:$A,"South Central")</f>
        <v>0</v>
      </c>
      <c r="O43" s="94">
        <f>SUMIFS('caseload data'!P:P,'caseload data'!$D:$D,"PSO",'caseload data'!$A:$A,"South Central")</f>
        <v>0</v>
      </c>
      <c r="P43" s="94">
        <f>SUMIFS('caseload data'!Q:Q,'caseload data'!$D:$D,"PSO",'caseload data'!$A:$A,"South Central")</f>
        <v>0</v>
      </c>
      <c r="Q43" s="94">
        <f>SUMIFS('caseload data'!R:R,'caseload data'!$D:$D,"PSO",'caseload data'!$A:$A,"South Central")</f>
        <v>0</v>
      </c>
      <c r="R43" s="94">
        <f>SUMIFS('caseload data'!S:S,'caseload data'!$D:$D,"PSO",'caseload data'!$A:$A,"South Central")</f>
        <v>0</v>
      </c>
      <c r="S43" s="94">
        <f>SUMIFS('caseload data'!T:T,'caseload data'!$D:$D,"PSO",'caseload data'!$A:$A,"South Central")</f>
        <v>0</v>
      </c>
      <c r="T43" s="94">
        <f>SUMIFS('caseload data'!V:V,'caseload data'!$D:$D,"PSO",'caseload data'!$A:$A,"South Central")</f>
        <v>0</v>
      </c>
      <c r="U43" s="64"/>
      <c r="V43" s="64"/>
      <c r="W43" s="504"/>
      <c r="X43" s="129" t="s">
        <v>952</v>
      </c>
      <c r="Y43" s="167" t="e">
        <f t="shared" ref="Y43:Y46" si="34">SUM(D43)/SUM(D$42:D$46)</f>
        <v>#DIV/0!</v>
      </c>
      <c r="Z43" s="167" t="e">
        <f t="shared" si="33"/>
        <v>#DIV/0!</v>
      </c>
      <c r="AA43" s="167" t="e">
        <f t="shared" si="33"/>
        <v>#DIV/0!</v>
      </c>
      <c r="AB43" s="167" t="e">
        <f t="shared" si="33"/>
        <v>#DIV/0!</v>
      </c>
      <c r="AC43" s="167" t="e">
        <f t="shared" si="33"/>
        <v>#DIV/0!</v>
      </c>
      <c r="AD43" s="167" t="e">
        <f t="shared" si="33"/>
        <v>#DIV/0!</v>
      </c>
      <c r="AE43" s="167" t="e">
        <f t="shared" si="33"/>
        <v>#DIV/0!</v>
      </c>
      <c r="AF43" s="167" t="e">
        <f t="shared" si="33"/>
        <v>#DIV/0!</v>
      </c>
      <c r="AG43" s="167" t="e">
        <f t="shared" si="33"/>
        <v>#DIV/0!</v>
      </c>
      <c r="AH43" s="167" t="e">
        <f t="shared" si="33"/>
        <v>#DIV/0!</v>
      </c>
      <c r="AI43" s="167" t="e">
        <f t="shared" si="33"/>
        <v>#DIV/0!</v>
      </c>
      <c r="AJ43" s="167" t="e">
        <f t="shared" si="33"/>
        <v>#DIV/0!</v>
      </c>
      <c r="AK43" s="167" t="e">
        <f t="shared" si="33"/>
        <v>#DIV/0!</v>
      </c>
      <c r="AL43" s="167" t="e">
        <f t="shared" si="33"/>
        <v>#DIV/0!</v>
      </c>
      <c r="AM43" s="167" t="e">
        <f t="shared" si="33"/>
        <v>#DIV/0!</v>
      </c>
      <c r="AN43" s="167" t="e">
        <f t="shared" si="33"/>
        <v>#DIV/0!</v>
      </c>
      <c r="AO43" s="167" t="e">
        <f t="shared" si="33"/>
        <v>#DIV/0!</v>
      </c>
    </row>
    <row r="44" spans="2:41" x14ac:dyDescent="0.15">
      <c r="B44" s="510"/>
      <c r="C44" s="129" t="s">
        <v>953</v>
      </c>
      <c r="D44" s="368">
        <f>SUMIFS('caseload data'!E:E,'caseload data'!$D:$D,"TPO",'caseload data'!$A:$A,"South Central")</f>
        <v>0</v>
      </c>
      <c r="E44" s="94">
        <f>SUMIFS('caseload data'!F:F,'caseload data'!$D:$D,"TPO",'caseload data'!$A:$A,"South Central")</f>
        <v>0</v>
      </c>
      <c r="F44" s="94">
        <f>SUMIFS('caseload data'!G:G,'caseload data'!$D:$D,"TPO",'caseload data'!$A:$A,"South Central")</f>
        <v>0</v>
      </c>
      <c r="G44" s="94">
        <f>SUMIFS('caseload data'!H:H,'caseload data'!$D:$D,"TPO",'caseload data'!$A:$A,"South Central")</f>
        <v>0</v>
      </c>
      <c r="H44" s="94">
        <f>SUMIFS('caseload data'!I:I,'caseload data'!$D:$D,"TPO",'caseload data'!$A:$A,"South Central")</f>
        <v>0</v>
      </c>
      <c r="I44" s="94">
        <f>SUMIFS('caseload data'!J:J,'caseload data'!$D:$D,"TPO",'caseload data'!$A:$A,"South Central")</f>
        <v>0</v>
      </c>
      <c r="J44" s="94">
        <f>SUMIFS('caseload data'!K:K,'caseload data'!$D:$D,"TPO",'caseload data'!$A:$A,"South Central")</f>
        <v>0</v>
      </c>
      <c r="K44" s="94">
        <f>SUMIFS('caseload data'!L:L,'caseload data'!$D:$D,"TPO",'caseload data'!$A:$A,"South Central")</f>
        <v>0</v>
      </c>
      <c r="L44" s="94">
        <f>SUMIFS('caseload data'!M:M,'caseload data'!$D:$D,"TPO",'caseload data'!$A:$A,"South Central")</f>
        <v>0</v>
      </c>
      <c r="M44" s="94">
        <f>SUMIFS('caseload data'!N:N,'caseload data'!$D:$D,"TPO",'caseload data'!$A:$A,"South Central")</f>
        <v>0</v>
      </c>
      <c r="N44" s="94">
        <f>SUMIFS('caseload data'!O:O,'caseload data'!$D:$D,"TPO",'caseload data'!$A:$A,"South Central")</f>
        <v>0</v>
      </c>
      <c r="O44" s="94">
        <f>SUMIFS('caseload data'!P:P,'caseload data'!$D:$D,"TPO",'caseload data'!$A:$A,"South Central")</f>
        <v>0</v>
      </c>
      <c r="P44" s="94">
        <f>SUMIFS('caseload data'!Q:Q,'caseload data'!$D:$D,"TPO",'caseload data'!$A:$A,"South Central")</f>
        <v>0</v>
      </c>
      <c r="Q44" s="94">
        <f>SUMIFS('caseload data'!R:R,'caseload data'!$D:$D,"TPO",'caseload data'!$A:$A,"South Central")</f>
        <v>0</v>
      </c>
      <c r="R44" s="94">
        <f>SUMIFS('caseload data'!S:S,'caseload data'!$D:$D,"TPO",'caseload data'!$A:$A,"South Central")</f>
        <v>0</v>
      </c>
      <c r="S44" s="94">
        <f>SUMIFS('caseload data'!T:T,'caseload data'!$D:$D,"TPO",'caseload data'!$A:$A,"South Central")</f>
        <v>0</v>
      </c>
      <c r="T44" s="94">
        <f>SUMIFS('caseload data'!V:V,'caseload data'!$D:$D,"TPO",'caseload data'!$A:$A,"South Central")</f>
        <v>0</v>
      </c>
      <c r="U44" s="64"/>
      <c r="V44" s="64"/>
      <c r="W44" s="504"/>
      <c r="X44" s="129" t="s">
        <v>953</v>
      </c>
      <c r="Y44" s="167" t="e">
        <f t="shared" si="34"/>
        <v>#DIV/0!</v>
      </c>
      <c r="Z44" s="167" t="e">
        <f t="shared" si="33"/>
        <v>#DIV/0!</v>
      </c>
      <c r="AA44" s="167" t="e">
        <f t="shared" si="33"/>
        <v>#DIV/0!</v>
      </c>
      <c r="AB44" s="167" t="e">
        <f t="shared" si="33"/>
        <v>#DIV/0!</v>
      </c>
      <c r="AC44" s="167" t="e">
        <f t="shared" si="33"/>
        <v>#DIV/0!</v>
      </c>
      <c r="AD44" s="167" t="e">
        <f t="shared" si="33"/>
        <v>#DIV/0!</v>
      </c>
      <c r="AE44" s="167" t="e">
        <f t="shared" si="33"/>
        <v>#DIV/0!</v>
      </c>
      <c r="AF44" s="167" t="e">
        <f t="shared" si="33"/>
        <v>#DIV/0!</v>
      </c>
      <c r="AG44" s="167" t="e">
        <f t="shared" si="33"/>
        <v>#DIV/0!</v>
      </c>
      <c r="AH44" s="167" t="e">
        <f t="shared" si="33"/>
        <v>#DIV/0!</v>
      </c>
      <c r="AI44" s="167" t="e">
        <f t="shared" si="33"/>
        <v>#DIV/0!</v>
      </c>
      <c r="AJ44" s="167" t="e">
        <f t="shared" si="33"/>
        <v>#DIV/0!</v>
      </c>
      <c r="AK44" s="167" t="e">
        <f t="shared" si="33"/>
        <v>#DIV/0!</v>
      </c>
      <c r="AL44" s="167" t="e">
        <f t="shared" si="33"/>
        <v>#DIV/0!</v>
      </c>
      <c r="AM44" s="167" t="e">
        <f t="shared" si="33"/>
        <v>#DIV/0!</v>
      </c>
      <c r="AN44" s="167" t="e">
        <f t="shared" si="33"/>
        <v>#DIV/0!</v>
      </c>
      <c r="AO44" s="167" t="e">
        <f t="shared" si="33"/>
        <v>#DIV/0!</v>
      </c>
    </row>
    <row r="45" spans="2:41" x14ac:dyDescent="0.15">
      <c r="B45" s="510"/>
      <c r="C45" s="129" t="s">
        <v>954</v>
      </c>
      <c r="D45" s="368">
        <f>SUMIFS('caseload data'!E:E,'caseload data'!$D:$D,"SPO",'caseload data'!$A:$A,"South Central")</f>
        <v>0</v>
      </c>
      <c r="E45" s="94">
        <f>SUMIFS('caseload data'!F:F,'caseload data'!$D:$D,"SPO",'caseload data'!$A:$A,"South Central")</f>
        <v>0</v>
      </c>
      <c r="F45" s="94">
        <f>SUMIFS('caseload data'!G:G,'caseload data'!$D:$D,"SPO",'caseload data'!$A:$A,"South Central")</f>
        <v>0</v>
      </c>
      <c r="G45" s="94">
        <f>SUMIFS('caseload data'!H:H,'caseload data'!$D:$D,"SPO",'caseload data'!$A:$A,"South Central")</f>
        <v>0</v>
      </c>
      <c r="H45" s="94">
        <f>SUMIFS('caseload data'!I:I,'caseload data'!$D:$D,"SPO",'caseload data'!$A:$A,"South Central")</f>
        <v>0</v>
      </c>
      <c r="I45" s="94">
        <f>SUMIFS('caseload data'!J:J,'caseload data'!$D:$D,"SPO",'caseload data'!$A:$A,"South Central")</f>
        <v>0</v>
      </c>
      <c r="J45" s="94">
        <f>SUMIFS('caseload data'!K:K,'caseload data'!$D:$D,"SPO",'caseload data'!$A:$A,"South Central")</f>
        <v>0</v>
      </c>
      <c r="K45" s="94">
        <f>SUMIFS('caseload data'!L:L,'caseload data'!$D:$D,"SPO",'caseload data'!$A:$A,"South Central")</f>
        <v>0</v>
      </c>
      <c r="L45" s="94">
        <f>SUMIFS('caseload data'!M:M,'caseload data'!$D:$D,"SPO",'caseload data'!$A:$A,"South Central")</f>
        <v>0</v>
      </c>
      <c r="M45" s="94">
        <f>SUMIFS('caseload data'!N:N,'caseload data'!$D:$D,"SPO",'caseload data'!$A:$A,"South Central")</f>
        <v>0</v>
      </c>
      <c r="N45" s="94">
        <f>SUMIFS('caseload data'!O:O,'caseload data'!$D:$D,"SPO",'caseload data'!$A:$A,"South Central")</f>
        <v>0</v>
      </c>
      <c r="O45" s="94">
        <f>SUMIFS('caseload data'!P:P,'caseload data'!$D:$D,"SPO",'caseload data'!$A:$A,"South Central")</f>
        <v>0</v>
      </c>
      <c r="P45" s="94">
        <f>SUMIFS('caseload data'!Q:Q,'caseload data'!$D:$D,"SPO",'caseload data'!$A:$A,"South Central")</f>
        <v>0</v>
      </c>
      <c r="Q45" s="94">
        <f>SUMIFS('caseload data'!R:R,'caseload data'!$D:$D,"SPO",'caseload data'!$A:$A,"South Central")</f>
        <v>0</v>
      </c>
      <c r="R45" s="94">
        <f>SUMIFS('caseload data'!S:S,'caseload data'!$D:$D,"SPO",'caseload data'!$A:$A,"South Central")</f>
        <v>0</v>
      </c>
      <c r="S45" s="94">
        <f>SUMIFS('caseload data'!T:T,'caseload data'!$D:$D,"SPO",'caseload data'!$A:$A,"South Central")</f>
        <v>0</v>
      </c>
      <c r="T45" s="94">
        <f>SUMIFS('caseload data'!V:V,'caseload data'!$D:$D,"SPO",'caseload data'!$A:$A,"South Central")</f>
        <v>0</v>
      </c>
      <c r="U45" s="64"/>
      <c r="V45" s="64"/>
      <c r="W45" s="504"/>
      <c r="X45" s="129" t="s">
        <v>954</v>
      </c>
      <c r="Y45" s="167" t="e">
        <f t="shared" si="34"/>
        <v>#DIV/0!</v>
      </c>
      <c r="Z45" s="167" t="e">
        <f t="shared" si="33"/>
        <v>#DIV/0!</v>
      </c>
      <c r="AA45" s="167" t="e">
        <f t="shared" si="33"/>
        <v>#DIV/0!</v>
      </c>
      <c r="AB45" s="167" t="e">
        <f t="shared" si="33"/>
        <v>#DIV/0!</v>
      </c>
      <c r="AC45" s="167" t="e">
        <f t="shared" si="33"/>
        <v>#DIV/0!</v>
      </c>
      <c r="AD45" s="167" t="e">
        <f t="shared" si="33"/>
        <v>#DIV/0!</v>
      </c>
      <c r="AE45" s="167" t="e">
        <f t="shared" si="33"/>
        <v>#DIV/0!</v>
      </c>
      <c r="AF45" s="167" t="e">
        <f t="shared" si="33"/>
        <v>#DIV/0!</v>
      </c>
      <c r="AG45" s="167" t="e">
        <f t="shared" si="33"/>
        <v>#DIV/0!</v>
      </c>
      <c r="AH45" s="167" t="e">
        <f t="shared" si="33"/>
        <v>#DIV/0!</v>
      </c>
      <c r="AI45" s="167" t="e">
        <f t="shared" si="33"/>
        <v>#DIV/0!</v>
      </c>
      <c r="AJ45" s="167" t="e">
        <f t="shared" si="33"/>
        <v>#DIV/0!</v>
      </c>
      <c r="AK45" s="167" t="e">
        <f t="shared" si="33"/>
        <v>#DIV/0!</v>
      </c>
      <c r="AL45" s="167" t="e">
        <f t="shared" si="33"/>
        <v>#DIV/0!</v>
      </c>
      <c r="AM45" s="167" t="e">
        <f t="shared" si="33"/>
        <v>#DIV/0!</v>
      </c>
      <c r="AN45" s="167" t="e">
        <f t="shared" si="33"/>
        <v>#DIV/0!</v>
      </c>
      <c r="AO45" s="167" t="e">
        <f t="shared" si="33"/>
        <v>#DIV/0!</v>
      </c>
    </row>
    <row r="46" spans="2:41" x14ac:dyDescent="0.15">
      <c r="B46" s="511"/>
      <c r="C46" s="130" t="s">
        <v>1286</v>
      </c>
      <c r="D46" s="368">
        <f>SUMIFS('caseload data'!E:E,'caseload data'!$D:$D,"DMY",'caseload data'!$A:$A,"South Central")</f>
        <v>0</v>
      </c>
      <c r="E46" s="368">
        <f>SUMIFS('caseload data'!F:F,'caseload data'!$D:$D,"DMY",'caseload data'!$A:$A,"South Central")</f>
        <v>0</v>
      </c>
      <c r="F46" s="368">
        <f>SUMIFS('caseload data'!G:G,'caseload data'!$D:$D,"DMY",'caseload data'!$A:$A,"South Central")</f>
        <v>0</v>
      </c>
      <c r="G46" s="368">
        <f>SUMIFS('caseload data'!H:H,'caseload data'!$D:$D,"DMY",'caseload data'!$A:$A,"South Central")</f>
        <v>0</v>
      </c>
      <c r="H46" s="368">
        <f>SUMIFS('caseload data'!I:I,'caseload data'!$D:$D,"DMY",'caseload data'!$A:$A,"South Central")</f>
        <v>0</v>
      </c>
      <c r="I46" s="368">
        <f>SUMIFS('caseload data'!J:J,'caseload data'!$D:$D,"DMY",'caseload data'!$A:$A,"South Central")</f>
        <v>0</v>
      </c>
      <c r="J46" s="368">
        <f>SUMIFS('caseload data'!K:K,'caseload data'!$D:$D,"DMY",'caseload data'!$A:$A,"South Central")</f>
        <v>0</v>
      </c>
      <c r="K46" s="368">
        <f>SUMIFS('caseload data'!L:L,'caseload data'!$D:$D,"DMY",'caseload data'!$A:$A,"South Central")</f>
        <v>0</v>
      </c>
      <c r="L46" s="368">
        <f>SUMIFS('caseload data'!M:M,'caseload data'!$D:$D,"DMY",'caseload data'!$A:$A,"South Central")</f>
        <v>0</v>
      </c>
      <c r="M46" s="368">
        <f>SUMIFS('caseload data'!N:N,'caseload data'!$D:$D,"DMY",'caseload data'!$A:$A,"South Central")</f>
        <v>0</v>
      </c>
      <c r="N46" s="368">
        <f>SUMIFS('caseload data'!O:O,'caseload data'!$D:$D,"DMY",'caseload data'!$A:$A,"South Central")</f>
        <v>0</v>
      </c>
      <c r="O46" s="368">
        <f>SUMIFS('caseload data'!P:P,'caseload data'!$D:$D,"DMY",'caseload data'!$A:$A,"South Central")</f>
        <v>0</v>
      </c>
      <c r="P46" s="368">
        <f>SUMIFS('caseload data'!Q:Q,'caseload data'!$D:$D,"DMY",'caseload data'!$A:$A,"South Central")</f>
        <v>0</v>
      </c>
      <c r="Q46" s="368">
        <f>SUMIFS('caseload data'!R:R,'caseload data'!$D:$D,"DMY",'caseload data'!$A:$A,"South Central")</f>
        <v>0</v>
      </c>
      <c r="R46" s="368">
        <f>SUMIFS('caseload data'!S:S,'caseload data'!$D:$D,"DMY",'caseload data'!$A:$A,"South Central")</f>
        <v>0</v>
      </c>
      <c r="S46" s="368">
        <f>SUMIFS('caseload data'!T:T,'caseload data'!$D:$D,"DMY",'caseload data'!$A:$A,"South Central")</f>
        <v>0</v>
      </c>
      <c r="T46" s="94">
        <f>SUMIFS('caseload data'!V:V,'caseload data'!$D:$D,"DMY",'caseload data'!$A:$A,"South Central")</f>
        <v>0</v>
      </c>
      <c r="U46" s="64"/>
      <c r="V46" s="64"/>
      <c r="W46" s="505"/>
      <c r="X46" s="130" t="s">
        <v>1286</v>
      </c>
      <c r="Y46" s="167" t="e">
        <f t="shared" si="34"/>
        <v>#DIV/0!</v>
      </c>
      <c r="Z46" s="167" t="e">
        <f t="shared" si="33"/>
        <v>#DIV/0!</v>
      </c>
      <c r="AA46" s="167" t="e">
        <f t="shared" si="33"/>
        <v>#DIV/0!</v>
      </c>
      <c r="AB46" s="167" t="e">
        <f t="shared" si="33"/>
        <v>#DIV/0!</v>
      </c>
      <c r="AC46" s="167" t="e">
        <f t="shared" si="33"/>
        <v>#DIV/0!</v>
      </c>
      <c r="AD46" s="167" t="e">
        <f t="shared" si="33"/>
        <v>#DIV/0!</v>
      </c>
      <c r="AE46" s="167" t="e">
        <f t="shared" si="33"/>
        <v>#DIV/0!</v>
      </c>
      <c r="AF46" s="167" t="e">
        <f t="shared" si="33"/>
        <v>#DIV/0!</v>
      </c>
      <c r="AG46" s="167" t="e">
        <f t="shared" si="33"/>
        <v>#DIV/0!</v>
      </c>
      <c r="AH46" s="167" t="e">
        <f t="shared" si="33"/>
        <v>#DIV/0!</v>
      </c>
      <c r="AI46" s="167" t="e">
        <f t="shared" si="33"/>
        <v>#DIV/0!</v>
      </c>
      <c r="AJ46" s="167" t="e">
        <f t="shared" si="33"/>
        <v>#DIV/0!</v>
      </c>
      <c r="AK46" s="167" t="e">
        <f t="shared" si="33"/>
        <v>#DIV/0!</v>
      </c>
      <c r="AL46" s="167" t="e">
        <f t="shared" si="33"/>
        <v>#DIV/0!</v>
      </c>
      <c r="AM46" s="167" t="e">
        <f t="shared" si="33"/>
        <v>#DIV/0!</v>
      </c>
      <c r="AN46" s="167" t="e">
        <f t="shared" si="33"/>
        <v>#DIV/0!</v>
      </c>
      <c r="AO46" s="167" t="e">
        <f t="shared" si="33"/>
        <v>#DIV/0!</v>
      </c>
    </row>
    <row r="47" spans="2:41" x14ac:dyDescent="0.15">
      <c r="B47" s="509" t="s">
        <v>25</v>
      </c>
      <c r="C47" s="128" t="s">
        <v>947</v>
      </c>
      <c r="D47" s="368">
        <f>SUMIFS('caseload data'!E:E,'caseload data'!$D:$D,"PO",'caseload data'!$A:$A,$B$47)</f>
        <v>0</v>
      </c>
      <c r="E47" s="94">
        <f>SUMIFS('caseload data'!F:F,'caseload data'!$D:$D,"PO",'caseload data'!$A:$A,$B$47)</f>
        <v>0</v>
      </c>
      <c r="F47" s="94">
        <f>SUMIFS('caseload data'!G:G,'caseload data'!$D:$D,"PO",'caseload data'!$A:$A,$B$47)</f>
        <v>0</v>
      </c>
      <c r="G47" s="94">
        <f>SUMIFS('caseload data'!H:H,'caseload data'!$D:$D,"PO",'caseload data'!$A:$A,$B$47)</f>
        <v>0</v>
      </c>
      <c r="H47" s="94">
        <f>SUMIFS('caseload data'!I:I,'caseload data'!$D:$D,"PO",'caseload data'!$A:$A,$B$47)</f>
        <v>0</v>
      </c>
      <c r="I47" s="94">
        <f>SUMIFS('caseload data'!J:J,'caseload data'!$D:$D,"PO",'caseload data'!$A:$A,$B$47)</f>
        <v>0</v>
      </c>
      <c r="J47" s="94">
        <f>SUMIFS('caseload data'!K:K,'caseload data'!$D:$D,"PO",'caseload data'!$A:$A,$B$47)</f>
        <v>0</v>
      </c>
      <c r="K47" s="94">
        <f>SUMIFS('caseload data'!L:L,'caseload data'!$D:$D,"PO",'caseload data'!$A:$A,$B$47)</f>
        <v>0</v>
      </c>
      <c r="L47" s="94">
        <f>SUMIFS('caseload data'!M:M,'caseload data'!$D:$D,"PO",'caseload data'!$A:$A,$B$47)</f>
        <v>0</v>
      </c>
      <c r="M47" s="94">
        <f>SUMIFS('caseload data'!N:N,'caseload data'!$D:$D,"PO",'caseload data'!$A:$A,$B$47)</f>
        <v>0</v>
      </c>
      <c r="N47" s="94">
        <f>SUMIFS('caseload data'!O:O,'caseload data'!$D:$D,"PO",'caseload data'!$A:$A,$B$47)</f>
        <v>0</v>
      </c>
      <c r="O47" s="94">
        <f>SUMIFS('caseload data'!P:P,'caseload data'!$D:$D,"PO",'caseload data'!$A:$A,$B$47)</f>
        <v>0</v>
      </c>
      <c r="P47" s="94">
        <f>SUMIFS('caseload data'!Q:Q,'caseload data'!$D:$D,"PO",'caseload data'!$A:$A,$B$47)</f>
        <v>0</v>
      </c>
      <c r="Q47" s="94">
        <f>SUMIFS('caseload data'!R:R,'caseload data'!$D:$D,"PO",'caseload data'!$A:$A,$B$47)</f>
        <v>0</v>
      </c>
      <c r="R47" s="94">
        <f>SUMIFS('caseload data'!S:S,'caseload data'!$D:$D,"PO",'caseload data'!$A:$A,$B$47)</f>
        <v>0</v>
      </c>
      <c r="S47" s="94">
        <f>SUMIFS('caseload data'!T:T,'caseload data'!$D:$D,"PO",'caseload data'!$A:$A,$B$47)</f>
        <v>0</v>
      </c>
      <c r="T47" s="94">
        <f>SUMIFS('caseload data'!V:V,'caseload data'!$D:$D,"PO",'caseload data'!$A:$A,B47)</f>
        <v>0</v>
      </c>
      <c r="U47" s="64"/>
      <c r="V47" s="64"/>
      <c r="W47" s="503" t="s">
        <v>25</v>
      </c>
      <c r="X47" s="128" t="s">
        <v>947</v>
      </c>
      <c r="Y47" s="167" t="e">
        <f>SUM(D47)/SUM(D$47:D$51)</f>
        <v>#DIV/0!</v>
      </c>
      <c r="Z47" s="167" t="e">
        <f t="shared" ref="Z47:AO51" si="35">SUM(E47)/SUM(E$47:E$51)</f>
        <v>#DIV/0!</v>
      </c>
      <c r="AA47" s="167" t="e">
        <f t="shared" si="35"/>
        <v>#DIV/0!</v>
      </c>
      <c r="AB47" s="167" t="e">
        <f t="shared" si="35"/>
        <v>#DIV/0!</v>
      </c>
      <c r="AC47" s="167" t="e">
        <f t="shared" si="35"/>
        <v>#DIV/0!</v>
      </c>
      <c r="AD47" s="167" t="e">
        <f t="shared" si="35"/>
        <v>#DIV/0!</v>
      </c>
      <c r="AE47" s="167" t="e">
        <f t="shared" si="35"/>
        <v>#DIV/0!</v>
      </c>
      <c r="AF47" s="167" t="e">
        <f t="shared" si="35"/>
        <v>#DIV/0!</v>
      </c>
      <c r="AG47" s="167" t="e">
        <f t="shared" si="35"/>
        <v>#DIV/0!</v>
      </c>
      <c r="AH47" s="167" t="e">
        <f t="shared" si="35"/>
        <v>#DIV/0!</v>
      </c>
      <c r="AI47" s="167" t="e">
        <f t="shared" si="35"/>
        <v>#DIV/0!</v>
      </c>
      <c r="AJ47" s="167" t="e">
        <f t="shared" si="35"/>
        <v>#DIV/0!</v>
      </c>
      <c r="AK47" s="167" t="e">
        <f t="shared" si="35"/>
        <v>#DIV/0!</v>
      </c>
      <c r="AL47" s="167" t="e">
        <f t="shared" si="35"/>
        <v>#DIV/0!</v>
      </c>
      <c r="AM47" s="167" t="e">
        <f t="shared" si="35"/>
        <v>#DIV/0!</v>
      </c>
      <c r="AN47" s="167" t="e">
        <f t="shared" si="35"/>
        <v>#DIV/0!</v>
      </c>
      <c r="AO47" s="167" t="e">
        <f t="shared" si="35"/>
        <v>#DIV/0!</v>
      </c>
    </row>
    <row r="48" spans="2:41" x14ac:dyDescent="0.15">
      <c r="B48" s="510"/>
      <c r="C48" s="129" t="s">
        <v>952</v>
      </c>
      <c r="D48" s="368">
        <f>SUMIFS('caseload data'!E:E,'caseload data'!$D:$D,"PSO",'caseload data'!$A:$A,"South West")</f>
        <v>0</v>
      </c>
      <c r="E48" s="94">
        <f>SUMIFS('caseload data'!F:F,'caseload data'!$D:$D,"PSO",'caseload data'!$A:$A,"South West")</f>
        <v>0</v>
      </c>
      <c r="F48" s="94">
        <f>SUMIFS('caseload data'!G:G,'caseload data'!$D:$D,"PSO",'caseload data'!$A:$A,"South West")</f>
        <v>0</v>
      </c>
      <c r="G48" s="94">
        <f>SUMIFS('caseload data'!H:H,'caseload data'!$D:$D,"PSO",'caseload data'!$A:$A,"South West")</f>
        <v>0</v>
      </c>
      <c r="H48" s="94">
        <f>SUMIFS('caseload data'!I:I,'caseload data'!$D:$D,"PSO",'caseload data'!$A:$A,"South West")</f>
        <v>0</v>
      </c>
      <c r="I48" s="94">
        <f>SUMIFS('caseload data'!J:J,'caseload data'!$D:$D,"PSO",'caseload data'!$A:$A,"South West")</f>
        <v>0</v>
      </c>
      <c r="J48" s="94">
        <f>SUMIFS('caseload data'!K:K,'caseload data'!$D:$D,"PSO",'caseload data'!$A:$A,"South West")</f>
        <v>0</v>
      </c>
      <c r="K48" s="94">
        <f>SUMIFS('caseload data'!L:L,'caseload data'!$D:$D,"PSO",'caseload data'!$A:$A,"South West")</f>
        <v>0</v>
      </c>
      <c r="L48" s="94">
        <f>SUMIFS('caseload data'!M:M,'caseload data'!$D:$D,"PSO",'caseload data'!$A:$A,"South West")</f>
        <v>0</v>
      </c>
      <c r="M48" s="94">
        <f>SUMIFS('caseload data'!N:N,'caseload data'!$D:$D,"PSO",'caseload data'!$A:$A,"South West")</f>
        <v>0</v>
      </c>
      <c r="N48" s="94">
        <f>SUMIFS('caseload data'!O:O,'caseload data'!$D:$D,"PSO",'caseload data'!$A:$A,"South West")</f>
        <v>0</v>
      </c>
      <c r="O48" s="94">
        <f>SUMIFS('caseload data'!P:P,'caseload data'!$D:$D,"PSO",'caseload data'!$A:$A,"South West")</f>
        <v>0</v>
      </c>
      <c r="P48" s="94">
        <f>SUMIFS('caseload data'!Q:Q,'caseload data'!$D:$D,"PSO",'caseload data'!$A:$A,"South West")</f>
        <v>0</v>
      </c>
      <c r="Q48" s="94">
        <f>SUMIFS('caseload data'!R:R,'caseload data'!$D:$D,"PSO",'caseload data'!$A:$A,"South West")</f>
        <v>0</v>
      </c>
      <c r="R48" s="94">
        <f>SUMIFS('caseload data'!S:S,'caseload data'!$D:$D,"PSO",'caseload data'!$A:$A,"South West")</f>
        <v>0</v>
      </c>
      <c r="S48" s="94">
        <f>SUMIFS('caseload data'!T:T,'caseload data'!$D:$D,"PSO",'caseload data'!$A:$A,"South West")</f>
        <v>0</v>
      </c>
      <c r="T48" s="94">
        <f>SUMIFS('caseload data'!V:V,'caseload data'!$D:$D,"PSO",'caseload data'!$A:$A,"South West")</f>
        <v>0</v>
      </c>
      <c r="U48" s="64"/>
      <c r="V48" s="64"/>
      <c r="W48" s="504"/>
      <c r="X48" s="129" t="s">
        <v>952</v>
      </c>
      <c r="Y48" s="167" t="e">
        <f t="shared" ref="Y48:Y51" si="36">SUM(D48)/SUM(D$47:D$51)</f>
        <v>#DIV/0!</v>
      </c>
      <c r="Z48" s="167" t="e">
        <f t="shared" si="35"/>
        <v>#DIV/0!</v>
      </c>
      <c r="AA48" s="167" t="e">
        <f t="shared" si="35"/>
        <v>#DIV/0!</v>
      </c>
      <c r="AB48" s="167" t="e">
        <f t="shared" si="35"/>
        <v>#DIV/0!</v>
      </c>
      <c r="AC48" s="167" t="e">
        <f t="shared" si="35"/>
        <v>#DIV/0!</v>
      </c>
      <c r="AD48" s="167" t="e">
        <f t="shared" si="35"/>
        <v>#DIV/0!</v>
      </c>
      <c r="AE48" s="167" t="e">
        <f t="shared" si="35"/>
        <v>#DIV/0!</v>
      </c>
      <c r="AF48" s="167" t="e">
        <f t="shared" si="35"/>
        <v>#DIV/0!</v>
      </c>
      <c r="AG48" s="167" t="e">
        <f t="shared" si="35"/>
        <v>#DIV/0!</v>
      </c>
      <c r="AH48" s="167" t="e">
        <f t="shared" si="35"/>
        <v>#DIV/0!</v>
      </c>
      <c r="AI48" s="167" t="e">
        <f t="shared" si="35"/>
        <v>#DIV/0!</v>
      </c>
      <c r="AJ48" s="167" t="e">
        <f t="shared" si="35"/>
        <v>#DIV/0!</v>
      </c>
      <c r="AK48" s="167" t="e">
        <f t="shared" si="35"/>
        <v>#DIV/0!</v>
      </c>
      <c r="AL48" s="167" t="e">
        <f t="shared" si="35"/>
        <v>#DIV/0!</v>
      </c>
      <c r="AM48" s="167" t="e">
        <f t="shared" si="35"/>
        <v>#DIV/0!</v>
      </c>
      <c r="AN48" s="167" t="e">
        <f t="shared" si="35"/>
        <v>#DIV/0!</v>
      </c>
      <c r="AO48" s="167" t="e">
        <f t="shared" si="35"/>
        <v>#DIV/0!</v>
      </c>
    </row>
    <row r="49" spans="2:41" x14ac:dyDescent="0.15">
      <c r="B49" s="510"/>
      <c r="C49" s="129" t="s">
        <v>953</v>
      </c>
      <c r="D49" s="368">
        <f>SUMIFS('caseload data'!E:E,'caseload data'!$D:$D,"TPO",'caseload data'!$A:$A,"South West")</f>
        <v>0</v>
      </c>
      <c r="E49" s="94">
        <f>SUMIFS('caseload data'!F:F,'caseload data'!$D:$D,"TPO",'caseload data'!$A:$A,"South West")</f>
        <v>0</v>
      </c>
      <c r="F49" s="94">
        <f>SUMIFS('caseload data'!G:G,'caseload data'!$D:$D,"TPO",'caseload data'!$A:$A,"South West")</f>
        <v>0</v>
      </c>
      <c r="G49" s="94">
        <f>SUMIFS('caseload data'!H:H,'caseload data'!$D:$D,"TPO",'caseload data'!$A:$A,"South West")</f>
        <v>0</v>
      </c>
      <c r="H49" s="94">
        <f>SUMIFS('caseload data'!I:I,'caseload data'!$D:$D,"TPO",'caseload data'!$A:$A,"South West")</f>
        <v>0</v>
      </c>
      <c r="I49" s="94">
        <f>SUMIFS('caseload data'!J:J,'caseload data'!$D:$D,"TPO",'caseload data'!$A:$A,"South West")</f>
        <v>0</v>
      </c>
      <c r="J49" s="94">
        <f>SUMIFS('caseload data'!K:K,'caseload data'!$D:$D,"TPO",'caseload data'!$A:$A,"South West")</f>
        <v>0</v>
      </c>
      <c r="K49" s="94">
        <f>SUMIFS('caseload data'!L:L,'caseload data'!$D:$D,"TPO",'caseload data'!$A:$A,"South West")</f>
        <v>0</v>
      </c>
      <c r="L49" s="94">
        <f>SUMIFS('caseload data'!M:M,'caseload data'!$D:$D,"TPO",'caseload data'!$A:$A,"South West")</f>
        <v>0</v>
      </c>
      <c r="M49" s="94">
        <f>SUMIFS('caseload data'!N:N,'caseload data'!$D:$D,"TPO",'caseload data'!$A:$A,"South West")</f>
        <v>0</v>
      </c>
      <c r="N49" s="94">
        <f>SUMIFS('caseload data'!O:O,'caseload data'!$D:$D,"TPO",'caseload data'!$A:$A,"South West")</f>
        <v>0</v>
      </c>
      <c r="O49" s="94">
        <f>SUMIFS('caseload data'!P:P,'caseload data'!$D:$D,"TPO",'caseload data'!$A:$A,"South West")</f>
        <v>0</v>
      </c>
      <c r="P49" s="94">
        <f>SUMIFS('caseload data'!Q:Q,'caseload data'!$D:$D,"TPO",'caseload data'!$A:$A,"South West")</f>
        <v>0</v>
      </c>
      <c r="Q49" s="94">
        <f>SUMIFS('caseload data'!R:R,'caseload data'!$D:$D,"TPO",'caseload data'!$A:$A,"South West")</f>
        <v>0</v>
      </c>
      <c r="R49" s="94">
        <f>SUMIFS('caseload data'!S:S,'caseload data'!$D:$D,"TPO",'caseload data'!$A:$A,"South West")</f>
        <v>0</v>
      </c>
      <c r="S49" s="94">
        <f>SUMIFS('caseload data'!T:T,'caseload data'!$D:$D,"TPO",'caseload data'!$A:$A,"South West")</f>
        <v>0</v>
      </c>
      <c r="T49" s="94">
        <f>SUMIFS('caseload data'!V:V,'caseload data'!$D:$D,"TPO",'caseload data'!$A:$A,"South West")</f>
        <v>0</v>
      </c>
      <c r="U49" s="64"/>
      <c r="V49" s="64"/>
      <c r="W49" s="504"/>
      <c r="X49" s="129" t="s">
        <v>953</v>
      </c>
      <c r="Y49" s="167" t="e">
        <f t="shared" si="36"/>
        <v>#DIV/0!</v>
      </c>
      <c r="Z49" s="167" t="e">
        <f t="shared" si="35"/>
        <v>#DIV/0!</v>
      </c>
      <c r="AA49" s="167" t="e">
        <f t="shared" si="35"/>
        <v>#DIV/0!</v>
      </c>
      <c r="AB49" s="167" t="e">
        <f t="shared" si="35"/>
        <v>#DIV/0!</v>
      </c>
      <c r="AC49" s="167" t="e">
        <f t="shared" si="35"/>
        <v>#DIV/0!</v>
      </c>
      <c r="AD49" s="167" t="e">
        <f t="shared" si="35"/>
        <v>#DIV/0!</v>
      </c>
      <c r="AE49" s="167" t="e">
        <f t="shared" si="35"/>
        <v>#DIV/0!</v>
      </c>
      <c r="AF49" s="167" t="e">
        <f t="shared" si="35"/>
        <v>#DIV/0!</v>
      </c>
      <c r="AG49" s="167" t="e">
        <f t="shared" si="35"/>
        <v>#DIV/0!</v>
      </c>
      <c r="AH49" s="167" t="e">
        <f t="shared" si="35"/>
        <v>#DIV/0!</v>
      </c>
      <c r="AI49" s="167" t="e">
        <f t="shared" si="35"/>
        <v>#DIV/0!</v>
      </c>
      <c r="AJ49" s="167" t="e">
        <f t="shared" si="35"/>
        <v>#DIV/0!</v>
      </c>
      <c r="AK49" s="167" t="e">
        <f t="shared" si="35"/>
        <v>#DIV/0!</v>
      </c>
      <c r="AL49" s="167" t="e">
        <f t="shared" si="35"/>
        <v>#DIV/0!</v>
      </c>
      <c r="AM49" s="167" t="e">
        <f t="shared" si="35"/>
        <v>#DIV/0!</v>
      </c>
      <c r="AN49" s="167" t="e">
        <f t="shared" si="35"/>
        <v>#DIV/0!</v>
      </c>
      <c r="AO49" s="167" t="e">
        <f t="shared" si="35"/>
        <v>#DIV/0!</v>
      </c>
    </row>
    <row r="50" spans="2:41" x14ac:dyDescent="0.15">
      <c r="B50" s="510"/>
      <c r="C50" s="129" t="s">
        <v>954</v>
      </c>
      <c r="D50" s="368">
        <f>SUMIFS('caseload data'!E:E,'caseload data'!$D:$D,"SPO",'caseload data'!$A:$A,"South West")</f>
        <v>0</v>
      </c>
      <c r="E50" s="94">
        <f>SUMIFS('caseload data'!F:F,'caseload data'!$D:$D,"SPO",'caseload data'!$A:$A,"South West")</f>
        <v>0</v>
      </c>
      <c r="F50" s="94">
        <f>SUMIFS('caseload data'!G:G,'caseload data'!$D:$D,"SPO",'caseload data'!$A:$A,"South West")</f>
        <v>0</v>
      </c>
      <c r="G50" s="94">
        <f>SUMIFS('caseload data'!H:H,'caseload data'!$D:$D,"SPO",'caseload data'!$A:$A,"South West")</f>
        <v>0</v>
      </c>
      <c r="H50" s="94">
        <f>SUMIFS('caseload data'!I:I,'caseload data'!$D:$D,"SPO",'caseload data'!$A:$A,"South West")</f>
        <v>0</v>
      </c>
      <c r="I50" s="94">
        <f>SUMIFS('caseload data'!J:J,'caseload data'!$D:$D,"SPO",'caseload data'!$A:$A,"South West")</f>
        <v>0</v>
      </c>
      <c r="J50" s="94">
        <f>SUMIFS('caseload data'!K:K,'caseload data'!$D:$D,"SPO",'caseload data'!$A:$A,"South West")</f>
        <v>0</v>
      </c>
      <c r="K50" s="94">
        <f>SUMIFS('caseload data'!L:L,'caseload data'!$D:$D,"SPO",'caseload data'!$A:$A,"South West")</f>
        <v>0</v>
      </c>
      <c r="L50" s="94">
        <f>SUMIFS('caseload data'!M:M,'caseload data'!$D:$D,"SPO",'caseload data'!$A:$A,"South West")</f>
        <v>0</v>
      </c>
      <c r="M50" s="94">
        <f>SUMIFS('caseload data'!N:N,'caseload data'!$D:$D,"SPO",'caseload data'!$A:$A,"South West")</f>
        <v>0</v>
      </c>
      <c r="N50" s="94">
        <f>SUMIFS('caseload data'!O:O,'caseload data'!$D:$D,"SPO",'caseload data'!$A:$A,"South West")</f>
        <v>0</v>
      </c>
      <c r="O50" s="94">
        <f>SUMIFS('caseload data'!P:P,'caseload data'!$D:$D,"SPO",'caseload data'!$A:$A,"South West")</f>
        <v>0</v>
      </c>
      <c r="P50" s="94">
        <f>SUMIFS('caseload data'!Q:Q,'caseload data'!$D:$D,"SPO",'caseload data'!$A:$A,"South West")</f>
        <v>0</v>
      </c>
      <c r="Q50" s="94">
        <f>SUMIFS('caseload data'!R:R,'caseload data'!$D:$D,"SPO",'caseload data'!$A:$A,"South West")</f>
        <v>0</v>
      </c>
      <c r="R50" s="94">
        <f>SUMIFS('caseload data'!S:S,'caseload data'!$D:$D,"SPO",'caseload data'!$A:$A,"South West")</f>
        <v>0</v>
      </c>
      <c r="S50" s="94">
        <f>SUMIFS('caseload data'!T:T,'caseload data'!$D:$D,"SPO",'caseload data'!$A:$A,"South West")</f>
        <v>0</v>
      </c>
      <c r="T50" s="94">
        <f>SUMIFS('caseload data'!V:V,'caseload data'!$D:$D,"SPO",'caseload data'!$A:$A,"South West")</f>
        <v>0</v>
      </c>
      <c r="U50" s="64"/>
      <c r="V50" s="64"/>
      <c r="W50" s="504"/>
      <c r="X50" s="129" t="s">
        <v>954</v>
      </c>
      <c r="Y50" s="167" t="e">
        <f t="shared" si="36"/>
        <v>#DIV/0!</v>
      </c>
      <c r="Z50" s="167" t="e">
        <f t="shared" si="35"/>
        <v>#DIV/0!</v>
      </c>
      <c r="AA50" s="167" t="e">
        <f t="shared" si="35"/>
        <v>#DIV/0!</v>
      </c>
      <c r="AB50" s="167" t="e">
        <f t="shared" si="35"/>
        <v>#DIV/0!</v>
      </c>
      <c r="AC50" s="167" t="e">
        <f t="shared" si="35"/>
        <v>#DIV/0!</v>
      </c>
      <c r="AD50" s="167" t="e">
        <f t="shared" si="35"/>
        <v>#DIV/0!</v>
      </c>
      <c r="AE50" s="167" t="e">
        <f t="shared" si="35"/>
        <v>#DIV/0!</v>
      </c>
      <c r="AF50" s="167" t="e">
        <f t="shared" si="35"/>
        <v>#DIV/0!</v>
      </c>
      <c r="AG50" s="167" t="e">
        <f t="shared" si="35"/>
        <v>#DIV/0!</v>
      </c>
      <c r="AH50" s="167" t="e">
        <f t="shared" si="35"/>
        <v>#DIV/0!</v>
      </c>
      <c r="AI50" s="167" t="e">
        <f t="shared" si="35"/>
        <v>#DIV/0!</v>
      </c>
      <c r="AJ50" s="167" t="e">
        <f t="shared" si="35"/>
        <v>#DIV/0!</v>
      </c>
      <c r="AK50" s="167" t="e">
        <f t="shared" si="35"/>
        <v>#DIV/0!</v>
      </c>
      <c r="AL50" s="167" t="e">
        <f t="shared" si="35"/>
        <v>#DIV/0!</v>
      </c>
      <c r="AM50" s="167" t="e">
        <f t="shared" si="35"/>
        <v>#DIV/0!</v>
      </c>
      <c r="AN50" s="167" t="e">
        <f t="shared" si="35"/>
        <v>#DIV/0!</v>
      </c>
      <c r="AO50" s="167" t="e">
        <f t="shared" si="35"/>
        <v>#DIV/0!</v>
      </c>
    </row>
    <row r="51" spans="2:41" x14ac:dyDescent="0.15">
      <c r="B51" s="511"/>
      <c r="C51" s="130" t="s">
        <v>1286</v>
      </c>
      <c r="D51" s="368">
        <f>SUMIFS('caseload data'!E:E,'caseload data'!$D:$D,"DMY",'caseload data'!$A:$A,"South West")</f>
        <v>0</v>
      </c>
      <c r="E51" s="368">
        <f>SUMIFS('caseload data'!F:F,'caseload data'!$D:$D,"DMY",'caseload data'!$A:$A,"South West")</f>
        <v>0</v>
      </c>
      <c r="F51" s="368">
        <f>SUMIFS('caseload data'!G:G,'caseload data'!$D:$D,"DMY",'caseload data'!$A:$A,"South West")</f>
        <v>0</v>
      </c>
      <c r="G51" s="368">
        <f>SUMIFS('caseload data'!H:H,'caseload data'!$D:$D,"DMY",'caseload data'!$A:$A,"South West")</f>
        <v>0</v>
      </c>
      <c r="H51" s="368">
        <f>SUMIFS('caseload data'!I:I,'caseload data'!$D:$D,"DMY",'caseload data'!$A:$A,"South West")</f>
        <v>0</v>
      </c>
      <c r="I51" s="368">
        <f>SUMIFS('caseload data'!J:J,'caseload data'!$D:$D,"DMY",'caseload data'!$A:$A,"South West")</f>
        <v>0</v>
      </c>
      <c r="J51" s="368">
        <f>SUMIFS('caseload data'!K:K,'caseload data'!$D:$D,"DMY",'caseload data'!$A:$A,"South West")</f>
        <v>0</v>
      </c>
      <c r="K51" s="368">
        <f>SUMIFS('caseload data'!L:L,'caseload data'!$D:$D,"DMY",'caseload data'!$A:$A,"South West")</f>
        <v>0</v>
      </c>
      <c r="L51" s="368">
        <f>SUMIFS('caseload data'!M:M,'caseload data'!$D:$D,"DMY",'caseload data'!$A:$A,"South West")</f>
        <v>0</v>
      </c>
      <c r="M51" s="368">
        <f>SUMIFS('caseload data'!N:N,'caseload data'!$D:$D,"DMY",'caseload data'!$A:$A,"South West")</f>
        <v>0</v>
      </c>
      <c r="N51" s="368">
        <f>SUMIFS('caseload data'!O:O,'caseload data'!$D:$D,"DMY",'caseload data'!$A:$A,"South West")</f>
        <v>0</v>
      </c>
      <c r="O51" s="368">
        <f>SUMIFS('caseload data'!P:P,'caseload data'!$D:$D,"DMY",'caseload data'!$A:$A,"South West")</f>
        <v>0</v>
      </c>
      <c r="P51" s="368">
        <f>SUMIFS('caseload data'!Q:Q,'caseload data'!$D:$D,"DMY",'caseload data'!$A:$A,"South West")</f>
        <v>0</v>
      </c>
      <c r="Q51" s="368">
        <f>SUMIFS('caseload data'!R:R,'caseload data'!$D:$D,"DMY",'caseload data'!$A:$A,"South West")</f>
        <v>0</v>
      </c>
      <c r="R51" s="368">
        <f>SUMIFS('caseload data'!S:S,'caseload data'!$D:$D,"DMY",'caseload data'!$A:$A,"South West")</f>
        <v>0</v>
      </c>
      <c r="S51" s="368">
        <f>SUMIFS('caseload data'!T:T,'caseload data'!$D:$D,"DMY",'caseload data'!$A:$A,"South West")</f>
        <v>0</v>
      </c>
      <c r="T51" s="94">
        <f>SUMIFS('caseload data'!V:V,'caseload data'!$D:$D,"DMY",'caseload data'!$A:$A,"South West")</f>
        <v>0</v>
      </c>
      <c r="U51" s="64"/>
      <c r="V51" s="64"/>
      <c r="W51" s="505"/>
      <c r="X51" s="130" t="s">
        <v>1286</v>
      </c>
      <c r="Y51" s="167" t="e">
        <f t="shared" si="36"/>
        <v>#DIV/0!</v>
      </c>
      <c r="Z51" s="167" t="e">
        <f t="shared" si="35"/>
        <v>#DIV/0!</v>
      </c>
      <c r="AA51" s="167" t="e">
        <f t="shared" si="35"/>
        <v>#DIV/0!</v>
      </c>
      <c r="AB51" s="167" t="e">
        <f t="shared" si="35"/>
        <v>#DIV/0!</v>
      </c>
      <c r="AC51" s="167" t="e">
        <f t="shared" si="35"/>
        <v>#DIV/0!</v>
      </c>
      <c r="AD51" s="167" t="e">
        <f t="shared" si="35"/>
        <v>#DIV/0!</v>
      </c>
      <c r="AE51" s="167" t="e">
        <f t="shared" si="35"/>
        <v>#DIV/0!</v>
      </c>
      <c r="AF51" s="167" t="e">
        <f t="shared" si="35"/>
        <v>#DIV/0!</v>
      </c>
      <c r="AG51" s="167" t="e">
        <f t="shared" si="35"/>
        <v>#DIV/0!</v>
      </c>
      <c r="AH51" s="167" t="e">
        <f t="shared" si="35"/>
        <v>#DIV/0!</v>
      </c>
      <c r="AI51" s="167" t="e">
        <f t="shared" si="35"/>
        <v>#DIV/0!</v>
      </c>
      <c r="AJ51" s="167" t="e">
        <f t="shared" si="35"/>
        <v>#DIV/0!</v>
      </c>
      <c r="AK51" s="167" t="e">
        <f t="shared" si="35"/>
        <v>#DIV/0!</v>
      </c>
      <c r="AL51" s="167" t="e">
        <f t="shared" si="35"/>
        <v>#DIV/0!</v>
      </c>
      <c r="AM51" s="167" t="e">
        <f t="shared" si="35"/>
        <v>#DIV/0!</v>
      </c>
      <c r="AN51" s="167" t="e">
        <f t="shared" si="35"/>
        <v>#DIV/0!</v>
      </c>
      <c r="AO51" s="167" t="e">
        <f t="shared" si="35"/>
        <v>#DIV/0!</v>
      </c>
    </row>
    <row r="52" spans="2:41" x14ac:dyDescent="0.15">
      <c r="B52" s="509" t="s">
        <v>26</v>
      </c>
      <c r="C52" s="128" t="s">
        <v>947</v>
      </c>
      <c r="D52" s="368">
        <f>SUMIFS('caseload data'!E:E,'caseload data'!$D:$D,"PO",'caseload data'!$A:$A,$B$52)</f>
        <v>0</v>
      </c>
      <c r="E52" s="94">
        <f>SUMIFS('caseload data'!F:F,'caseload data'!$D:$D,"PO",'caseload data'!$A:$A,$B$52)</f>
        <v>0</v>
      </c>
      <c r="F52" s="94">
        <f>SUMIFS('caseload data'!G:G,'caseload data'!$D:$D,"PO",'caseload data'!$A:$A,$B$52)</f>
        <v>0</v>
      </c>
      <c r="G52" s="94">
        <f>SUMIFS('caseload data'!H:H,'caseload data'!$D:$D,"PO",'caseload data'!$A:$A,$B$52)</f>
        <v>0</v>
      </c>
      <c r="H52" s="94">
        <f>SUMIFS('caseload data'!I:I,'caseload data'!$D:$D,"PO",'caseload data'!$A:$A,$B$52)</f>
        <v>0</v>
      </c>
      <c r="I52" s="94">
        <f>SUMIFS('caseload data'!J:J,'caseload data'!$D:$D,"PO",'caseload data'!$A:$A,$B$52)</f>
        <v>0</v>
      </c>
      <c r="J52" s="94">
        <f>SUMIFS('caseload data'!K:K,'caseload data'!$D:$D,"PO",'caseload data'!$A:$A,$B$52)</f>
        <v>0</v>
      </c>
      <c r="K52" s="94">
        <f>SUMIFS('caseload data'!L:L,'caseload data'!$D:$D,"PO",'caseload data'!$A:$A,$B$52)</f>
        <v>0</v>
      </c>
      <c r="L52" s="94">
        <f>SUMIFS('caseload data'!M:M,'caseload data'!$D:$D,"PO",'caseload data'!$A:$A,$B$52)</f>
        <v>0</v>
      </c>
      <c r="M52" s="94">
        <f>SUMIFS('caseload data'!N:N,'caseload data'!$D:$D,"PO",'caseload data'!$A:$A,$B$52)</f>
        <v>0</v>
      </c>
      <c r="N52" s="94">
        <f>SUMIFS('caseload data'!O:O,'caseload data'!$D:$D,"PO",'caseload data'!$A:$A,$B$52)</f>
        <v>0</v>
      </c>
      <c r="O52" s="94">
        <f>SUMIFS('caseload data'!P:P,'caseload data'!$D:$D,"PO",'caseload data'!$A:$A,$B$52)</f>
        <v>0</v>
      </c>
      <c r="P52" s="94">
        <f>SUMIFS('caseload data'!Q:Q,'caseload data'!$D:$D,"PO",'caseload data'!$A:$A,$B$52)</f>
        <v>0</v>
      </c>
      <c r="Q52" s="94">
        <f>SUMIFS('caseload data'!R:R,'caseload data'!$D:$D,"PO",'caseload data'!$A:$A,$B$52)</f>
        <v>0</v>
      </c>
      <c r="R52" s="94">
        <f>SUMIFS('caseload data'!S:S,'caseload data'!$D:$D,"PO",'caseload data'!$A:$A,$B$52)</f>
        <v>0</v>
      </c>
      <c r="S52" s="94">
        <f>SUMIFS('caseload data'!T:T,'caseload data'!$D:$D,"PO",'caseload data'!$A:$A,$B$52)</f>
        <v>0</v>
      </c>
      <c r="T52" s="94">
        <f>SUMIFS('caseload data'!V:V,'caseload data'!$D:$D,"PO",'caseload data'!$A:$A,B52)</f>
        <v>0</v>
      </c>
      <c r="U52" s="64"/>
      <c r="V52" s="64"/>
      <c r="W52" s="503" t="s">
        <v>26</v>
      </c>
      <c r="X52" s="128" t="s">
        <v>947</v>
      </c>
      <c r="Y52" s="167" t="e">
        <f>SUM(D52)/SUM(D$52:D$56)</f>
        <v>#DIV/0!</v>
      </c>
      <c r="Z52" s="167" t="e">
        <f t="shared" ref="Z52:AO56" si="37">SUM(E52)/SUM(E$52:E$56)</f>
        <v>#DIV/0!</v>
      </c>
      <c r="AA52" s="167" t="e">
        <f t="shared" si="37"/>
        <v>#DIV/0!</v>
      </c>
      <c r="AB52" s="167" t="e">
        <f t="shared" si="37"/>
        <v>#DIV/0!</v>
      </c>
      <c r="AC52" s="167" t="e">
        <f t="shared" si="37"/>
        <v>#DIV/0!</v>
      </c>
      <c r="AD52" s="167" t="e">
        <f t="shared" si="37"/>
        <v>#DIV/0!</v>
      </c>
      <c r="AE52" s="167" t="e">
        <f t="shared" si="37"/>
        <v>#DIV/0!</v>
      </c>
      <c r="AF52" s="167" t="e">
        <f t="shared" si="37"/>
        <v>#DIV/0!</v>
      </c>
      <c r="AG52" s="167" t="e">
        <f t="shared" si="37"/>
        <v>#DIV/0!</v>
      </c>
      <c r="AH52" s="167" t="e">
        <f t="shared" si="37"/>
        <v>#DIV/0!</v>
      </c>
      <c r="AI52" s="167" t="e">
        <f t="shared" si="37"/>
        <v>#DIV/0!</v>
      </c>
      <c r="AJ52" s="167" t="e">
        <f t="shared" si="37"/>
        <v>#DIV/0!</v>
      </c>
      <c r="AK52" s="167" t="e">
        <f t="shared" si="37"/>
        <v>#DIV/0!</v>
      </c>
      <c r="AL52" s="167" t="e">
        <f t="shared" si="37"/>
        <v>#DIV/0!</v>
      </c>
      <c r="AM52" s="167" t="e">
        <f t="shared" si="37"/>
        <v>#DIV/0!</v>
      </c>
      <c r="AN52" s="167" t="e">
        <f t="shared" si="37"/>
        <v>#DIV/0!</v>
      </c>
      <c r="AO52" s="167" t="e">
        <f t="shared" si="37"/>
        <v>#DIV/0!</v>
      </c>
    </row>
    <row r="53" spans="2:41" x14ac:dyDescent="0.15">
      <c r="B53" s="510"/>
      <c r="C53" s="129" t="s">
        <v>952</v>
      </c>
      <c r="D53" s="368">
        <f>SUMIFS('caseload data'!E:E,'caseload data'!$D:$D,"PSO",'caseload data'!$A:$A,"Wales")</f>
        <v>0</v>
      </c>
      <c r="E53" s="94">
        <f>SUMIFS('caseload data'!F:F,'caseload data'!$D:$D,"PSO",'caseload data'!$A:$A,"Wales")</f>
        <v>0</v>
      </c>
      <c r="F53" s="94">
        <f>SUMIFS('caseload data'!G:G,'caseload data'!$D:$D,"PSO",'caseload data'!$A:$A,"Wales")</f>
        <v>0</v>
      </c>
      <c r="G53" s="94">
        <f>SUMIFS('caseload data'!H:H,'caseload data'!$D:$D,"PSO",'caseload data'!$A:$A,"Wales")</f>
        <v>0</v>
      </c>
      <c r="H53" s="94">
        <f>SUMIFS('caseload data'!I:I,'caseload data'!$D:$D,"PSO",'caseload data'!$A:$A,"Wales")</f>
        <v>0</v>
      </c>
      <c r="I53" s="94">
        <f>SUMIFS('caseload data'!J:J,'caseload data'!$D:$D,"PSO",'caseload data'!$A:$A,"Wales")</f>
        <v>0</v>
      </c>
      <c r="J53" s="94">
        <f>SUMIFS('caseload data'!K:K,'caseload data'!$D:$D,"PSO",'caseload data'!$A:$A,"Wales")</f>
        <v>0</v>
      </c>
      <c r="K53" s="94">
        <f>SUMIFS('caseload data'!L:L,'caseload data'!$D:$D,"PSO",'caseload data'!$A:$A,"Wales")</f>
        <v>0</v>
      </c>
      <c r="L53" s="94">
        <f>SUMIFS('caseload data'!M:M,'caseload data'!$D:$D,"PSO",'caseload data'!$A:$A,"Wales")</f>
        <v>0</v>
      </c>
      <c r="M53" s="94">
        <f>SUMIFS('caseload data'!N:N,'caseload data'!$D:$D,"PSO",'caseload data'!$A:$A,"Wales")</f>
        <v>0</v>
      </c>
      <c r="N53" s="94">
        <f>SUMIFS('caseload data'!O:O,'caseload data'!$D:$D,"PSO",'caseload data'!$A:$A,"Wales")</f>
        <v>0</v>
      </c>
      <c r="O53" s="94">
        <f>SUMIFS('caseload data'!P:P,'caseload data'!$D:$D,"PSO",'caseload data'!$A:$A,"Wales")</f>
        <v>0</v>
      </c>
      <c r="P53" s="94">
        <f>SUMIFS('caseload data'!Q:Q,'caseload data'!$D:$D,"PSO",'caseload data'!$A:$A,"Wales")</f>
        <v>0</v>
      </c>
      <c r="Q53" s="94">
        <f>SUMIFS('caseload data'!R:R,'caseload data'!$D:$D,"PSO",'caseload data'!$A:$A,"Wales")</f>
        <v>0</v>
      </c>
      <c r="R53" s="94">
        <f>SUMIFS('caseload data'!S:S,'caseload data'!$D:$D,"PSO",'caseload data'!$A:$A,"Wales")</f>
        <v>0</v>
      </c>
      <c r="S53" s="94">
        <f>SUMIFS('caseload data'!T:T,'caseload data'!$D:$D,"PSO",'caseload data'!$A:$A,"Wales")</f>
        <v>0</v>
      </c>
      <c r="T53" s="94">
        <f>SUMIFS('caseload data'!V:V,'caseload data'!$D:$D,"PSO",'caseload data'!$A:$A,"Wales")</f>
        <v>0</v>
      </c>
      <c r="U53" s="64"/>
      <c r="V53" s="64"/>
      <c r="W53" s="504"/>
      <c r="X53" s="129" t="s">
        <v>952</v>
      </c>
      <c r="Y53" s="167" t="e">
        <f t="shared" ref="Y53:Y56" si="38">SUM(D53)/SUM(D$52:D$56)</f>
        <v>#DIV/0!</v>
      </c>
      <c r="Z53" s="167" t="e">
        <f t="shared" si="37"/>
        <v>#DIV/0!</v>
      </c>
      <c r="AA53" s="167" t="e">
        <f t="shared" si="37"/>
        <v>#DIV/0!</v>
      </c>
      <c r="AB53" s="167" t="e">
        <f t="shared" si="37"/>
        <v>#DIV/0!</v>
      </c>
      <c r="AC53" s="167" t="e">
        <f t="shared" si="37"/>
        <v>#DIV/0!</v>
      </c>
      <c r="AD53" s="167" t="e">
        <f t="shared" si="37"/>
        <v>#DIV/0!</v>
      </c>
      <c r="AE53" s="167" t="e">
        <f t="shared" si="37"/>
        <v>#DIV/0!</v>
      </c>
      <c r="AF53" s="167" t="e">
        <f t="shared" si="37"/>
        <v>#DIV/0!</v>
      </c>
      <c r="AG53" s="167" t="e">
        <f t="shared" si="37"/>
        <v>#DIV/0!</v>
      </c>
      <c r="AH53" s="167" t="e">
        <f t="shared" si="37"/>
        <v>#DIV/0!</v>
      </c>
      <c r="AI53" s="167" t="e">
        <f t="shared" si="37"/>
        <v>#DIV/0!</v>
      </c>
      <c r="AJ53" s="167" t="e">
        <f t="shared" si="37"/>
        <v>#DIV/0!</v>
      </c>
      <c r="AK53" s="167" t="e">
        <f t="shared" si="37"/>
        <v>#DIV/0!</v>
      </c>
      <c r="AL53" s="167" t="e">
        <f t="shared" si="37"/>
        <v>#DIV/0!</v>
      </c>
      <c r="AM53" s="167" t="e">
        <f t="shared" si="37"/>
        <v>#DIV/0!</v>
      </c>
      <c r="AN53" s="167" t="e">
        <f t="shared" si="37"/>
        <v>#DIV/0!</v>
      </c>
      <c r="AO53" s="167" t="e">
        <f t="shared" si="37"/>
        <v>#DIV/0!</v>
      </c>
    </row>
    <row r="54" spans="2:41" x14ac:dyDescent="0.15">
      <c r="B54" s="510"/>
      <c r="C54" s="129" t="s">
        <v>953</v>
      </c>
      <c r="D54" s="368">
        <f>SUMIFS('caseload data'!E:E,'caseload data'!$D:$D,"TPO",'caseload data'!$A:$A,"Wales")</f>
        <v>0</v>
      </c>
      <c r="E54" s="94">
        <f>SUMIFS('caseload data'!F:F,'caseload data'!$D:$D,"TPO",'caseload data'!$A:$A,"Wales")</f>
        <v>0</v>
      </c>
      <c r="F54" s="94">
        <f>SUMIFS('caseload data'!G:G,'caseload data'!$D:$D,"TPO",'caseload data'!$A:$A,"Wales")</f>
        <v>0</v>
      </c>
      <c r="G54" s="94">
        <f>SUMIFS('caseload data'!H:H,'caseload data'!$D:$D,"TPO",'caseload data'!$A:$A,"Wales")</f>
        <v>0</v>
      </c>
      <c r="H54" s="94">
        <f>SUMIFS('caseload data'!I:I,'caseload data'!$D:$D,"TPO",'caseload data'!$A:$A,"Wales")</f>
        <v>0</v>
      </c>
      <c r="I54" s="94">
        <f>SUMIFS('caseload data'!J:J,'caseload data'!$D:$D,"TPO",'caseload data'!$A:$A,"Wales")</f>
        <v>0</v>
      </c>
      <c r="J54" s="94">
        <f>SUMIFS('caseload data'!K:K,'caseload data'!$D:$D,"TPO",'caseload data'!$A:$A,"Wales")</f>
        <v>0</v>
      </c>
      <c r="K54" s="94">
        <f>SUMIFS('caseload data'!L:L,'caseload data'!$D:$D,"TPO",'caseload data'!$A:$A,"Wales")</f>
        <v>0</v>
      </c>
      <c r="L54" s="94">
        <f>SUMIFS('caseload data'!M:M,'caseload data'!$D:$D,"TPO",'caseload data'!$A:$A,"Wales")</f>
        <v>0</v>
      </c>
      <c r="M54" s="94">
        <f>SUMIFS('caseload data'!N:N,'caseload data'!$D:$D,"TPO",'caseload data'!$A:$A,"Wales")</f>
        <v>0</v>
      </c>
      <c r="N54" s="94">
        <f>SUMIFS('caseload data'!O:O,'caseload data'!$D:$D,"TPO",'caseload data'!$A:$A,"Wales")</f>
        <v>0</v>
      </c>
      <c r="O54" s="94">
        <f>SUMIFS('caseload data'!P:P,'caseload data'!$D:$D,"TPO",'caseload data'!$A:$A,"Wales")</f>
        <v>0</v>
      </c>
      <c r="P54" s="94">
        <f>SUMIFS('caseload data'!Q:Q,'caseload data'!$D:$D,"TPO",'caseload data'!$A:$A,"Wales")</f>
        <v>0</v>
      </c>
      <c r="Q54" s="94">
        <f>SUMIFS('caseload data'!R:R,'caseload data'!$D:$D,"TPO",'caseload data'!$A:$A,"Wales")</f>
        <v>0</v>
      </c>
      <c r="R54" s="94">
        <f>SUMIFS('caseload data'!S:S,'caseload data'!$D:$D,"TPO",'caseload data'!$A:$A,"Wales")</f>
        <v>0</v>
      </c>
      <c r="S54" s="94">
        <f>SUMIFS('caseload data'!T:T,'caseload data'!$D:$D,"TPO",'caseload data'!$A:$A,"Wales")</f>
        <v>0</v>
      </c>
      <c r="T54" s="94">
        <f>SUMIFS('caseload data'!V:V,'caseload data'!$D:$D,"TPO",'caseload data'!$A:$A,"Wales")</f>
        <v>0</v>
      </c>
      <c r="U54" s="64"/>
      <c r="V54" s="64"/>
      <c r="W54" s="504"/>
      <c r="X54" s="129" t="s">
        <v>953</v>
      </c>
      <c r="Y54" s="167" t="e">
        <f t="shared" si="38"/>
        <v>#DIV/0!</v>
      </c>
      <c r="Z54" s="167" t="e">
        <f t="shared" si="37"/>
        <v>#DIV/0!</v>
      </c>
      <c r="AA54" s="167" t="e">
        <f t="shared" si="37"/>
        <v>#DIV/0!</v>
      </c>
      <c r="AB54" s="167" t="e">
        <f t="shared" si="37"/>
        <v>#DIV/0!</v>
      </c>
      <c r="AC54" s="167" t="e">
        <f t="shared" si="37"/>
        <v>#DIV/0!</v>
      </c>
      <c r="AD54" s="167" t="e">
        <f t="shared" si="37"/>
        <v>#DIV/0!</v>
      </c>
      <c r="AE54" s="167" t="e">
        <f t="shared" si="37"/>
        <v>#DIV/0!</v>
      </c>
      <c r="AF54" s="167" t="e">
        <f t="shared" si="37"/>
        <v>#DIV/0!</v>
      </c>
      <c r="AG54" s="167" t="e">
        <f t="shared" si="37"/>
        <v>#DIV/0!</v>
      </c>
      <c r="AH54" s="167" t="e">
        <f t="shared" si="37"/>
        <v>#DIV/0!</v>
      </c>
      <c r="AI54" s="167" t="e">
        <f t="shared" si="37"/>
        <v>#DIV/0!</v>
      </c>
      <c r="AJ54" s="167" t="e">
        <f t="shared" si="37"/>
        <v>#DIV/0!</v>
      </c>
      <c r="AK54" s="167" t="e">
        <f t="shared" si="37"/>
        <v>#DIV/0!</v>
      </c>
      <c r="AL54" s="167" t="e">
        <f t="shared" si="37"/>
        <v>#DIV/0!</v>
      </c>
      <c r="AM54" s="167" t="e">
        <f t="shared" si="37"/>
        <v>#DIV/0!</v>
      </c>
      <c r="AN54" s="167" t="e">
        <f t="shared" si="37"/>
        <v>#DIV/0!</v>
      </c>
      <c r="AO54" s="167" t="e">
        <f t="shared" si="37"/>
        <v>#DIV/0!</v>
      </c>
    </row>
    <row r="55" spans="2:41" x14ac:dyDescent="0.15">
      <c r="B55" s="510"/>
      <c r="C55" s="129" t="s">
        <v>954</v>
      </c>
      <c r="D55" s="368">
        <f>SUMIFS('caseload data'!E:E,'caseload data'!$D:$D,"SPO",'caseload data'!$A:$A,"Wales")</f>
        <v>0</v>
      </c>
      <c r="E55" s="94">
        <f>SUMIFS('caseload data'!F:F,'caseload data'!$D:$D,"SPO",'caseload data'!$A:$A,"Wales")</f>
        <v>0</v>
      </c>
      <c r="F55" s="94">
        <f>SUMIFS('caseload data'!G:G,'caseload data'!$D:$D,"SPO",'caseload data'!$A:$A,"Wales")</f>
        <v>0</v>
      </c>
      <c r="G55" s="94">
        <f>SUMIFS('caseload data'!H:H,'caseload data'!$D:$D,"SPO",'caseload data'!$A:$A,"Wales")</f>
        <v>0</v>
      </c>
      <c r="H55" s="94">
        <f>SUMIFS('caseload data'!I:I,'caseload data'!$D:$D,"SPO",'caseload data'!$A:$A,"Wales")</f>
        <v>0</v>
      </c>
      <c r="I55" s="94">
        <f>SUMIFS('caseload data'!J:J,'caseload data'!$D:$D,"SPO",'caseload data'!$A:$A,"Wales")</f>
        <v>0</v>
      </c>
      <c r="J55" s="94">
        <f>SUMIFS('caseload data'!K:K,'caseload data'!$D:$D,"SPO",'caseload data'!$A:$A,"Wales")</f>
        <v>0</v>
      </c>
      <c r="K55" s="94">
        <f>SUMIFS('caseload data'!L:L,'caseload data'!$D:$D,"SPO",'caseload data'!$A:$A,"Wales")</f>
        <v>0</v>
      </c>
      <c r="L55" s="94">
        <f>SUMIFS('caseload data'!M:M,'caseload data'!$D:$D,"SPO",'caseload data'!$A:$A,"Wales")</f>
        <v>0</v>
      </c>
      <c r="M55" s="94">
        <f>SUMIFS('caseload data'!N:N,'caseload data'!$D:$D,"SPO",'caseload data'!$A:$A,"Wales")</f>
        <v>0</v>
      </c>
      <c r="N55" s="94">
        <f>SUMIFS('caseload data'!O:O,'caseload data'!$D:$D,"SPO",'caseload data'!$A:$A,"Wales")</f>
        <v>0</v>
      </c>
      <c r="O55" s="94">
        <f>SUMIFS('caseload data'!P:P,'caseload data'!$D:$D,"SPO",'caseload data'!$A:$A,"Wales")</f>
        <v>0</v>
      </c>
      <c r="P55" s="94">
        <f>SUMIFS('caseload data'!Q:Q,'caseload data'!$D:$D,"SPO",'caseload data'!$A:$A,"Wales")</f>
        <v>0</v>
      </c>
      <c r="Q55" s="94">
        <f>SUMIFS('caseload data'!R:R,'caseload data'!$D:$D,"SPO",'caseload data'!$A:$A,"Wales")</f>
        <v>0</v>
      </c>
      <c r="R55" s="94">
        <f>SUMIFS('caseload data'!S:S,'caseload data'!$D:$D,"SPO",'caseload data'!$A:$A,"Wales")</f>
        <v>0</v>
      </c>
      <c r="S55" s="94">
        <f>SUMIFS('caseload data'!T:T,'caseload data'!$D:$D,"SPO",'caseload data'!$A:$A,"Wales")</f>
        <v>0</v>
      </c>
      <c r="T55" s="94">
        <f>SUMIFS('caseload data'!V:V,'caseload data'!$D:$D,"SPO",'caseload data'!$A:$A,"Wales")</f>
        <v>0</v>
      </c>
      <c r="U55" s="64"/>
      <c r="V55" s="64"/>
      <c r="W55" s="504"/>
      <c r="X55" s="129" t="s">
        <v>954</v>
      </c>
      <c r="Y55" s="167" t="e">
        <f t="shared" si="38"/>
        <v>#DIV/0!</v>
      </c>
      <c r="Z55" s="167" t="e">
        <f t="shared" si="37"/>
        <v>#DIV/0!</v>
      </c>
      <c r="AA55" s="167" t="e">
        <f t="shared" si="37"/>
        <v>#DIV/0!</v>
      </c>
      <c r="AB55" s="167" t="e">
        <f t="shared" si="37"/>
        <v>#DIV/0!</v>
      </c>
      <c r="AC55" s="167" t="e">
        <f t="shared" si="37"/>
        <v>#DIV/0!</v>
      </c>
      <c r="AD55" s="167" t="e">
        <f t="shared" si="37"/>
        <v>#DIV/0!</v>
      </c>
      <c r="AE55" s="167" t="e">
        <f t="shared" si="37"/>
        <v>#DIV/0!</v>
      </c>
      <c r="AF55" s="167" t="e">
        <f t="shared" si="37"/>
        <v>#DIV/0!</v>
      </c>
      <c r="AG55" s="167" t="e">
        <f t="shared" si="37"/>
        <v>#DIV/0!</v>
      </c>
      <c r="AH55" s="167" t="e">
        <f t="shared" si="37"/>
        <v>#DIV/0!</v>
      </c>
      <c r="AI55" s="167" t="e">
        <f t="shared" si="37"/>
        <v>#DIV/0!</v>
      </c>
      <c r="AJ55" s="167" t="e">
        <f t="shared" si="37"/>
        <v>#DIV/0!</v>
      </c>
      <c r="AK55" s="167" t="e">
        <f t="shared" si="37"/>
        <v>#DIV/0!</v>
      </c>
      <c r="AL55" s="167" t="e">
        <f t="shared" si="37"/>
        <v>#DIV/0!</v>
      </c>
      <c r="AM55" s="167" t="e">
        <f t="shared" si="37"/>
        <v>#DIV/0!</v>
      </c>
      <c r="AN55" s="167" t="e">
        <f t="shared" si="37"/>
        <v>#DIV/0!</v>
      </c>
      <c r="AO55" s="167" t="e">
        <f t="shared" si="37"/>
        <v>#DIV/0!</v>
      </c>
    </row>
    <row r="56" spans="2:41" x14ac:dyDescent="0.15">
      <c r="B56" s="511"/>
      <c r="C56" s="129" t="s">
        <v>1286</v>
      </c>
      <c r="D56" s="368">
        <f>SUMIFS('caseload data'!E:E,'caseload data'!$D:$D,"DMY",'caseload data'!$A:$A,"Wales")</f>
        <v>0</v>
      </c>
      <c r="E56" s="368">
        <f>SUMIFS('caseload data'!F:F,'caseload data'!$D:$D,"DMY",'caseload data'!$A:$A,"Wales")</f>
        <v>0</v>
      </c>
      <c r="F56" s="368">
        <f>SUMIFS('caseload data'!G:G,'caseload data'!$D:$D,"DMY",'caseload data'!$A:$A,"Wales")</f>
        <v>0</v>
      </c>
      <c r="G56" s="368">
        <f>SUMIFS('caseload data'!H:H,'caseload data'!$D:$D,"DMY",'caseload data'!$A:$A,"Wales")</f>
        <v>0</v>
      </c>
      <c r="H56" s="368">
        <f>SUMIFS('caseload data'!I:I,'caseload data'!$D:$D,"DMY",'caseload data'!$A:$A,"Wales")</f>
        <v>0</v>
      </c>
      <c r="I56" s="368">
        <f>SUMIFS('caseload data'!J:J,'caseload data'!$D:$D,"DMY",'caseload data'!$A:$A,"Wales")</f>
        <v>0</v>
      </c>
      <c r="J56" s="368">
        <f>SUMIFS('caseload data'!K:K,'caseload data'!$D:$D,"DMY",'caseload data'!$A:$A,"Wales")</f>
        <v>0</v>
      </c>
      <c r="K56" s="368">
        <f>SUMIFS('caseload data'!L:L,'caseload data'!$D:$D,"DMY",'caseload data'!$A:$A,"Wales")</f>
        <v>0</v>
      </c>
      <c r="L56" s="368">
        <f>SUMIFS('caseload data'!M:M,'caseload data'!$D:$D,"DMY",'caseload data'!$A:$A,"Wales")</f>
        <v>0</v>
      </c>
      <c r="M56" s="368">
        <f>SUMIFS('caseload data'!N:N,'caseload data'!$D:$D,"DMY",'caseload data'!$A:$A,"Wales")</f>
        <v>0</v>
      </c>
      <c r="N56" s="368">
        <f>SUMIFS('caseload data'!O:O,'caseload data'!$D:$D,"DMY",'caseload data'!$A:$A,"Wales")</f>
        <v>0</v>
      </c>
      <c r="O56" s="368">
        <f>SUMIFS('caseload data'!P:P,'caseload data'!$D:$D,"DMY",'caseload data'!$A:$A,"Wales")</f>
        <v>0</v>
      </c>
      <c r="P56" s="368">
        <f>SUMIFS('caseload data'!Q:Q,'caseload data'!$D:$D,"DMY",'caseload data'!$A:$A,"Wales")</f>
        <v>0</v>
      </c>
      <c r="Q56" s="368">
        <f>SUMIFS('caseload data'!R:R,'caseload data'!$D:$D,"DMY",'caseload data'!$A:$A,"Wales")</f>
        <v>0</v>
      </c>
      <c r="R56" s="368">
        <f>SUMIFS('caseload data'!S:S,'caseload data'!$D:$D,"DMY",'caseload data'!$A:$A,"Wales")</f>
        <v>0</v>
      </c>
      <c r="S56" s="368">
        <f>SUMIFS('caseload data'!T:T,'caseload data'!$D:$D,"DMY",'caseload data'!$A:$A,"Wales")</f>
        <v>0</v>
      </c>
      <c r="T56" s="94">
        <f>SUMIFS('caseload data'!V:V,'caseload data'!$D:$D,"DMY",'caseload data'!$A:$A,"Wales")</f>
        <v>0</v>
      </c>
      <c r="U56" s="64"/>
      <c r="V56" s="64"/>
      <c r="W56" s="505"/>
      <c r="X56" s="130" t="s">
        <v>1286</v>
      </c>
      <c r="Y56" s="167" t="e">
        <f t="shared" si="38"/>
        <v>#DIV/0!</v>
      </c>
      <c r="Z56" s="167" t="e">
        <f t="shared" si="37"/>
        <v>#DIV/0!</v>
      </c>
      <c r="AA56" s="167" t="e">
        <f t="shared" si="37"/>
        <v>#DIV/0!</v>
      </c>
      <c r="AB56" s="167" t="e">
        <f t="shared" si="37"/>
        <v>#DIV/0!</v>
      </c>
      <c r="AC56" s="167" t="e">
        <f t="shared" si="37"/>
        <v>#DIV/0!</v>
      </c>
      <c r="AD56" s="167" t="e">
        <f t="shared" si="37"/>
        <v>#DIV/0!</v>
      </c>
      <c r="AE56" s="167" t="e">
        <f t="shared" si="37"/>
        <v>#DIV/0!</v>
      </c>
      <c r="AF56" s="167" t="e">
        <f t="shared" si="37"/>
        <v>#DIV/0!</v>
      </c>
      <c r="AG56" s="167" t="e">
        <f t="shared" si="37"/>
        <v>#DIV/0!</v>
      </c>
      <c r="AH56" s="167" t="e">
        <f t="shared" si="37"/>
        <v>#DIV/0!</v>
      </c>
      <c r="AI56" s="167" t="e">
        <f t="shared" si="37"/>
        <v>#DIV/0!</v>
      </c>
      <c r="AJ56" s="167" t="e">
        <f t="shared" si="37"/>
        <v>#DIV/0!</v>
      </c>
      <c r="AK56" s="167" t="e">
        <f t="shared" si="37"/>
        <v>#DIV/0!</v>
      </c>
      <c r="AL56" s="167" t="e">
        <f t="shared" si="37"/>
        <v>#DIV/0!</v>
      </c>
      <c r="AM56" s="167" t="e">
        <f t="shared" si="37"/>
        <v>#DIV/0!</v>
      </c>
      <c r="AN56" s="167" t="e">
        <f t="shared" si="37"/>
        <v>#DIV/0!</v>
      </c>
      <c r="AO56" s="167" t="e">
        <f t="shared" si="37"/>
        <v>#DIV/0!</v>
      </c>
    </row>
    <row r="57" spans="2:41" x14ac:dyDescent="0.15">
      <c r="B57" s="509" t="s">
        <v>27</v>
      </c>
      <c r="C57" s="128" t="s">
        <v>947</v>
      </c>
      <c r="D57" s="368">
        <f>SUMIFS('caseload data'!E:E,'caseload data'!$D:$D,"PO",'caseload data'!$A:$A,$B$57)</f>
        <v>0</v>
      </c>
      <c r="E57" s="94">
        <f>SUMIFS('caseload data'!F:F,'caseload data'!$D:$D,"PO",'caseload data'!$A:$A,$B$57)</f>
        <v>0</v>
      </c>
      <c r="F57" s="94">
        <f>SUMIFS('caseload data'!G:G,'caseload data'!$D:$D,"PO",'caseload data'!$A:$A,$B$57)</f>
        <v>0</v>
      </c>
      <c r="G57" s="94">
        <f>SUMIFS('caseload data'!H:H,'caseload data'!$D:$D,"PO",'caseload data'!$A:$A,$B$57)</f>
        <v>0</v>
      </c>
      <c r="H57" s="94">
        <f>SUMIFS('caseload data'!I:I,'caseload data'!$D:$D,"PO",'caseload data'!$A:$A,$B$57)</f>
        <v>0</v>
      </c>
      <c r="I57" s="94">
        <f>SUMIFS('caseload data'!J:J,'caseload data'!$D:$D,"PO",'caseload data'!$A:$A,$B$57)</f>
        <v>0</v>
      </c>
      <c r="J57" s="94">
        <f>SUMIFS('caseload data'!K:K,'caseload data'!$D:$D,"PO",'caseload data'!$A:$A,$B$57)</f>
        <v>0</v>
      </c>
      <c r="K57" s="94">
        <f>SUMIFS('caseload data'!L:L,'caseload data'!$D:$D,"PO",'caseload data'!$A:$A,$B$57)</f>
        <v>0</v>
      </c>
      <c r="L57" s="94">
        <f>SUMIFS('caseload data'!M:M,'caseload data'!$D:$D,"PO",'caseload data'!$A:$A,$B$57)</f>
        <v>0</v>
      </c>
      <c r="M57" s="94">
        <f>SUMIFS('caseload data'!N:N,'caseload data'!$D:$D,"PO",'caseload data'!$A:$A,$B$57)</f>
        <v>0</v>
      </c>
      <c r="N57" s="94">
        <f>SUMIFS('caseload data'!O:O,'caseload data'!$D:$D,"PO",'caseload data'!$A:$A,$B$57)</f>
        <v>0</v>
      </c>
      <c r="O57" s="94">
        <f>SUMIFS('caseload data'!P:P,'caseload data'!$D:$D,"PO",'caseload data'!$A:$A,$B$57)</f>
        <v>0</v>
      </c>
      <c r="P57" s="94">
        <f>SUMIFS('caseload data'!Q:Q,'caseload data'!$D:$D,"PO",'caseload data'!$A:$A,$B$57)</f>
        <v>0</v>
      </c>
      <c r="Q57" s="94">
        <f>SUMIFS('caseload data'!R:R,'caseload data'!$D:$D,"PO",'caseload data'!$A:$A,$B$57)</f>
        <v>0</v>
      </c>
      <c r="R57" s="94">
        <f>SUMIFS('caseload data'!S:S,'caseload data'!$D:$D,"PO",'caseload data'!$A:$A,$B$57)</f>
        <v>0</v>
      </c>
      <c r="S57" s="94">
        <f>SUMIFS('caseload data'!T:T,'caseload data'!$D:$D,"PO",'caseload data'!$A:$A,$B$57)</f>
        <v>0</v>
      </c>
      <c r="T57" s="94">
        <f>SUMIFS('caseload data'!V:V,'caseload data'!$D:$D,"PO",'caseload data'!$A:$A,B57)</f>
        <v>0</v>
      </c>
      <c r="U57" s="64"/>
      <c r="V57" s="64"/>
      <c r="W57" s="503" t="s">
        <v>27</v>
      </c>
      <c r="X57" s="128" t="s">
        <v>947</v>
      </c>
      <c r="Y57" s="167" t="e">
        <f>SUM(D57)/SUM(D$57:D$61)</f>
        <v>#DIV/0!</v>
      </c>
      <c r="Z57" s="167" t="e">
        <f t="shared" ref="Z57:AO61" si="39">SUM(E57)/SUM(E$57:E$61)</f>
        <v>#DIV/0!</v>
      </c>
      <c r="AA57" s="167" t="e">
        <f t="shared" si="39"/>
        <v>#DIV/0!</v>
      </c>
      <c r="AB57" s="167" t="e">
        <f t="shared" si="39"/>
        <v>#DIV/0!</v>
      </c>
      <c r="AC57" s="167" t="e">
        <f t="shared" si="39"/>
        <v>#DIV/0!</v>
      </c>
      <c r="AD57" s="167" t="e">
        <f t="shared" si="39"/>
        <v>#DIV/0!</v>
      </c>
      <c r="AE57" s="167" t="e">
        <f t="shared" si="39"/>
        <v>#DIV/0!</v>
      </c>
      <c r="AF57" s="167" t="e">
        <f t="shared" si="39"/>
        <v>#DIV/0!</v>
      </c>
      <c r="AG57" s="167" t="e">
        <f t="shared" si="39"/>
        <v>#DIV/0!</v>
      </c>
      <c r="AH57" s="167" t="e">
        <f t="shared" si="39"/>
        <v>#DIV/0!</v>
      </c>
      <c r="AI57" s="167" t="e">
        <f t="shared" si="39"/>
        <v>#DIV/0!</v>
      </c>
      <c r="AJ57" s="167" t="e">
        <f t="shared" si="39"/>
        <v>#DIV/0!</v>
      </c>
      <c r="AK57" s="167" t="e">
        <f t="shared" si="39"/>
        <v>#DIV/0!</v>
      </c>
      <c r="AL57" s="167" t="e">
        <f t="shared" si="39"/>
        <v>#DIV/0!</v>
      </c>
      <c r="AM57" s="167" t="e">
        <f t="shared" si="39"/>
        <v>#DIV/0!</v>
      </c>
      <c r="AN57" s="167" t="e">
        <f t="shared" si="39"/>
        <v>#DIV/0!</v>
      </c>
      <c r="AO57" s="167" t="e">
        <f t="shared" si="39"/>
        <v>#DIV/0!</v>
      </c>
    </row>
    <row r="58" spans="2:41" x14ac:dyDescent="0.15">
      <c r="B58" s="510"/>
      <c r="C58" s="129" t="s">
        <v>952</v>
      </c>
      <c r="D58" s="368">
        <f>SUMIFS('caseload data'!E:E,'caseload data'!$D:$D,"PSO",'caseload data'!$A:$A,"West Midlands Region")</f>
        <v>0</v>
      </c>
      <c r="E58" s="94">
        <f>SUMIFS('caseload data'!F:F,'caseload data'!$D:$D,"PSO",'caseload data'!$A:$A,"West Midlands Region")</f>
        <v>0</v>
      </c>
      <c r="F58" s="94">
        <f>SUMIFS('caseload data'!G:G,'caseload data'!$D:$D,"PSO",'caseload data'!$A:$A,"West Midlands Region")</f>
        <v>0</v>
      </c>
      <c r="G58" s="94">
        <f>SUMIFS('caseload data'!H:H,'caseload data'!$D:$D,"PSO",'caseload data'!$A:$A,"West Midlands Region")</f>
        <v>0</v>
      </c>
      <c r="H58" s="94">
        <f>SUMIFS('caseload data'!I:I,'caseload data'!$D:$D,"PSO",'caseload data'!$A:$A,"West Midlands Region")</f>
        <v>0</v>
      </c>
      <c r="I58" s="94">
        <f>SUMIFS('caseload data'!J:J,'caseload data'!$D:$D,"PSO",'caseload data'!$A:$A,"West Midlands Region")</f>
        <v>0</v>
      </c>
      <c r="J58" s="94">
        <f>SUMIFS('caseload data'!K:K,'caseload data'!$D:$D,"PSO",'caseload data'!$A:$A,"West Midlands Region")</f>
        <v>0</v>
      </c>
      <c r="K58" s="94">
        <f>SUMIFS('caseload data'!L:L,'caseload data'!$D:$D,"PSO",'caseload data'!$A:$A,"West Midlands Region")</f>
        <v>0</v>
      </c>
      <c r="L58" s="94">
        <f>SUMIFS('caseload data'!M:M,'caseload data'!$D:$D,"PSO",'caseload data'!$A:$A,"West Midlands Region")</f>
        <v>0</v>
      </c>
      <c r="M58" s="94">
        <f>SUMIFS('caseload data'!N:N,'caseload data'!$D:$D,"PSO",'caseload data'!$A:$A,"West Midlands Region")</f>
        <v>0</v>
      </c>
      <c r="N58" s="94">
        <f>SUMIFS('caseload data'!O:O,'caseload data'!$D:$D,"PSO",'caseload data'!$A:$A,"West Midlands Region")</f>
        <v>0</v>
      </c>
      <c r="O58" s="94">
        <f>SUMIFS('caseload data'!P:P,'caseload data'!$D:$D,"PSO",'caseload data'!$A:$A,"West Midlands Region")</f>
        <v>0</v>
      </c>
      <c r="P58" s="94">
        <f>SUMIFS('caseload data'!Q:Q,'caseload data'!$D:$D,"PSO",'caseload data'!$A:$A,"West Midlands Region")</f>
        <v>0</v>
      </c>
      <c r="Q58" s="94">
        <f>SUMIFS('caseload data'!R:R,'caseload data'!$D:$D,"PSO",'caseload data'!$A:$A,"West Midlands Region")</f>
        <v>0</v>
      </c>
      <c r="R58" s="94">
        <f>SUMIFS('caseload data'!S:S,'caseload data'!$D:$D,"PSO",'caseload data'!$A:$A,"West Midlands Region")</f>
        <v>0</v>
      </c>
      <c r="S58" s="94">
        <f>SUMIFS('caseload data'!T:T,'caseload data'!$D:$D,"PSO",'caseload data'!$A:$A,"West Midlands Region")</f>
        <v>0</v>
      </c>
      <c r="T58" s="94">
        <f>SUMIFS('caseload data'!V:V,'caseload data'!$D:$D,"PSO",'caseload data'!$A:$A,"West Midlands Region")</f>
        <v>0</v>
      </c>
      <c r="U58" s="64"/>
      <c r="V58" s="64"/>
      <c r="W58" s="504"/>
      <c r="X58" s="129" t="s">
        <v>952</v>
      </c>
      <c r="Y58" s="167" t="e">
        <f t="shared" ref="Y58:Y61" si="40">SUM(D58)/SUM(D$57:D$61)</f>
        <v>#DIV/0!</v>
      </c>
      <c r="Z58" s="167" t="e">
        <f t="shared" si="39"/>
        <v>#DIV/0!</v>
      </c>
      <c r="AA58" s="167" t="e">
        <f t="shared" si="39"/>
        <v>#DIV/0!</v>
      </c>
      <c r="AB58" s="167" t="e">
        <f t="shared" si="39"/>
        <v>#DIV/0!</v>
      </c>
      <c r="AC58" s="167" t="e">
        <f t="shared" si="39"/>
        <v>#DIV/0!</v>
      </c>
      <c r="AD58" s="167" t="e">
        <f t="shared" si="39"/>
        <v>#DIV/0!</v>
      </c>
      <c r="AE58" s="167" t="e">
        <f t="shared" si="39"/>
        <v>#DIV/0!</v>
      </c>
      <c r="AF58" s="167" t="e">
        <f t="shared" si="39"/>
        <v>#DIV/0!</v>
      </c>
      <c r="AG58" s="167" t="e">
        <f t="shared" si="39"/>
        <v>#DIV/0!</v>
      </c>
      <c r="AH58" s="167" t="e">
        <f t="shared" si="39"/>
        <v>#DIV/0!</v>
      </c>
      <c r="AI58" s="167" t="e">
        <f t="shared" si="39"/>
        <v>#DIV/0!</v>
      </c>
      <c r="AJ58" s="167" t="e">
        <f t="shared" si="39"/>
        <v>#DIV/0!</v>
      </c>
      <c r="AK58" s="167" t="e">
        <f t="shared" si="39"/>
        <v>#DIV/0!</v>
      </c>
      <c r="AL58" s="167" t="e">
        <f t="shared" si="39"/>
        <v>#DIV/0!</v>
      </c>
      <c r="AM58" s="167" t="e">
        <f t="shared" si="39"/>
        <v>#DIV/0!</v>
      </c>
      <c r="AN58" s="167" t="e">
        <f t="shared" si="39"/>
        <v>#DIV/0!</v>
      </c>
      <c r="AO58" s="167" t="e">
        <f t="shared" si="39"/>
        <v>#DIV/0!</v>
      </c>
    </row>
    <row r="59" spans="2:41" x14ac:dyDescent="0.15">
      <c r="B59" s="510"/>
      <c r="C59" s="129" t="s">
        <v>953</v>
      </c>
      <c r="D59" s="368">
        <f>SUMIFS('caseload data'!E:E,'caseload data'!$D:$D,"TPO",'caseload data'!$A:$A,"West Midlands Region")</f>
        <v>0</v>
      </c>
      <c r="E59" s="94">
        <f>SUMIFS('caseload data'!F:F,'caseload data'!$D:$D,"TPO",'caseload data'!$A:$A,"West Midlands Region")</f>
        <v>0</v>
      </c>
      <c r="F59" s="94">
        <f>SUMIFS('caseload data'!G:G,'caseload data'!$D:$D,"TPO",'caseload data'!$A:$A,"West Midlands Region")</f>
        <v>0</v>
      </c>
      <c r="G59" s="94">
        <f>SUMIFS('caseload data'!H:H,'caseload data'!$D:$D,"TPO",'caseload data'!$A:$A,"West Midlands Region")</f>
        <v>0</v>
      </c>
      <c r="H59" s="94">
        <f>SUMIFS('caseload data'!I:I,'caseload data'!$D:$D,"TPO",'caseload data'!$A:$A,"West Midlands Region")</f>
        <v>0</v>
      </c>
      <c r="I59" s="94">
        <f>SUMIFS('caseload data'!J:J,'caseload data'!$D:$D,"TPO",'caseload data'!$A:$A,"West Midlands Region")</f>
        <v>0</v>
      </c>
      <c r="J59" s="94">
        <f>SUMIFS('caseload data'!K:K,'caseload data'!$D:$D,"TPO",'caseload data'!$A:$A,"West Midlands Region")</f>
        <v>0</v>
      </c>
      <c r="K59" s="94">
        <f>SUMIFS('caseload data'!L:L,'caseload data'!$D:$D,"TPO",'caseload data'!$A:$A,"West Midlands Region")</f>
        <v>0</v>
      </c>
      <c r="L59" s="94">
        <f>SUMIFS('caseload data'!M:M,'caseload data'!$D:$D,"TPO",'caseload data'!$A:$A,"West Midlands Region")</f>
        <v>0</v>
      </c>
      <c r="M59" s="94">
        <f>SUMIFS('caseload data'!N:N,'caseload data'!$D:$D,"TPO",'caseload data'!$A:$A,"West Midlands Region")</f>
        <v>0</v>
      </c>
      <c r="N59" s="94">
        <f>SUMIFS('caseload data'!O:O,'caseload data'!$D:$D,"TPO",'caseload data'!$A:$A,"West Midlands Region")</f>
        <v>0</v>
      </c>
      <c r="O59" s="94">
        <f>SUMIFS('caseload data'!P:P,'caseload data'!$D:$D,"TPO",'caseload data'!$A:$A,"West Midlands Region")</f>
        <v>0</v>
      </c>
      <c r="P59" s="94">
        <f>SUMIFS('caseload data'!Q:Q,'caseload data'!$D:$D,"TPO",'caseload data'!$A:$A,"West Midlands Region")</f>
        <v>0</v>
      </c>
      <c r="Q59" s="94">
        <f>SUMIFS('caseload data'!R:R,'caseload data'!$D:$D,"TPO",'caseload data'!$A:$A,"West Midlands Region")</f>
        <v>0</v>
      </c>
      <c r="R59" s="94">
        <f>SUMIFS('caseload data'!S:S,'caseload data'!$D:$D,"TPO",'caseload data'!$A:$A,"West Midlands Region")</f>
        <v>0</v>
      </c>
      <c r="S59" s="94">
        <f>SUMIFS('caseload data'!T:T,'caseload data'!$D:$D,"TPO",'caseload data'!$A:$A,"West Midlands Region")</f>
        <v>0</v>
      </c>
      <c r="T59" s="94">
        <f>SUMIFS('caseload data'!V:V,'caseload data'!$D:$D,"TPO",'caseload data'!$A:$A,"West Midlands Region")</f>
        <v>0</v>
      </c>
      <c r="U59" s="64"/>
      <c r="V59" s="64"/>
      <c r="W59" s="504"/>
      <c r="X59" s="129" t="s">
        <v>953</v>
      </c>
      <c r="Y59" s="167" t="e">
        <f t="shared" si="40"/>
        <v>#DIV/0!</v>
      </c>
      <c r="Z59" s="167" t="e">
        <f t="shared" si="39"/>
        <v>#DIV/0!</v>
      </c>
      <c r="AA59" s="167" t="e">
        <f t="shared" si="39"/>
        <v>#DIV/0!</v>
      </c>
      <c r="AB59" s="167" t="e">
        <f t="shared" si="39"/>
        <v>#DIV/0!</v>
      </c>
      <c r="AC59" s="167" t="e">
        <f t="shared" si="39"/>
        <v>#DIV/0!</v>
      </c>
      <c r="AD59" s="167" t="e">
        <f t="shared" si="39"/>
        <v>#DIV/0!</v>
      </c>
      <c r="AE59" s="167" t="e">
        <f t="shared" si="39"/>
        <v>#DIV/0!</v>
      </c>
      <c r="AF59" s="167" t="e">
        <f t="shared" si="39"/>
        <v>#DIV/0!</v>
      </c>
      <c r="AG59" s="167" t="e">
        <f t="shared" si="39"/>
        <v>#DIV/0!</v>
      </c>
      <c r="AH59" s="167" t="e">
        <f t="shared" si="39"/>
        <v>#DIV/0!</v>
      </c>
      <c r="AI59" s="167" t="e">
        <f t="shared" si="39"/>
        <v>#DIV/0!</v>
      </c>
      <c r="AJ59" s="167" t="e">
        <f t="shared" si="39"/>
        <v>#DIV/0!</v>
      </c>
      <c r="AK59" s="167" t="e">
        <f t="shared" si="39"/>
        <v>#DIV/0!</v>
      </c>
      <c r="AL59" s="167" t="e">
        <f t="shared" si="39"/>
        <v>#DIV/0!</v>
      </c>
      <c r="AM59" s="167" t="e">
        <f t="shared" si="39"/>
        <v>#DIV/0!</v>
      </c>
      <c r="AN59" s="167" t="e">
        <f t="shared" si="39"/>
        <v>#DIV/0!</v>
      </c>
      <c r="AO59" s="167" t="e">
        <f t="shared" si="39"/>
        <v>#DIV/0!</v>
      </c>
    </row>
    <row r="60" spans="2:41" x14ac:dyDescent="0.15">
      <c r="B60" s="510"/>
      <c r="C60" s="129" t="s">
        <v>954</v>
      </c>
      <c r="D60" s="368">
        <f>SUMIFS('caseload data'!E:E,'caseload data'!$D:$D,"SPO",'caseload data'!$A:$A,"West Midlands Region")</f>
        <v>0</v>
      </c>
      <c r="E60" s="94">
        <f>SUMIFS('caseload data'!F:F,'caseload data'!$D:$D,"SPO",'caseload data'!$A:$A,"West Midlands Region")</f>
        <v>0</v>
      </c>
      <c r="F60" s="94">
        <f>SUMIFS('caseload data'!G:G,'caseload data'!$D:$D,"SPO",'caseload data'!$A:$A,"West Midlands Region")</f>
        <v>0</v>
      </c>
      <c r="G60" s="94">
        <f>SUMIFS('caseload data'!H:H,'caseload data'!$D:$D,"SPO",'caseload data'!$A:$A,"West Midlands Region")</f>
        <v>0</v>
      </c>
      <c r="H60" s="94">
        <f>SUMIFS('caseload data'!I:I,'caseload data'!$D:$D,"SPO",'caseload data'!$A:$A,"West Midlands Region")</f>
        <v>0</v>
      </c>
      <c r="I60" s="94">
        <f>SUMIFS('caseload data'!J:J,'caseload data'!$D:$D,"SPO",'caseload data'!$A:$A,"West Midlands Region")</f>
        <v>0</v>
      </c>
      <c r="J60" s="94">
        <f>SUMIFS('caseload data'!K:K,'caseload data'!$D:$D,"SPO",'caseload data'!$A:$A,"West Midlands Region")</f>
        <v>0</v>
      </c>
      <c r="K60" s="94">
        <f>SUMIFS('caseload data'!L:L,'caseload data'!$D:$D,"SPO",'caseload data'!$A:$A,"West Midlands Region")</f>
        <v>0</v>
      </c>
      <c r="L60" s="94">
        <f>SUMIFS('caseload data'!M:M,'caseload data'!$D:$D,"SPO",'caseload data'!$A:$A,"West Midlands Region")</f>
        <v>0</v>
      </c>
      <c r="M60" s="94">
        <f>SUMIFS('caseload data'!N:N,'caseload data'!$D:$D,"SPO",'caseload data'!$A:$A,"West Midlands Region")</f>
        <v>0</v>
      </c>
      <c r="N60" s="94">
        <f>SUMIFS('caseload data'!O:O,'caseload data'!$D:$D,"SPO",'caseload data'!$A:$A,"West Midlands Region")</f>
        <v>0</v>
      </c>
      <c r="O60" s="94">
        <f>SUMIFS('caseload data'!P:P,'caseload data'!$D:$D,"SPO",'caseload data'!$A:$A,"West Midlands Region")</f>
        <v>0</v>
      </c>
      <c r="P60" s="94">
        <f>SUMIFS('caseload data'!Q:Q,'caseload data'!$D:$D,"SPO",'caseload data'!$A:$A,"West Midlands Region")</f>
        <v>0</v>
      </c>
      <c r="Q60" s="94">
        <f>SUMIFS('caseload data'!R:R,'caseload data'!$D:$D,"SPO",'caseload data'!$A:$A,"West Midlands Region")</f>
        <v>0</v>
      </c>
      <c r="R60" s="94">
        <f>SUMIFS('caseload data'!S:S,'caseload data'!$D:$D,"SPO",'caseload data'!$A:$A,"West Midlands Region")</f>
        <v>0</v>
      </c>
      <c r="S60" s="94">
        <f>SUMIFS('caseload data'!T:T,'caseload data'!$D:$D,"SPO",'caseload data'!$A:$A,"West Midlands Region")</f>
        <v>0</v>
      </c>
      <c r="T60" s="94">
        <f>SUMIFS('caseload data'!V:V,'caseload data'!$D:$D,"SPO",'caseload data'!$A:$A,"West Midlands Region")</f>
        <v>0</v>
      </c>
      <c r="U60" s="64"/>
      <c r="V60" s="64"/>
      <c r="W60" s="504"/>
      <c r="X60" s="129" t="s">
        <v>954</v>
      </c>
      <c r="Y60" s="167" t="e">
        <f t="shared" si="40"/>
        <v>#DIV/0!</v>
      </c>
      <c r="Z60" s="167" t="e">
        <f t="shared" si="39"/>
        <v>#DIV/0!</v>
      </c>
      <c r="AA60" s="167" t="e">
        <f t="shared" si="39"/>
        <v>#DIV/0!</v>
      </c>
      <c r="AB60" s="167" t="e">
        <f t="shared" si="39"/>
        <v>#DIV/0!</v>
      </c>
      <c r="AC60" s="167" t="e">
        <f t="shared" si="39"/>
        <v>#DIV/0!</v>
      </c>
      <c r="AD60" s="167" t="e">
        <f t="shared" si="39"/>
        <v>#DIV/0!</v>
      </c>
      <c r="AE60" s="167" t="e">
        <f t="shared" si="39"/>
        <v>#DIV/0!</v>
      </c>
      <c r="AF60" s="167" t="e">
        <f t="shared" si="39"/>
        <v>#DIV/0!</v>
      </c>
      <c r="AG60" s="167" t="e">
        <f t="shared" si="39"/>
        <v>#DIV/0!</v>
      </c>
      <c r="AH60" s="167" t="e">
        <f t="shared" si="39"/>
        <v>#DIV/0!</v>
      </c>
      <c r="AI60" s="167" t="e">
        <f t="shared" si="39"/>
        <v>#DIV/0!</v>
      </c>
      <c r="AJ60" s="167" t="e">
        <f t="shared" si="39"/>
        <v>#DIV/0!</v>
      </c>
      <c r="AK60" s="167" t="e">
        <f t="shared" si="39"/>
        <v>#DIV/0!</v>
      </c>
      <c r="AL60" s="167" t="e">
        <f t="shared" si="39"/>
        <v>#DIV/0!</v>
      </c>
      <c r="AM60" s="167" t="e">
        <f t="shared" si="39"/>
        <v>#DIV/0!</v>
      </c>
      <c r="AN60" s="167" t="e">
        <f t="shared" si="39"/>
        <v>#DIV/0!</v>
      </c>
      <c r="AO60" s="167" t="e">
        <f t="shared" si="39"/>
        <v>#DIV/0!</v>
      </c>
    </row>
    <row r="61" spans="2:41" x14ac:dyDescent="0.15">
      <c r="B61" s="511"/>
      <c r="C61" s="130" t="s">
        <v>1286</v>
      </c>
      <c r="D61" s="368">
        <f>SUMIFS('caseload data'!E:E,'caseload data'!$D:$D,"DMY",'caseload data'!$A:$A,"West Midlands Region")</f>
        <v>0</v>
      </c>
      <c r="E61" s="368">
        <f>SUMIFS('caseload data'!F:F,'caseload data'!$D:$D,"DMY",'caseload data'!$A:$A,"West Midlands Region")</f>
        <v>0</v>
      </c>
      <c r="F61" s="368">
        <f>SUMIFS('caseload data'!G:G,'caseload data'!$D:$D,"DMY",'caseload data'!$A:$A,"West Midlands Region")</f>
        <v>0</v>
      </c>
      <c r="G61" s="368">
        <f>SUMIFS('caseload data'!H:H,'caseload data'!$D:$D,"DMY",'caseload data'!$A:$A,"West Midlands Region")</f>
        <v>0</v>
      </c>
      <c r="H61" s="368">
        <f>SUMIFS('caseload data'!I:I,'caseload data'!$D:$D,"DMY",'caseload data'!$A:$A,"West Midlands Region")</f>
        <v>0</v>
      </c>
      <c r="I61" s="368">
        <f>SUMIFS('caseload data'!J:J,'caseload data'!$D:$D,"DMY",'caseload data'!$A:$A,"West Midlands Region")</f>
        <v>0</v>
      </c>
      <c r="J61" s="368">
        <f>SUMIFS('caseload data'!K:K,'caseload data'!$D:$D,"DMY",'caseload data'!$A:$A,"West Midlands Region")</f>
        <v>0</v>
      </c>
      <c r="K61" s="368">
        <f>SUMIFS('caseload data'!L:L,'caseload data'!$D:$D,"DMY",'caseload data'!$A:$A,"West Midlands Region")</f>
        <v>0</v>
      </c>
      <c r="L61" s="368">
        <f>SUMIFS('caseload data'!M:M,'caseload data'!$D:$D,"DMY",'caseload data'!$A:$A,"West Midlands Region")</f>
        <v>0</v>
      </c>
      <c r="M61" s="368">
        <f>SUMIFS('caseload data'!N:N,'caseload data'!$D:$D,"DMY",'caseload data'!$A:$A,"West Midlands Region")</f>
        <v>0</v>
      </c>
      <c r="N61" s="368">
        <f>SUMIFS('caseload data'!O:O,'caseload data'!$D:$D,"DMY",'caseload data'!$A:$A,"West Midlands Region")</f>
        <v>0</v>
      </c>
      <c r="O61" s="368">
        <f>SUMIFS('caseload data'!P:P,'caseload data'!$D:$D,"DMY",'caseload data'!$A:$A,"West Midlands Region")</f>
        <v>0</v>
      </c>
      <c r="P61" s="368">
        <f>SUMIFS('caseload data'!Q:Q,'caseload data'!$D:$D,"DMY",'caseload data'!$A:$A,"West Midlands Region")</f>
        <v>0</v>
      </c>
      <c r="Q61" s="368">
        <f>SUMIFS('caseload data'!R:R,'caseload data'!$D:$D,"DMY",'caseload data'!$A:$A,"West Midlands Region")</f>
        <v>0</v>
      </c>
      <c r="R61" s="368">
        <f>SUMIFS('caseload data'!S:S,'caseload data'!$D:$D,"DMY",'caseload data'!$A:$A,"West Midlands Region")</f>
        <v>0</v>
      </c>
      <c r="S61" s="368">
        <f>SUMIFS('caseload data'!T:T,'caseload data'!$D:$D,"DMY",'caseload data'!$A:$A,"West Midlands Region")</f>
        <v>0</v>
      </c>
      <c r="T61" s="94">
        <f>SUMIFS('caseload data'!V:V,'caseload data'!$D:$D,"DMY",'caseload data'!$A:$A,"West Midlands Region")</f>
        <v>0</v>
      </c>
      <c r="U61" s="64"/>
      <c r="V61" s="64"/>
      <c r="W61" s="505"/>
      <c r="X61" s="130" t="s">
        <v>1286</v>
      </c>
      <c r="Y61" s="167" t="e">
        <f t="shared" si="40"/>
        <v>#DIV/0!</v>
      </c>
      <c r="Z61" s="167" t="e">
        <f t="shared" si="39"/>
        <v>#DIV/0!</v>
      </c>
      <c r="AA61" s="167" t="e">
        <f t="shared" si="39"/>
        <v>#DIV/0!</v>
      </c>
      <c r="AB61" s="167" t="e">
        <f t="shared" si="39"/>
        <v>#DIV/0!</v>
      </c>
      <c r="AC61" s="167" t="e">
        <f t="shared" si="39"/>
        <v>#DIV/0!</v>
      </c>
      <c r="AD61" s="167" t="e">
        <f t="shared" si="39"/>
        <v>#DIV/0!</v>
      </c>
      <c r="AE61" s="167" t="e">
        <f t="shared" si="39"/>
        <v>#DIV/0!</v>
      </c>
      <c r="AF61" s="167" t="e">
        <f t="shared" si="39"/>
        <v>#DIV/0!</v>
      </c>
      <c r="AG61" s="167" t="e">
        <f t="shared" si="39"/>
        <v>#DIV/0!</v>
      </c>
      <c r="AH61" s="167" t="e">
        <f t="shared" si="39"/>
        <v>#DIV/0!</v>
      </c>
      <c r="AI61" s="167" t="e">
        <f t="shared" si="39"/>
        <v>#DIV/0!</v>
      </c>
      <c r="AJ61" s="167" t="e">
        <f t="shared" si="39"/>
        <v>#DIV/0!</v>
      </c>
      <c r="AK61" s="167" t="e">
        <f t="shared" si="39"/>
        <v>#DIV/0!</v>
      </c>
      <c r="AL61" s="167" t="e">
        <f t="shared" si="39"/>
        <v>#DIV/0!</v>
      </c>
      <c r="AM61" s="167" t="e">
        <f t="shared" si="39"/>
        <v>#DIV/0!</v>
      </c>
      <c r="AN61" s="167" t="e">
        <f t="shared" si="39"/>
        <v>#DIV/0!</v>
      </c>
      <c r="AO61" s="167" t="e">
        <f t="shared" si="39"/>
        <v>#DIV/0!</v>
      </c>
    </row>
    <row r="62" spans="2:41" x14ac:dyDescent="0.15">
      <c r="B62" s="503" t="s">
        <v>28</v>
      </c>
      <c r="C62" s="129" t="s">
        <v>947</v>
      </c>
      <c r="D62" s="94">
        <f>SUMIFS('caseload data'!E:E,'caseload data'!$D:$D,"PO",'caseload data'!$A:$A,$B$62)</f>
        <v>0</v>
      </c>
      <c r="E62" s="94">
        <f>SUMIFS('caseload data'!F:F,'caseload data'!$D:$D,"PO",'caseload data'!$A:$A,$B$62)</f>
        <v>0</v>
      </c>
      <c r="F62" s="94">
        <f>SUMIFS('caseload data'!G:G,'caseload data'!$D:$D,"PO",'caseload data'!$A:$A,$B$62)</f>
        <v>0</v>
      </c>
      <c r="G62" s="94">
        <f>SUMIFS('caseload data'!H:H,'caseload data'!$D:$D,"PO",'caseload data'!$A:$A,$B$62)</f>
        <v>0</v>
      </c>
      <c r="H62" s="94">
        <f>SUMIFS('caseload data'!I:I,'caseload data'!$D:$D,"PO",'caseload data'!$A:$A,$B$62)</f>
        <v>0</v>
      </c>
      <c r="I62" s="94">
        <f>SUMIFS('caseload data'!J:J,'caseload data'!$D:$D,"PO",'caseload data'!$A:$A,$B$62)</f>
        <v>0</v>
      </c>
      <c r="J62" s="94">
        <f>SUMIFS('caseload data'!K:K,'caseload data'!$D:$D,"PO",'caseload data'!$A:$A,$B$62)</f>
        <v>0</v>
      </c>
      <c r="K62" s="94">
        <f>SUMIFS('caseload data'!L:L,'caseload data'!$D:$D,"PO",'caseload data'!$A:$A,$B$62)</f>
        <v>0</v>
      </c>
      <c r="L62" s="94">
        <f>SUMIFS('caseload data'!M:M,'caseload data'!$D:$D,"PO",'caseload data'!$A:$A,$B$62)</f>
        <v>0</v>
      </c>
      <c r="M62" s="94">
        <f>SUMIFS('caseload data'!N:N,'caseload data'!$D:$D,"PO",'caseload data'!$A:$A,$B$62)</f>
        <v>0</v>
      </c>
      <c r="N62" s="94">
        <f>SUMIFS('caseload data'!O:O,'caseload data'!$D:$D,"PO",'caseload data'!$A:$A,$B$62)</f>
        <v>0</v>
      </c>
      <c r="O62" s="94">
        <f>SUMIFS('caseload data'!P:P,'caseload data'!$D:$D,"PO",'caseload data'!$A:$A,$B$62)</f>
        <v>0</v>
      </c>
      <c r="P62" s="94">
        <f>SUMIFS('caseload data'!Q:Q,'caseload data'!$D:$D,"PO",'caseload data'!$A:$A,$B$62)</f>
        <v>0</v>
      </c>
      <c r="Q62" s="94">
        <f>SUMIFS('caseload data'!R:R,'caseload data'!$D:$D,"PO",'caseload data'!$A:$A,$B$62)</f>
        <v>0</v>
      </c>
      <c r="R62" s="94">
        <f>SUMIFS('caseload data'!S:S,'caseload data'!$D:$D,"PO",'caseload data'!$A:$A,$B$62)</f>
        <v>0</v>
      </c>
      <c r="S62" s="94">
        <f>SUMIFS('caseload data'!T:T,'caseload data'!$D:$D,"PO",'caseload data'!$A:$A,$B$62)</f>
        <v>0</v>
      </c>
      <c r="T62" s="94">
        <f>SUMIFS('caseload data'!V:V,'caseload data'!$D:$D,"PO",'caseload data'!$A:$A,B62)</f>
        <v>0</v>
      </c>
      <c r="U62" s="64"/>
      <c r="V62" s="64"/>
      <c r="W62" s="509" t="s">
        <v>28</v>
      </c>
      <c r="X62" s="129" t="s">
        <v>947</v>
      </c>
      <c r="Y62" s="167" t="e">
        <f>SUM(D62)/SUM(D$62:D$66)</f>
        <v>#DIV/0!</v>
      </c>
      <c r="Z62" s="167" t="e">
        <f t="shared" ref="Z62:AO66" si="41">SUM(E62)/SUM(E$62:E$66)</f>
        <v>#DIV/0!</v>
      </c>
      <c r="AA62" s="167" t="e">
        <f t="shared" si="41"/>
        <v>#DIV/0!</v>
      </c>
      <c r="AB62" s="167" t="e">
        <f t="shared" si="41"/>
        <v>#DIV/0!</v>
      </c>
      <c r="AC62" s="167" t="e">
        <f t="shared" si="41"/>
        <v>#DIV/0!</v>
      </c>
      <c r="AD62" s="167" t="e">
        <f t="shared" si="41"/>
        <v>#DIV/0!</v>
      </c>
      <c r="AE62" s="167" t="e">
        <f t="shared" si="41"/>
        <v>#DIV/0!</v>
      </c>
      <c r="AF62" s="167" t="e">
        <f t="shared" si="41"/>
        <v>#DIV/0!</v>
      </c>
      <c r="AG62" s="167" t="e">
        <f t="shared" si="41"/>
        <v>#DIV/0!</v>
      </c>
      <c r="AH62" s="167" t="e">
        <f t="shared" si="41"/>
        <v>#DIV/0!</v>
      </c>
      <c r="AI62" s="167" t="e">
        <f t="shared" si="41"/>
        <v>#DIV/0!</v>
      </c>
      <c r="AJ62" s="167" t="e">
        <f t="shared" si="41"/>
        <v>#DIV/0!</v>
      </c>
      <c r="AK62" s="167" t="e">
        <f t="shared" si="41"/>
        <v>#DIV/0!</v>
      </c>
      <c r="AL62" s="167" t="e">
        <f t="shared" si="41"/>
        <v>#DIV/0!</v>
      </c>
      <c r="AM62" s="167" t="e">
        <f t="shared" si="41"/>
        <v>#DIV/0!</v>
      </c>
      <c r="AN62" s="167" t="e">
        <f t="shared" si="41"/>
        <v>#DIV/0!</v>
      </c>
      <c r="AO62" s="167" t="e">
        <f t="shared" si="41"/>
        <v>#DIV/0!</v>
      </c>
    </row>
    <row r="63" spans="2:41" x14ac:dyDescent="0.15">
      <c r="B63" s="504"/>
      <c r="C63" s="129" t="s">
        <v>952</v>
      </c>
      <c r="D63" s="94">
        <f>SUMIFS('caseload data'!E:E,'caseload data'!$D:$D,"PSO",'caseload data'!$A:$A,"Yorkshire and The Humber")</f>
        <v>0</v>
      </c>
      <c r="E63" s="94">
        <f>SUMIFS('caseload data'!F:F,'caseload data'!$D:$D,"PSO",'caseload data'!$A:$A,"Yorkshire and The Humber")</f>
        <v>0</v>
      </c>
      <c r="F63" s="94">
        <f>SUMIFS('caseload data'!G:G,'caseload data'!$D:$D,"PSO",'caseload data'!$A:$A,"Yorkshire and The Humber")</f>
        <v>0</v>
      </c>
      <c r="G63" s="94">
        <f>SUMIFS('caseload data'!H:H,'caseload data'!$D:$D,"PSO",'caseload data'!$A:$A,"Yorkshire and The Humber")</f>
        <v>0</v>
      </c>
      <c r="H63" s="94">
        <f>SUMIFS('caseload data'!I:I,'caseload data'!$D:$D,"PSO",'caseload data'!$A:$A,"Yorkshire and The Humber")</f>
        <v>0</v>
      </c>
      <c r="I63" s="94">
        <f>SUMIFS('caseload data'!J:J,'caseload data'!$D:$D,"PSO",'caseload data'!$A:$A,"Yorkshire and The Humber")</f>
        <v>0</v>
      </c>
      <c r="J63" s="94">
        <f>SUMIFS('caseload data'!K:K,'caseload data'!$D:$D,"PSO",'caseload data'!$A:$A,"Yorkshire and The Humber")</f>
        <v>0</v>
      </c>
      <c r="K63" s="94">
        <f>SUMIFS('caseload data'!L:L,'caseload data'!$D:$D,"PSO",'caseload data'!$A:$A,"Yorkshire and The Humber")</f>
        <v>0</v>
      </c>
      <c r="L63" s="94">
        <f>SUMIFS('caseload data'!M:M,'caseload data'!$D:$D,"PSO",'caseload data'!$A:$A,"Yorkshire and The Humber")</f>
        <v>0</v>
      </c>
      <c r="M63" s="94">
        <f>SUMIFS('caseload data'!N:N,'caseload data'!$D:$D,"PSO",'caseload data'!$A:$A,"Yorkshire and The Humber")</f>
        <v>0</v>
      </c>
      <c r="N63" s="94">
        <f>SUMIFS('caseload data'!O:O,'caseload data'!$D:$D,"PSO",'caseload data'!$A:$A,"Yorkshire and The Humber")</f>
        <v>0</v>
      </c>
      <c r="O63" s="94">
        <f>SUMIFS('caseload data'!P:P,'caseload data'!$D:$D,"PSO",'caseload data'!$A:$A,"Yorkshire and The Humber")</f>
        <v>0</v>
      </c>
      <c r="P63" s="94">
        <f>SUMIFS('caseload data'!Q:Q,'caseload data'!$D:$D,"PSO",'caseload data'!$A:$A,"Yorkshire and The Humber")</f>
        <v>0</v>
      </c>
      <c r="Q63" s="94">
        <f>SUMIFS('caseload data'!R:R,'caseload data'!$D:$D,"PSO",'caseload data'!$A:$A,"Yorkshire and The Humber")</f>
        <v>0</v>
      </c>
      <c r="R63" s="94">
        <f>SUMIFS('caseload data'!S:S,'caseload data'!$D:$D,"PSO",'caseload data'!$A:$A,"Yorkshire and The Humber")</f>
        <v>0</v>
      </c>
      <c r="S63" s="94">
        <f>SUMIFS('caseload data'!T:T,'caseload data'!$D:$D,"PSO",'caseload data'!$A:$A,"Yorkshire and The Humber")</f>
        <v>0</v>
      </c>
      <c r="T63" s="94">
        <f>SUMIFS('caseload data'!V:V,'caseload data'!$D:$D,"PSO",'caseload data'!$A:$A,"Yorkshire and The Humber")</f>
        <v>0</v>
      </c>
      <c r="U63" s="64"/>
      <c r="V63" s="64"/>
      <c r="W63" s="510"/>
      <c r="X63" s="129" t="s">
        <v>952</v>
      </c>
      <c r="Y63" s="167" t="e">
        <f t="shared" ref="Y63:Y66" si="42">SUM(D63)/SUM(D$62:D$66)</f>
        <v>#DIV/0!</v>
      </c>
      <c r="Z63" s="167" t="e">
        <f t="shared" si="41"/>
        <v>#DIV/0!</v>
      </c>
      <c r="AA63" s="167" t="e">
        <f t="shared" si="41"/>
        <v>#DIV/0!</v>
      </c>
      <c r="AB63" s="167" t="e">
        <f t="shared" si="41"/>
        <v>#DIV/0!</v>
      </c>
      <c r="AC63" s="167" t="e">
        <f t="shared" si="41"/>
        <v>#DIV/0!</v>
      </c>
      <c r="AD63" s="167" t="e">
        <f t="shared" si="41"/>
        <v>#DIV/0!</v>
      </c>
      <c r="AE63" s="167" t="e">
        <f t="shared" si="41"/>
        <v>#DIV/0!</v>
      </c>
      <c r="AF63" s="167" t="e">
        <f t="shared" si="41"/>
        <v>#DIV/0!</v>
      </c>
      <c r="AG63" s="167" t="e">
        <f t="shared" si="41"/>
        <v>#DIV/0!</v>
      </c>
      <c r="AH63" s="167" t="e">
        <f t="shared" si="41"/>
        <v>#DIV/0!</v>
      </c>
      <c r="AI63" s="167" t="e">
        <f t="shared" si="41"/>
        <v>#DIV/0!</v>
      </c>
      <c r="AJ63" s="167" t="e">
        <f t="shared" si="41"/>
        <v>#DIV/0!</v>
      </c>
      <c r="AK63" s="167" t="e">
        <f t="shared" si="41"/>
        <v>#DIV/0!</v>
      </c>
      <c r="AL63" s="167" t="e">
        <f t="shared" si="41"/>
        <v>#DIV/0!</v>
      </c>
      <c r="AM63" s="167" t="e">
        <f t="shared" si="41"/>
        <v>#DIV/0!</v>
      </c>
      <c r="AN63" s="167" t="e">
        <f t="shared" si="41"/>
        <v>#DIV/0!</v>
      </c>
      <c r="AO63" s="167" t="e">
        <f t="shared" si="41"/>
        <v>#DIV/0!</v>
      </c>
    </row>
    <row r="64" spans="2:41" x14ac:dyDescent="0.15">
      <c r="B64" s="504"/>
      <c r="C64" s="129" t="s">
        <v>953</v>
      </c>
      <c r="D64" s="94">
        <f>SUMIFS('caseload data'!E:E,'caseload data'!$D:$D,"TPO",'caseload data'!$A:$A,"Yorkshire and The Humber")</f>
        <v>0</v>
      </c>
      <c r="E64" s="94">
        <f>SUMIFS('caseload data'!F:F,'caseload data'!$D:$D,"TPO",'caseload data'!$A:$A,"Yorkshire and The Humber")</f>
        <v>0</v>
      </c>
      <c r="F64" s="94">
        <f>SUMIFS('caseload data'!G:G,'caseload data'!$D:$D,"TPO",'caseload data'!$A:$A,"Yorkshire and The Humber")</f>
        <v>0</v>
      </c>
      <c r="G64" s="94">
        <f>SUMIFS('caseload data'!H:H,'caseload data'!$D:$D,"TPO",'caseload data'!$A:$A,"Yorkshire and The Humber")</f>
        <v>0</v>
      </c>
      <c r="H64" s="94">
        <f>SUMIFS('caseload data'!I:I,'caseload data'!$D:$D,"TPO",'caseload data'!$A:$A,"Yorkshire and The Humber")</f>
        <v>0</v>
      </c>
      <c r="I64" s="94">
        <f>SUMIFS('caseload data'!J:J,'caseload data'!$D:$D,"TPO",'caseload data'!$A:$A,"Yorkshire and The Humber")</f>
        <v>0</v>
      </c>
      <c r="J64" s="94">
        <f>SUMIFS('caseload data'!K:K,'caseload data'!$D:$D,"TPO",'caseload data'!$A:$A,"Yorkshire and The Humber")</f>
        <v>0</v>
      </c>
      <c r="K64" s="94">
        <f>SUMIFS('caseload data'!L:L,'caseload data'!$D:$D,"TPO",'caseload data'!$A:$A,"Yorkshire and The Humber")</f>
        <v>0</v>
      </c>
      <c r="L64" s="94">
        <f>SUMIFS('caseload data'!M:M,'caseload data'!$D:$D,"TPO",'caseload data'!$A:$A,"Yorkshire and The Humber")</f>
        <v>0</v>
      </c>
      <c r="M64" s="94">
        <f>SUMIFS('caseload data'!N:N,'caseload data'!$D:$D,"TPO",'caseload data'!$A:$A,"Yorkshire and The Humber")</f>
        <v>0</v>
      </c>
      <c r="N64" s="94">
        <f>SUMIFS('caseload data'!O:O,'caseload data'!$D:$D,"TPO",'caseload data'!$A:$A,"Yorkshire and The Humber")</f>
        <v>0</v>
      </c>
      <c r="O64" s="94">
        <f>SUMIFS('caseload data'!P:P,'caseload data'!$D:$D,"TPO",'caseload data'!$A:$A,"Yorkshire and The Humber")</f>
        <v>0</v>
      </c>
      <c r="P64" s="94">
        <f>SUMIFS('caseload data'!Q:Q,'caseload data'!$D:$D,"TPO",'caseload data'!$A:$A,"Yorkshire and The Humber")</f>
        <v>0</v>
      </c>
      <c r="Q64" s="94">
        <f>SUMIFS('caseload data'!R:R,'caseload data'!$D:$D,"TPO",'caseload data'!$A:$A,"Yorkshire and The Humber")</f>
        <v>0</v>
      </c>
      <c r="R64" s="94">
        <f>SUMIFS('caseload data'!S:S,'caseload data'!$D:$D,"TPO",'caseload data'!$A:$A,"Yorkshire and The Humber")</f>
        <v>0</v>
      </c>
      <c r="S64" s="94">
        <f>SUMIFS('caseload data'!T:T,'caseload data'!$D:$D,"TPO",'caseload data'!$A:$A,"Yorkshire and The Humber")</f>
        <v>0</v>
      </c>
      <c r="T64" s="94">
        <f>SUMIFS('caseload data'!V:V,'caseload data'!$D:$D,"TPO",'caseload data'!$A:$A,"Yorkshire and The Humber")</f>
        <v>0</v>
      </c>
      <c r="U64" s="64"/>
      <c r="V64" s="64"/>
      <c r="W64" s="510"/>
      <c r="X64" s="129" t="s">
        <v>953</v>
      </c>
      <c r="Y64" s="167" t="e">
        <f t="shared" si="42"/>
        <v>#DIV/0!</v>
      </c>
      <c r="Z64" s="167" t="e">
        <f t="shared" si="41"/>
        <v>#DIV/0!</v>
      </c>
      <c r="AA64" s="167" t="e">
        <f t="shared" si="41"/>
        <v>#DIV/0!</v>
      </c>
      <c r="AB64" s="167" t="e">
        <f t="shared" si="41"/>
        <v>#DIV/0!</v>
      </c>
      <c r="AC64" s="167" t="e">
        <f t="shared" si="41"/>
        <v>#DIV/0!</v>
      </c>
      <c r="AD64" s="167" t="e">
        <f t="shared" si="41"/>
        <v>#DIV/0!</v>
      </c>
      <c r="AE64" s="167" t="e">
        <f t="shared" si="41"/>
        <v>#DIV/0!</v>
      </c>
      <c r="AF64" s="167" t="e">
        <f t="shared" si="41"/>
        <v>#DIV/0!</v>
      </c>
      <c r="AG64" s="167" t="e">
        <f t="shared" si="41"/>
        <v>#DIV/0!</v>
      </c>
      <c r="AH64" s="167" t="e">
        <f t="shared" si="41"/>
        <v>#DIV/0!</v>
      </c>
      <c r="AI64" s="167" t="e">
        <f t="shared" si="41"/>
        <v>#DIV/0!</v>
      </c>
      <c r="AJ64" s="167" t="e">
        <f t="shared" si="41"/>
        <v>#DIV/0!</v>
      </c>
      <c r="AK64" s="167" t="e">
        <f t="shared" si="41"/>
        <v>#DIV/0!</v>
      </c>
      <c r="AL64" s="167" t="e">
        <f t="shared" si="41"/>
        <v>#DIV/0!</v>
      </c>
      <c r="AM64" s="167" t="e">
        <f t="shared" si="41"/>
        <v>#DIV/0!</v>
      </c>
      <c r="AN64" s="167" t="e">
        <f t="shared" si="41"/>
        <v>#DIV/0!</v>
      </c>
      <c r="AO64" s="167" t="e">
        <f t="shared" si="41"/>
        <v>#DIV/0!</v>
      </c>
    </row>
    <row r="65" spans="2:41" x14ac:dyDescent="0.15">
      <c r="B65" s="504"/>
      <c r="C65" s="129" t="s">
        <v>954</v>
      </c>
      <c r="D65" s="94">
        <f>SUMIFS('caseload data'!E:E,'caseload data'!$D:$D,"SPO",'caseload data'!$A:$A,"Yorkshire and The Humber")</f>
        <v>0</v>
      </c>
      <c r="E65" s="94">
        <f>SUMIFS('caseload data'!F:F,'caseload data'!$D:$D,"SPO",'caseload data'!$A:$A,"Yorkshire and The Humber")</f>
        <v>0</v>
      </c>
      <c r="F65" s="94">
        <f>SUMIFS('caseload data'!G:G,'caseload data'!$D:$D,"SPO",'caseload data'!$A:$A,"Yorkshire and The Humber")</f>
        <v>0</v>
      </c>
      <c r="G65" s="94">
        <f>SUMIFS('caseload data'!H:H,'caseload data'!$D:$D,"SPO",'caseload data'!$A:$A,"Yorkshire and The Humber")</f>
        <v>0</v>
      </c>
      <c r="H65" s="94">
        <f>SUMIFS('caseload data'!I:I,'caseload data'!$D:$D,"SPO",'caseload data'!$A:$A,"Yorkshire and The Humber")</f>
        <v>0</v>
      </c>
      <c r="I65" s="94">
        <f>SUMIFS('caseload data'!J:J,'caseload data'!$D:$D,"SPO",'caseload data'!$A:$A,"Yorkshire and The Humber")</f>
        <v>0</v>
      </c>
      <c r="J65" s="94">
        <f>SUMIFS('caseload data'!K:K,'caseload data'!$D:$D,"SPO",'caseload data'!$A:$A,"Yorkshire and The Humber")</f>
        <v>0</v>
      </c>
      <c r="K65" s="94">
        <f>SUMIFS('caseload data'!L:L,'caseload data'!$D:$D,"SPO",'caseload data'!$A:$A,"Yorkshire and The Humber")</f>
        <v>0</v>
      </c>
      <c r="L65" s="94">
        <f>SUMIFS('caseload data'!M:M,'caseload data'!$D:$D,"SPO",'caseload data'!$A:$A,"Yorkshire and The Humber")</f>
        <v>0</v>
      </c>
      <c r="M65" s="94">
        <f>SUMIFS('caseload data'!N:N,'caseload data'!$D:$D,"SPO",'caseload data'!$A:$A,"Yorkshire and The Humber")</f>
        <v>0</v>
      </c>
      <c r="N65" s="94">
        <f>SUMIFS('caseload data'!O:O,'caseload data'!$D:$D,"SPO",'caseload data'!$A:$A,"Yorkshire and The Humber")</f>
        <v>0</v>
      </c>
      <c r="O65" s="94">
        <f>SUMIFS('caseload data'!P:P,'caseload data'!$D:$D,"SPO",'caseload data'!$A:$A,"Yorkshire and The Humber")</f>
        <v>0</v>
      </c>
      <c r="P65" s="94">
        <f>SUMIFS('caseload data'!Q:Q,'caseload data'!$D:$D,"SPO",'caseload data'!$A:$A,"Yorkshire and The Humber")</f>
        <v>0</v>
      </c>
      <c r="Q65" s="94">
        <f>SUMIFS('caseload data'!R:R,'caseload data'!$D:$D,"SPO",'caseload data'!$A:$A,"Yorkshire and The Humber")</f>
        <v>0</v>
      </c>
      <c r="R65" s="94">
        <f>SUMIFS('caseload data'!S:S,'caseload data'!$D:$D,"SPO",'caseload data'!$A:$A,"Yorkshire and The Humber")</f>
        <v>0</v>
      </c>
      <c r="S65" s="94">
        <f>SUMIFS('caseload data'!T:T,'caseload data'!$D:$D,"SPO",'caseload data'!$A:$A,"Yorkshire and The Humber")</f>
        <v>0</v>
      </c>
      <c r="T65" s="94">
        <f>SUMIFS('caseload data'!V:V,'caseload data'!$D:$D,"SPO",'caseload data'!$A:$A,"Yorkshire and The Humber")</f>
        <v>0</v>
      </c>
      <c r="U65" s="64"/>
      <c r="V65" s="64"/>
      <c r="W65" s="510"/>
      <c r="X65" s="129" t="s">
        <v>954</v>
      </c>
      <c r="Y65" s="167" t="e">
        <f t="shared" si="42"/>
        <v>#DIV/0!</v>
      </c>
      <c r="Z65" s="167" t="e">
        <f t="shared" si="41"/>
        <v>#DIV/0!</v>
      </c>
      <c r="AA65" s="167" t="e">
        <f t="shared" si="41"/>
        <v>#DIV/0!</v>
      </c>
      <c r="AB65" s="167" t="e">
        <f t="shared" si="41"/>
        <v>#DIV/0!</v>
      </c>
      <c r="AC65" s="167" t="e">
        <f t="shared" si="41"/>
        <v>#DIV/0!</v>
      </c>
      <c r="AD65" s="167" t="e">
        <f t="shared" si="41"/>
        <v>#DIV/0!</v>
      </c>
      <c r="AE65" s="167" t="e">
        <f t="shared" si="41"/>
        <v>#DIV/0!</v>
      </c>
      <c r="AF65" s="167" t="e">
        <f t="shared" si="41"/>
        <v>#DIV/0!</v>
      </c>
      <c r="AG65" s="167" t="e">
        <f t="shared" si="41"/>
        <v>#DIV/0!</v>
      </c>
      <c r="AH65" s="167" t="e">
        <f t="shared" si="41"/>
        <v>#DIV/0!</v>
      </c>
      <c r="AI65" s="167" t="e">
        <f t="shared" si="41"/>
        <v>#DIV/0!</v>
      </c>
      <c r="AJ65" s="167" t="e">
        <f t="shared" si="41"/>
        <v>#DIV/0!</v>
      </c>
      <c r="AK65" s="167" t="e">
        <f t="shared" si="41"/>
        <v>#DIV/0!</v>
      </c>
      <c r="AL65" s="167" t="e">
        <f t="shared" si="41"/>
        <v>#DIV/0!</v>
      </c>
      <c r="AM65" s="167" t="e">
        <f t="shared" si="41"/>
        <v>#DIV/0!</v>
      </c>
      <c r="AN65" s="167" t="e">
        <f t="shared" si="41"/>
        <v>#DIV/0!</v>
      </c>
      <c r="AO65" s="167" t="e">
        <f t="shared" si="41"/>
        <v>#DIV/0!</v>
      </c>
    </row>
    <row r="66" spans="2:41" ht="15" thickBot="1" x14ac:dyDescent="0.2">
      <c r="B66" s="504"/>
      <c r="C66" s="129" t="s">
        <v>1286</v>
      </c>
      <c r="D66" s="375">
        <f>SUMIFS('caseload data'!E:E,'caseload data'!$D:$D,"DMY",'caseload data'!$A:$A,"Yorkshire and The Humber")</f>
        <v>0</v>
      </c>
      <c r="E66" s="375">
        <f>SUMIFS('caseload data'!F:F,'caseload data'!$D:$D,"DMY",'caseload data'!$A:$A,"Yorkshire and The Humber")</f>
        <v>0</v>
      </c>
      <c r="F66" s="375">
        <f>SUMIFS('caseload data'!G:G,'caseload data'!$D:$D,"DMY",'caseload data'!$A:$A,"Yorkshire and The Humber")</f>
        <v>0</v>
      </c>
      <c r="G66" s="375">
        <f>SUMIFS('caseload data'!H:H,'caseload data'!$D:$D,"DMY",'caseload data'!$A:$A,"Yorkshire and The Humber")</f>
        <v>0</v>
      </c>
      <c r="H66" s="375">
        <f>SUMIFS('caseload data'!I:I,'caseload data'!$D:$D,"DMY",'caseload data'!$A:$A,"Yorkshire and The Humber")</f>
        <v>0</v>
      </c>
      <c r="I66" s="375">
        <f>SUMIFS('caseload data'!J:J,'caseload data'!$D:$D,"DMY",'caseload data'!$A:$A,"Yorkshire and The Humber")</f>
        <v>0</v>
      </c>
      <c r="J66" s="375">
        <f>SUMIFS('caseload data'!K:K,'caseload data'!$D:$D,"DMY",'caseload data'!$A:$A,"Yorkshire and The Humber")</f>
        <v>0</v>
      </c>
      <c r="K66" s="375">
        <f>SUMIFS('caseload data'!L:L,'caseload data'!$D:$D,"DMY",'caseload data'!$A:$A,"Yorkshire and The Humber")</f>
        <v>0</v>
      </c>
      <c r="L66" s="375">
        <f>SUMIFS('caseload data'!M:M,'caseload data'!$D:$D,"DMY",'caseload data'!$A:$A,"Yorkshire and The Humber")</f>
        <v>0</v>
      </c>
      <c r="M66" s="375">
        <f>SUMIFS('caseload data'!N:N,'caseload data'!$D:$D,"DMY",'caseload data'!$A:$A,"Yorkshire and The Humber")</f>
        <v>0</v>
      </c>
      <c r="N66" s="375">
        <f>SUMIFS('caseload data'!O:O,'caseload data'!$D:$D,"DMY",'caseload data'!$A:$A,"Yorkshire and The Humber")</f>
        <v>0</v>
      </c>
      <c r="O66" s="375">
        <f>SUMIFS('caseload data'!P:P,'caseload data'!$D:$D,"DMY",'caseload data'!$A:$A,"Yorkshire and The Humber")</f>
        <v>0</v>
      </c>
      <c r="P66" s="375">
        <f>SUMIFS('caseload data'!Q:Q,'caseload data'!$D:$D,"DMY",'caseload data'!$A:$A,"Yorkshire and The Humber")</f>
        <v>0</v>
      </c>
      <c r="Q66" s="375">
        <f>SUMIFS('caseload data'!R:R,'caseload data'!$D:$D,"DMY",'caseload data'!$A:$A,"Yorkshire and The Humber")</f>
        <v>0</v>
      </c>
      <c r="R66" s="375">
        <f>SUMIFS('caseload data'!S:S,'caseload data'!$D:$D,"DMY",'caseload data'!$A:$A,"Yorkshire and The Humber")</f>
        <v>0</v>
      </c>
      <c r="S66" s="375">
        <f>SUMIFS('caseload data'!T:T,'caseload data'!$D:$D,"DMY",'caseload data'!$A:$A,"Yorkshire and The Humber")</f>
        <v>0</v>
      </c>
      <c r="T66" s="375">
        <f>SUMIFS('caseload data'!V:V,'caseload data'!$D:$D,"DMY",'caseload data'!$A:$A,"Yorkshire and The Humber")</f>
        <v>0</v>
      </c>
      <c r="U66" s="64"/>
      <c r="V66" s="64"/>
      <c r="W66" s="510"/>
      <c r="X66" s="129" t="s">
        <v>1286</v>
      </c>
      <c r="Y66" s="371" t="e">
        <f t="shared" si="42"/>
        <v>#DIV/0!</v>
      </c>
      <c r="Z66" s="371" t="e">
        <f t="shared" si="41"/>
        <v>#DIV/0!</v>
      </c>
      <c r="AA66" s="371" t="e">
        <f t="shared" si="41"/>
        <v>#DIV/0!</v>
      </c>
      <c r="AB66" s="371" t="e">
        <f t="shared" si="41"/>
        <v>#DIV/0!</v>
      </c>
      <c r="AC66" s="371" t="e">
        <f t="shared" si="41"/>
        <v>#DIV/0!</v>
      </c>
      <c r="AD66" s="371" t="e">
        <f t="shared" si="41"/>
        <v>#DIV/0!</v>
      </c>
      <c r="AE66" s="371" t="e">
        <f t="shared" si="41"/>
        <v>#DIV/0!</v>
      </c>
      <c r="AF66" s="371" t="e">
        <f t="shared" si="41"/>
        <v>#DIV/0!</v>
      </c>
      <c r="AG66" s="371" t="e">
        <f t="shared" si="41"/>
        <v>#DIV/0!</v>
      </c>
      <c r="AH66" s="371" t="e">
        <f t="shared" si="41"/>
        <v>#DIV/0!</v>
      </c>
      <c r="AI66" s="371" t="e">
        <f t="shared" si="41"/>
        <v>#DIV/0!</v>
      </c>
      <c r="AJ66" s="371" t="e">
        <f t="shared" si="41"/>
        <v>#DIV/0!</v>
      </c>
      <c r="AK66" s="371" t="e">
        <f t="shared" si="41"/>
        <v>#DIV/0!</v>
      </c>
      <c r="AL66" s="371" t="e">
        <f t="shared" si="41"/>
        <v>#DIV/0!</v>
      </c>
      <c r="AM66" s="371" t="e">
        <f t="shared" si="41"/>
        <v>#DIV/0!</v>
      </c>
      <c r="AN66" s="371" t="e">
        <f t="shared" si="41"/>
        <v>#DIV/0!</v>
      </c>
      <c r="AO66" s="371" t="e">
        <f t="shared" si="41"/>
        <v>#DIV/0!</v>
      </c>
    </row>
    <row r="67" spans="2:41" x14ac:dyDescent="0.15">
      <c r="B67" s="506" t="s">
        <v>909</v>
      </c>
      <c r="C67" s="376" t="s">
        <v>947</v>
      </c>
      <c r="D67" s="377">
        <f>SUMIF('caseload data'!$D:$D,"PO",'caseload data'!E:E)</f>
        <v>0</v>
      </c>
      <c r="E67" s="377">
        <f>SUMIF('caseload data'!$D:$D,"PO",'caseload data'!F:F)</f>
        <v>0</v>
      </c>
      <c r="F67" s="377">
        <f>SUMIF('caseload data'!$D:$D,"PO",'caseload data'!G:G)</f>
        <v>0</v>
      </c>
      <c r="G67" s="377">
        <f>SUMIF('caseload data'!$D:$D,"PO",'caseload data'!H:H)</f>
        <v>0</v>
      </c>
      <c r="H67" s="377">
        <f>SUMIF('caseload data'!$D:$D,"PO",'caseload data'!I:I)</f>
        <v>0</v>
      </c>
      <c r="I67" s="377">
        <f>SUMIF('caseload data'!$D:$D,"PO",'caseload data'!J:J)</f>
        <v>0</v>
      </c>
      <c r="J67" s="377">
        <f>SUMIF('caseload data'!$D:$D,"PO",'caseload data'!K:K)</f>
        <v>0</v>
      </c>
      <c r="K67" s="377">
        <f>SUMIF('caseload data'!$D:$D,"PO",'caseload data'!L:L)</f>
        <v>0</v>
      </c>
      <c r="L67" s="377">
        <f>SUMIF('caseload data'!$D:$D,"PO",'caseload data'!M:M)</f>
        <v>0</v>
      </c>
      <c r="M67" s="377">
        <f>SUMIF('caseload data'!$D:$D,"PO",'caseload data'!N:N)</f>
        <v>0</v>
      </c>
      <c r="N67" s="377">
        <f>SUMIF('caseload data'!$D:$D,"PO",'caseload data'!O:O)</f>
        <v>0</v>
      </c>
      <c r="O67" s="377">
        <f>SUMIF('caseload data'!$D:$D,"PO",'caseload data'!P:P)</f>
        <v>0</v>
      </c>
      <c r="P67" s="377">
        <f>SUMIF('caseload data'!$D:$D,"PO",'caseload data'!Q:Q)</f>
        <v>0</v>
      </c>
      <c r="Q67" s="377">
        <f>SUMIF('caseload data'!$D:$D,"PO",'caseload data'!R:R)</f>
        <v>0</v>
      </c>
      <c r="R67" s="377">
        <f>SUMIF('caseload data'!$D:$D,"PO",'caseload data'!S:S)</f>
        <v>0</v>
      </c>
      <c r="S67" s="377">
        <f>SUMIF('caseload data'!$D:$D,"PO",'caseload data'!T:T)</f>
        <v>0</v>
      </c>
      <c r="T67" s="378">
        <f>SUMIF('caseload data'!D:D,"PO",'caseload data'!V:V)</f>
        <v>0</v>
      </c>
      <c r="U67" s="64"/>
      <c r="V67" s="64"/>
      <c r="W67" s="506" t="s">
        <v>909</v>
      </c>
      <c r="X67" s="372" t="s">
        <v>947</v>
      </c>
      <c r="Y67" s="386" t="e">
        <f>SUM(D67)/SUM(D$67:D$71)</f>
        <v>#DIV/0!</v>
      </c>
      <c r="Z67" s="386" t="e">
        <f t="shared" ref="Z67:AO71" si="43">SUM(E67)/SUM(E$67:E$71)</f>
        <v>#DIV/0!</v>
      </c>
      <c r="AA67" s="386" t="e">
        <f t="shared" si="43"/>
        <v>#DIV/0!</v>
      </c>
      <c r="AB67" s="386" t="e">
        <f t="shared" si="43"/>
        <v>#DIV/0!</v>
      </c>
      <c r="AC67" s="386" t="e">
        <f t="shared" si="43"/>
        <v>#DIV/0!</v>
      </c>
      <c r="AD67" s="386" t="e">
        <f t="shared" si="43"/>
        <v>#DIV/0!</v>
      </c>
      <c r="AE67" s="386" t="e">
        <f t="shared" si="43"/>
        <v>#DIV/0!</v>
      </c>
      <c r="AF67" s="386" t="e">
        <f t="shared" si="43"/>
        <v>#DIV/0!</v>
      </c>
      <c r="AG67" s="386" t="e">
        <f t="shared" si="43"/>
        <v>#DIV/0!</v>
      </c>
      <c r="AH67" s="386" t="e">
        <f t="shared" si="43"/>
        <v>#DIV/0!</v>
      </c>
      <c r="AI67" s="386" t="e">
        <f t="shared" si="43"/>
        <v>#DIV/0!</v>
      </c>
      <c r="AJ67" s="386" t="e">
        <f t="shared" si="43"/>
        <v>#DIV/0!</v>
      </c>
      <c r="AK67" s="386" t="e">
        <f t="shared" si="43"/>
        <v>#DIV/0!</v>
      </c>
      <c r="AL67" s="386" t="e">
        <f t="shared" si="43"/>
        <v>#DIV/0!</v>
      </c>
      <c r="AM67" s="386" t="e">
        <f t="shared" si="43"/>
        <v>#DIV/0!</v>
      </c>
      <c r="AN67" s="386" t="e">
        <f t="shared" si="43"/>
        <v>#DIV/0!</v>
      </c>
      <c r="AO67" s="388" t="e">
        <f t="shared" si="43"/>
        <v>#DIV/0!</v>
      </c>
    </row>
    <row r="68" spans="2:41" x14ac:dyDescent="0.15">
      <c r="B68" s="507"/>
      <c r="C68" s="137" t="s">
        <v>952</v>
      </c>
      <c r="D68" s="136">
        <f>SUMIF('caseload data'!$D:$D,"PSO",'caseload data'!E:E)</f>
        <v>0</v>
      </c>
      <c r="E68" s="136">
        <f>SUMIF('caseload data'!$D:$D,"PSO",'caseload data'!F:F)</f>
        <v>0</v>
      </c>
      <c r="F68" s="136">
        <f>SUMIF('caseload data'!$D:$D,"PSO",'caseload data'!G:G)</f>
        <v>0</v>
      </c>
      <c r="G68" s="136">
        <f>SUMIF('caseload data'!$D:$D,"PSO",'caseload data'!H:H)</f>
        <v>0</v>
      </c>
      <c r="H68" s="136">
        <f>SUMIF('caseload data'!$D:$D,"PSO",'caseload data'!I:I)</f>
        <v>0</v>
      </c>
      <c r="I68" s="136">
        <f>SUMIF('caseload data'!$D:$D,"PSO",'caseload data'!J:J)</f>
        <v>0</v>
      </c>
      <c r="J68" s="136">
        <f>SUMIF('caseload data'!$D:$D,"PSO",'caseload data'!K:K)</f>
        <v>0</v>
      </c>
      <c r="K68" s="136">
        <f>SUMIF('caseload data'!$D:$D,"PSO",'caseload data'!L:L)</f>
        <v>0</v>
      </c>
      <c r="L68" s="136">
        <f>SUMIF('caseload data'!$D:$D,"PSO",'caseload data'!M:M)</f>
        <v>0</v>
      </c>
      <c r="M68" s="136">
        <f>SUMIF('caseload data'!$D:$D,"PSO",'caseload data'!N:N)</f>
        <v>0</v>
      </c>
      <c r="N68" s="136">
        <f>SUMIF('caseload data'!$D:$D,"PSO",'caseload data'!O:O)</f>
        <v>0</v>
      </c>
      <c r="O68" s="136">
        <f>SUMIF('caseload data'!$D:$D,"PSO",'caseload data'!P:P)</f>
        <v>0</v>
      </c>
      <c r="P68" s="136">
        <f>SUMIF('caseload data'!$D:$D,"PSO",'caseload data'!Q:Q)</f>
        <v>0</v>
      </c>
      <c r="Q68" s="136">
        <f>SUMIF('caseload data'!$D:$D,"PSO",'caseload data'!R:R)</f>
        <v>0</v>
      </c>
      <c r="R68" s="136">
        <f>SUMIF('caseload data'!$D:$D,"PSO",'caseload data'!S:S)</f>
        <v>0</v>
      </c>
      <c r="S68" s="136">
        <f>SUMIF('caseload data'!$D:$D,"PSO",'caseload data'!T:T)</f>
        <v>0</v>
      </c>
      <c r="T68" s="379">
        <f>SUMIF('caseload data'!D:D,"PSO",'caseload data'!V:V)</f>
        <v>0</v>
      </c>
      <c r="U68" s="64"/>
      <c r="V68" s="64"/>
      <c r="W68" s="507"/>
      <c r="X68" s="373" t="s">
        <v>952</v>
      </c>
      <c r="Y68" s="138" t="e">
        <f t="shared" ref="Y68:Y71" si="44">SUM(D68)/SUM(D$67:D$71)</f>
        <v>#DIV/0!</v>
      </c>
      <c r="Z68" s="138" t="e">
        <f t="shared" si="43"/>
        <v>#DIV/0!</v>
      </c>
      <c r="AA68" s="138" t="e">
        <f t="shared" si="43"/>
        <v>#DIV/0!</v>
      </c>
      <c r="AB68" s="138" t="e">
        <f t="shared" si="43"/>
        <v>#DIV/0!</v>
      </c>
      <c r="AC68" s="138" t="e">
        <f t="shared" si="43"/>
        <v>#DIV/0!</v>
      </c>
      <c r="AD68" s="138" t="e">
        <f t="shared" si="43"/>
        <v>#DIV/0!</v>
      </c>
      <c r="AE68" s="138" t="e">
        <f t="shared" si="43"/>
        <v>#DIV/0!</v>
      </c>
      <c r="AF68" s="138" t="e">
        <f t="shared" si="43"/>
        <v>#DIV/0!</v>
      </c>
      <c r="AG68" s="138" t="e">
        <f t="shared" si="43"/>
        <v>#DIV/0!</v>
      </c>
      <c r="AH68" s="138" t="e">
        <f t="shared" si="43"/>
        <v>#DIV/0!</v>
      </c>
      <c r="AI68" s="138" t="e">
        <f t="shared" si="43"/>
        <v>#DIV/0!</v>
      </c>
      <c r="AJ68" s="138" t="e">
        <f t="shared" si="43"/>
        <v>#DIV/0!</v>
      </c>
      <c r="AK68" s="138" t="e">
        <f t="shared" si="43"/>
        <v>#DIV/0!</v>
      </c>
      <c r="AL68" s="138" t="e">
        <f t="shared" si="43"/>
        <v>#DIV/0!</v>
      </c>
      <c r="AM68" s="138" t="e">
        <f t="shared" si="43"/>
        <v>#DIV/0!</v>
      </c>
      <c r="AN68" s="138" t="e">
        <f t="shared" si="43"/>
        <v>#DIV/0!</v>
      </c>
      <c r="AO68" s="389" t="e">
        <f t="shared" si="43"/>
        <v>#DIV/0!</v>
      </c>
    </row>
    <row r="69" spans="2:41" x14ac:dyDescent="0.15">
      <c r="B69" s="507"/>
      <c r="C69" s="137" t="s">
        <v>953</v>
      </c>
      <c r="D69" s="136">
        <f>SUMIF('caseload data'!$D:$D,"TPO",'caseload data'!E:E)</f>
        <v>0</v>
      </c>
      <c r="E69" s="136">
        <f>SUMIF('caseload data'!$D:$D,"TPO",'caseload data'!F:F)</f>
        <v>0</v>
      </c>
      <c r="F69" s="136">
        <f>SUMIF('caseload data'!$D:$D,"TPO",'caseload data'!G:G)</f>
        <v>0</v>
      </c>
      <c r="G69" s="136">
        <f>SUMIF('caseload data'!$D:$D,"TPO",'caseload data'!H:H)</f>
        <v>0</v>
      </c>
      <c r="H69" s="136">
        <f>SUMIF('caseload data'!$D:$D,"TPO",'caseload data'!I:I)</f>
        <v>0</v>
      </c>
      <c r="I69" s="136">
        <f>SUMIF('caseload data'!$D:$D,"TPO",'caseload data'!J:J)</f>
        <v>0</v>
      </c>
      <c r="J69" s="136">
        <f>SUMIF('caseload data'!$D:$D,"TPO",'caseload data'!K:K)</f>
        <v>0</v>
      </c>
      <c r="K69" s="136">
        <f>SUMIF('caseload data'!$D:$D,"TPO",'caseload data'!L:L)</f>
        <v>0</v>
      </c>
      <c r="L69" s="136">
        <f>SUMIF('caseload data'!$D:$D,"TPO",'caseload data'!M:M)</f>
        <v>0</v>
      </c>
      <c r="M69" s="136">
        <f>SUMIF('caseload data'!$D:$D,"TPO",'caseload data'!N:N)</f>
        <v>0</v>
      </c>
      <c r="N69" s="136">
        <f>SUMIF('caseload data'!$D:$D,"TPO",'caseload data'!O:O)</f>
        <v>0</v>
      </c>
      <c r="O69" s="136">
        <f>SUMIF('caseload data'!$D:$D,"TPO",'caseload data'!P:P)</f>
        <v>0</v>
      </c>
      <c r="P69" s="136">
        <f>SUMIF('caseload data'!$D:$D,"TPO",'caseload data'!Q:Q)</f>
        <v>0</v>
      </c>
      <c r="Q69" s="136">
        <f>SUMIF('caseload data'!$D:$D,"TPO",'caseload data'!R:R)</f>
        <v>0</v>
      </c>
      <c r="R69" s="136">
        <f>SUMIF('caseload data'!$D:$D,"TPO",'caseload data'!S:S)</f>
        <v>0</v>
      </c>
      <c r="S69" s="136">
        <f>SUMIF('caseload data'!$D:$D,"TPO",'caseload data'!T:T)</f>
        <v>0</v>
      </c>
      <c r="T69" s="379">
        <f>SUMIF('caseload data'!D:D,"TPO",'caseload data'!V:V)</f>
        <v>0</v>
      </c>
      <c r="U69" s="64"/>
      <c r="V69" s="64"/>
      <c r="W69" s="507"/>
      <c r="X69" s="373" t="s">
        <v>953</v>
      </c>
      <c r="Y69" s="138" t="e">
        <f t="shared" si="44"/>
        <v>#DIV/0!</v>
      </c>
      <c r="Z69" s="138" t="e">
        <f t="shared" si="43"/>
        <v>#DIV/0!</v>
      </c>
      <c r="AA69" s="138" t="e">
        <f t="shared" si="43"/>
        <v>#DIV/0!</v>
      </c>
      <c r="AB69" s="138" t="e">
        <f t="shared" si="43"/>
        <v>#DIV/0!</v>
      </c>
      <c r="AC69" s="138" t="e">
        <f t="shared" si="43"/>
        <v>#DIV/0!</v>
      </c>
      <c r="AD69" s="138" t="e">
        <f t="shared" si="43"/>
        <v>#DIV/0!</v>
      </c>
      <c r="AE69" s="138" t="e">
        <f t="shared" si="43"/>
        <v>#DIV/0!</v>
      </c>
      <c r="AF69" s="138" t="e">
        <f t="shared" si="43"/>
        <v>#DIV/0!</v>
      </c>
      <c r="AG69" s="138" t="e">
        <f t="shared" si="43"/>
        <v>#DIV/0!</v>
      </c>
      <c r="AH69" s="138" t="e">
        <f t="shared" si="43"/>
        <v>#DIV/0!</v>
      </c>
      <c r="AI69" s="138" t="e">
        <f t="shared" si="43"/>
        <v>#DIV/0!</v>
      </c>
      <c r="AJ69" s="138" t="e">
        <f t="shared" si="43"/>
        <v>#DIV/0!</v>
      </c>
      <c r="AK69" s="138" t="e">
        <f t="shared" si="43"/>
        <v>#DIV/0!</v>
      </c>
      <c r="AL69" s="138" t="e">
        <f t="shared" si="43"/>
        <v>#DIV/0!</v>
      </c>
      <c r="AM69" s="138" t="e">
        <f t="shared" si="43"/>
        <v>#DIV/0!</v>
      </c>
      <c r="AN69" s="138" t="e">
        <f t="shared" si="43"/>
        <v>#DIV/0!</v>
      </c>
      <c r="AO69" s="389" t="e">
        <f t="shared" si="43"/>
        <v>#DIV/0!</v>
      </c>
    </row>
    <row r="70" spans="2:41" ht="15.75" customHeight="1" x14ac:dyDescent="0.15">
      <c r="B70" s="507"/>
      <c r="C70" s="137" t="s">
        <v>954</v>
      </c>
      <c r="D70" s="136">
        <f>SUMIF('caseload data'!$D:$D,"SPO",'caseload data'!E:E)</f>
        <v>0</v>
      </c>
      <c r="E70" s="136">
        <f>SUMIF('caseload data'!$D:$D,"SPO",'caseload data'!F:F)</f>
        <v>0</v>
      </c>
      <c r="F70" s="136">
        <f>SUMIF('caseload data'!$D:$D,"SPO",'caseload data'!G:G)</f>
        <v>0</v>
      </c>
      <c r="G70" s="136">
        <f>SUMIF('caseload data'!$D:$D,"SPO",'caseload data'!H:H)</f>
        <v>0</v>
      </c>
      <c r="H70" s="136">
        <f>SUMIF('caseload data'!$D:$D,"SPO",'caseload data'!I:I)</f>
        <v>0</v>
      </c>
      <c r="I70" s="136">
        <f>SUMIF('caseload data'!$D:$D,"SPO",'caseload data'!J:J)</f>
        <v>0</v>
      </c>
      <c r="J70" s="136">
        <f>SUMIF('caseload data'!$D:$D,"SPO",'caseload data'!K:K)</f>
        <v>0</v>
      </c>
      <c r="K70" s="136">
        <f>SUMIF('caseload data'!$D:$D,"SPO",'caseload data'!L:L)</f>
        <v>0</v>
      </c>
      <c r="L70" s="136">
        <f>SUMIF('caseload data'!$D:$D,"SPO",'caseload data'!M:M)</f>
        <v>0</v>
      </c>
      <c r="M70" s="136">
        <f>SUMIF('caseload data'!$D:$D,"SPO",'caseload data'!N:N)</f>
        <v>0</v>
      </c>
      <c r="N70" s="136">
        <f>SUMIF('caseload data'!$D:$D,"SPO",'caseload data'!O:O)</f>
        <v>0</v>
      </c>
      <c r="O70" s="136">
        <f>SUMIF('caseload data'!$D:$D,"SPO",'caseload data'!P:P)</f>
        <v>0</v>
      </c>
      <c r="P70" s="136">
        <f>SUMIF('caseload data'!$D:$D,"SPO",'caseload data'!Q:Q)</f>
        <v>0</v>
      </c>
      <c r="Q70" s="136">
        <f>SUMIF('caseload data'!$D:$D,"SPO",'caseload data'!R:R)</f>
        <v>0</v>
      </c>
      <c r="R70" s="136">
        <f>SUMIF('caseload data'!$D:$D,"SPO",'caseload data'!S:S)</f>
        <v>0</v>
      </c>
      <c r="S70" s="136">
        <f>SUMIF('caseload data'!$D:$D,"SPO",'caseload data'!T:T)</f>
        <v>0</v>
      </c>
      <c r="T70" s="379">
        <f>SUMIF('caseload data'!D:D,"SPO",'caseload data'!V:V)</f>
        <v>0</v>
      </c>
      <c r="U70" s="64"/>
      <c r="V70" s="64"/>
      <c r="W70" s="507"/>
      <c r="X70" s="373" t="s">
        <v>954</v>
      </c>
      <c r="Y70" s="138" t="e">
        <f t="shared" si="44"/>
        <v>#DIV/0!</v>
      </c>
      <c r="Z70" s="138" t="e">
        <f t="shared" si="43"/>
        <v>#DIV/0!</v>
      </c>
      <c r="AA70" s="138" t="e">
        <f t="shared" si="43"/>
        <v>#DIV/0!</v>
      </c>
      <c r="AB70" s="138" t="e">
        <f t="shared" si="43"/>
        <v>#DIV/0!</v>
      </c>
      <c r="AC70" s="138" t="e">
        <f t="shared" si="43"/>
        <v>#DIV/0!</v>
      </c>
      <c r="AD70" s="138" t="e">
        <f t="shared" si="43"/>
        <v>#DIV/0!</v>
      </c>
      <c r="AE70" s="138" t="e">
        <f t="shared" si="43"/>
        <v>#DIV/0!</v>
      </c>
      <c r="AF70" s="138" t="e">
        <f t="shared" si="43"/>
        <v>#DIV/0!</v>
      </c>
      <c r="AG70" s="138" t="e">
        <f t="shared" si="43"/>
        <v>#DIV/0!</v>
      </c>
      <c r="AH70" s="138" t="e">
        <f t="shared" si="43"/>
        <v>#DIV/0!</v>
      </c>
      <c r="AI70" s="138" t="e">
        <f t="shared" si="43"/>
        <v>#DIV/0!</v>
      </c>
      <c r="AJ70" s="138" t="e">
        <f t="shared" si="43"/>
        <v>#DIV/0!</v>
      </c>
      <c r="AK70" s="138" t="e">
        <f t="shared" si="43"/>
        <v>#DIV/0!</v>
      </c>
      <c r="AL70" s="138" t="e">
        <f t="shared" si="43"/>
        <v>#DIV/0!</v>
      </c>
      <c r="AM70" s="138" t="e">
        <f t="shared" si="43"/>
        <v>#DIV/0!</v>
      </c>
      <c r="AN70" s="138" t="e">
        <f t="shared" si="43"/>
        <v>#DIV/0!</v>
      </c>
      <c r="AO70" s="389" t="e">
        <f t="shared" si="43"/>
        <v>#DIV/0!</v>
      </c>
    </row>
    <row r="71" spans="2:41" ht="15.75" customHeight="1" thickBot="1" x14ac:dyDescent="0.2">
      <c r="B71" s="507"/>
      <c r="C71" s="137" t="s">
        <v>1286</v>
      </c>
      <c r="D71" s="136">
        <f>SUMIF('caseload data'!$D:$D,"DMY",'caseload data'!E:E)</f>
        <v>0</v>
      </c>
      <c r="E71" s="136">
        <f>SUMIF('caseload data'!$D:$D,"DMY",'caseload data'!F:F)</f>
        <v>0</v>
      </c>
      <c r="F71" s="136">
        <f>SUMIF('caseload data'!$D:$D,"DMY",'caseload data'!G:G)</f>
        <v>0</v>
      </c>
      <c r="G71" s="136">
        <f>SUMIF('caseload data'!$D:$D,"DMY",'caseload data'!H:H)</f>
        <v>0</v>
      </c>
      <c r="H71" s="136">
        <f>SUMIF('caseload data'!$D:$D,"DMY",'caseload data'!I:I)</f>
        <v>0</v>
      </c>
      <c r="I71" s="136">
        <f>SUMIF('caseload data'!$D:$D,"DMY",'caseload data'!J:J)</f>
        <v>0</v>
      </c>
      <c r="J71" s="136">
        <f>SUMIF('caseload data'!$D:$D,"DMY",'caseload data'!K:K)</f>
        <v>0</v>
      </c>
      <c r="K71" s="136">
        <f>SUMIF('caseload data'!$D:$D,"DMY",'caseload data'!L:L)</f>
        <v>0</v>
      </c>
      <c r="L71" s="136">
        <f>SUMIF('caseload data'!$D:$D,"DMY",'caseload data'!M:M)</f>
        <v>0</v>
      </c>
      <c r="M71" s="136">
        <f>SUMIF('caseload data'!$D:$D,"DMY",'caseload data'!N:N)</f>
        <v>0</v>
      </c>
      <c r="N71" s="136">
        <f>SUMIF('caseload data'!$D:$D,"DMY",'caseload data'!O:O)</f>
        <v>0</v>
      </c>
      <c r="O71" s="136">
        <f>SUMIF('caseload data'!$D:$D,"DMY",'caseload data'!P:P)</f>
        <v>0</v>
      </c>
      <c r="P71" s="136">
        <f>SUMIF('caseload data'!$D:$D,"DMY",'caseload data'!Q:Q)</f>
        <v>0</v>
      </c>
      <c r="Q71" s="136">
        <f>SUMIF('caseload data'!$D:$D,"DMY",'caseload data'!R:R)</f>
        <v>0</v>
      </c>
      <c r="R71" s="136">
        <f>SUMIF('caseload data'!$D:$D,"DMY",'caseload data'!S:S)</f>
        <v>0</v>
      </c>
      <c r="S71" s="136">
        <f>SUMIF('caseload data'!$D:$D,"DMY",'caseload data'!T:T)</f>
        <v>0</v>
      </c>
      <c r="T71" s="379">
        <f>SUMIF('caseload data'!D:D,"DMY",'caseload data'!V:V)</f>
        <v>0</v>
      </c>
      <c r="U71" s="64"/>
      <c r="V71" s="64"/>
      <c r="W71" s="508"/>
      <c r="X71" s="374" t="s">
        <v>1286</v>
      </c>
      <c r="Y71" s="387" t="e">
        <f t="shared" si="44"/>
        <v>#DIV/0!</v>
      </c>
      <c r="Z71" s="387" t="e">
        <f t="shared" si="43"/>
        <v>#DIV/0!</v>
      </c>
      <c r="AA71" s="387" t="e">
        <f t="shared" si="43"/>
        <v>#DIV/0!</v>
      </c>
      <c r="AB71" s="387" t="e">
        <f t="shared" si="43"/>
        <v>#DIV/0!</v>
      </c>
      <c r="AC71" s="387" t="e">
        <f t="shared" si="43"/>
        <v>#DIV/0!</v>
      </c>
      <c r="AD71" s="387" t="e">
        <f t="shared" si="43"/>
        <v>#DIV/0!</v>
      </c>
      <c r="AE71" s="387" t="e">
        <f t="shared" si="43"/>
        <v>#DIV/0!</v>
      </c>
      <c r="AF71" s="387" t="e">
        <f t="shared" si="43"/>
        <v>#DIV/0!</v>
      </c>
      <c r="AG71" s="387" t="e">
        <f t="shared" si="43"/>
        <v>#DIV/0!</v>
      </c>
      <c r="AH71" s="387" t="e">
        <f t="shared" si="43"/>
        <v>#DIV/0!</v>
      </c>
      <c r="AI71" s="387" t="e">
        <f t="shared" si="43"/>
        <v>#DIV/0!</v>
      </c>
      <c r="AJ71" s="387" t="e">
        <f t="shared" si="43"/>
        <v>#DIV/0!</v>
      </c>
      <c r="AK71" s="387" t="e">
        <f t="shared" si="43"/>
        <v>#DIV/0!</v>
      </c>
      <c r="AL71" s="387" t="e">
        <f t="shared" si="43"/>
        <v>#DIV/0!</v>
      </c>
      <c r="AM71" s="387" t="e">
        <f t="shared" si="43"/>
        <v>#DIV/0!</v>
      </c>
      <c r="AN71" s="387" t="e">
        <f t="shared" si="43"/>
        <v>#DIV/0!</v>
      </c>
      <c r="AO71" s="390" t="e">
        <f t="shared" si="43"/>
        <v>#DIV/0!</v>
      </c>
    </row>
    <row r="72" spans="2:41" ht="35.25" customHeight="1" thickBot="1" x14ac:dyDescent="0.2">
      <c r="B72" s="508"/>
      <c r="C72" s="380" t="s">
        <v>1404</v>
      </c>
      <c r="D72" s="381">
        <f>SUM('caseload data'!E:E)</f>
        <v>0</v>
      </c>
      <c r="E72" s="381">
        <f>SUM('caseload data'!F:F)</f>
        <v>0</v>
      </c>
      <c r="F72" s="381">
        <f>SUM('caseload data'!G:G)</f>
        <v>0</v>
      </c>
      <c r="G72" s="381">
        <f>SUM('caseload data'!H:H)</f>
        <v>0</v>
      </c>
      <c r="H72" s="381">
        <f>SUM('caseload data'!I:I)</f>
        <v>0</v>
      </c>
      <c r="I72" s="381">
        <f>SUM('caseload data'!J:J)</f>
        <v>0</v>
      </c>
      <c r="J72" s="381">
        <f>SUM('caseload data'!K:K)</f>
        <v>0</v>
      </c>
      <c r="K72" s="381">
        <f>SUM('caseload data'!L:L)</f>
        <v>0</v>
      </c>
      <c r="L72" s="381">
        <f>SUM('caseload data'!M:M)</f>
        <v>0</v>
      </c>
      <c r="M72" s="381">
        <f>SUM('caseload data'!N:N)</f>
        <v>0</v>
      </c>
      <c r="N72" s="381">
        <f>SUM('caseload data'!O:O)</f>
        <v>0</v>
      </c>
      <c r="O72" s="381">
        <f>SUM('caseload data'!P:P)</f>
        <v>0</v>
      </c>
      <c r="P72" s="381">
        <f>SUM('caseload data'!Q:Q)</f>
        <v>0</v>
      </c>
      <c r="Q72" s="381">
        <f>SUM('caseload data'!R:R)</f>
        <v>0</v>
      </c>
      <c r="R72" s="381">
        <f>SUM('caseload data'!S:S)</f>
        <v>0</v>
      </c>
      <c r="S72" s="381">
        <f>SUM('caseload data'!T:T)</f>
        <v>0</v>
      </c>
      <c r="T72" s="382">
        <f>SUM('caseload data'!V:V)</f>
        <v>0</v>
      </c>
      <c r="U72" s="64"/>
      <c r="V72" s="64"/>
      <c r="W72" s="131"/>
      <c r="X72" s="132"/>
      <c r="Y72" s="133"/>
      <c r="Z72" s="133"/>
      <c r="AA72" s="133"/>
      <c r="AB72" s="133"/>
      <c r="AC72" s="133"/>
      <c r="AD72" s="133"/>
      <c r="AE72" s="133"/>
    </row>
    <row r="74" spans="2:41" ht="15" thickBot="1" x14ac:dyDescent="0.2"/>
    <row r="75" spans="2:41" ht="23.25" customHeight="1" thickBot="1" x14ac:dyDescent="0.25">
      <c r="B75" s="1"/>
      <c r="C75" s="2"/>
      <c r="D75" s="514" t="s">
        <v>1024</v>
      </c>
      <c r="E75" s="515"/>
      <c r="F75" s="515"/>
      <c r="G75" s="515"/>
      <c r="H75" s="515"/>
      <c r="I75" s="515"/>
      <c r="J75" s="515"/>
      <c r="K75" s="515"/>
      <c r="L75" s="515"/>
      <c r="M75" s="515"/>
      <c r="N75" s="515"/>
      <c r="O75" s="515"/>
      <c r="P75" s="515"/>
      <c r="Q75" s="515"/>
      <c r="R75" s="515"/>
      <c r="S75" s="515"/>
      <c r="T75" s="516"/>
      <c r="W75" s="1"/>
      <c r="X75" s="2"/>
      <c r="Y75" s="519" t="s">
        <v>1025</v>
      </c>
      <c r="Z75" s="520"/>
      <c r="AA75" s="520"/>
      <c r="AB75" s="520"/>
      <c r="AC75" s="520"/>
      <c r="AD75" s="520"/>
      <c r="AE75" s="520"/>
      <c r="AF75" s="520"/>
      <c r="AG75" s="520"/>
      <c r="AH75" s="520"/>
      <c r="AI75" s="520"/>
      <c r="AJ75" s="520"/>
      <c r="AK75" s="520"/>
      <c r="AL75" s="520"/>
      <c r="AM75" s="520"/>
      <c r="AN75" s="520"/>
    </row>
    <row r="76" spans="2:41" x14ac:dyDescent="0.15">
      <c r="B76" s="124" t="s">
        <v>788</v>
      </c>
      <c r="C76" s="125" t="s">
        <v>946</v>
      </c>
      <c r="D76" s="38" t="s">
        <v>814</v>
      </c>
      <c r="E76" s="38" t="s">
        <v>815</v>
      </c>
      <c r="F76" s="38" t="s">
        <v>816</v>
      </c>
      <c r="G76" s="38" t="s">
        <v>817</v>
      </c>
      <c r="H76" s="38" t="s">
        <v>818</v>
      </c>
      <c r="I76" s="38" t="s">
        <v>819</v>
      </c>
      <c r="J76" s="38" t="s">
        <v>820</v>
      </c>
      <c r="K76" s="38" t="s">
        <v>821</v>
      </c>
      <c r="L76" s="38" t="s">
        <v>822</v>
      </c>
      <c r="M76" s="38" t="s">
        <v>823</v>
      </c>
      <c r="N76" s="38" t="s">
        <v>824</v>
      </c>
      <c r="O76" s="38" t="s">
        <v>825</v>
      </c>
      <c r="P76" s="38" t="s">
        <v>826</v>
      </c>
      <c r="Q76" s="38" t="s">
        <v>827</v>
      </c>
      <c r="R76" s="38" t="s">
        <v>828</v>
      </c>
      <c r="S76" s="38" t="s">
        <v>829</v>
      </c>
      <c r="T76" s="127" t="s">
        <v>831</v>
      </c>
      <c r="U76" s="64"/>
      <c r="V76" s="64"/>
      <c r="W76" s="124" t="s">
        <v>788</v>
      </c>
      <c r="X76" s="126" t="s">
        <v>946</v>
      </c>
      <c r="Y76" s="38" t="s">
        <v>814</v>
      </c>
      <c r="Z76" s="38" t="s">
        <v>815</v>
      </c>
      <c r="AA76" s="38" t="s">
        <v>816</v>
      </c>
      <c r="AB76" s="38" t="s">
        <v>817</v>
      </c>
      <c r="AC76" s="38" t="s">
        <v>818</v>
      </c>
      <c r="AD76" s="38" t="s">
        <v>819</v>
      </c>
      <c r="AE76" s="38" t="s">
        <v>820</v>
      </c>
      <c r="AF76" s="38" t="s">
        <v>821</v>
      </c>
      <c r="AG76" s="38" t="s">
        <v>822</v>
      </c>
      <c r="AH76" s="38" t="s">
        <v>823</v>
      </c>
      <c r="AI76" s="38" t="s">
        <v>824</v>
      </c>
      <c r="AJ76" s="38" t="s">
        <v>825</v>
      </c>
      <c r="AK76" s="38" t="s">
        <v>826</v>
      </c>
      <c r="AL76" s="38" t="s">
        <v>827</v>
      </c>
      <c r="AM76" s="38" t="s">
        <v>828</v>
      </c>
      <c r="AN76" s="38" t="s">
        <v>829</v>
      </c>
      <c r="AO76" s="38" t="s">
        <v>944</v>
      </c>
    </row>
    <row r="77" spans="2:41" x14ac:dyDescent="0.15">
      <c r="B77" s="509" t="s">
        <v>17</v>
      </c>
      <c r="C77" s="128" t="s">
        <v>947</v>
      </c>
      <c r="D77" s="368" cm="1">
        <f t="array" ref="D77">SUM(SUMIFS('caseload data'!E:E,'caseload data'!$D:$D,"PO",'caseload data'!$A:$A,_xlfn.SINGLE('national caseload'!$B$77:$B$79),'caseload data'!$B:$B,{"licence","community"}))</f>
        <v>0</v>
      </c>
      <c r="E77" s="94" cm="1">
        <f t="array" ref="E77">SUM(SUMIFS('caseload data'!F:F,'caseload data'!$D:$D,"PO",'caseload data'!$A:$A,_xlfn.SINGLE('national caseload'!$B$77:$B$79),'caseload data'!$B:$B,{"licence","community"}))</f>
        <v>0</v>
      </c>
      <c r="F77" s="94" cm="1">
        <f t="array" ref="F77">SUM(SUMIFS('caseload data'!G:G,'caseload data'!$D:$D,"PO",'caseload data'!$A:$A,_xlfn.SINGLE('national caseload'!$B$77:$B$79),'caseload data'!$B:$B,{"licence","community"}))</f>
        <v>0</v>
      </c>
      <c r="G77" s="94" cm="1">
        <f t="array" ref="G77">SUM(SUMIFS('caseload data'!H:H,'caseload data'!$D:$D,"PO",'caseload data'!$A:$A,_xlfn.SINGLE('national caseload'!$B$77:$B$79),'caseload data'!$B:$B,{"licence","community"}))</f>
        <v>0</v>
      </c>
      <c r="H77" s="94" cm="1">
        <f t="array" ref="H77">SUM(SUMIFS('caseload data'!I:I,'caseload data'!$D:$D,"PO",'caseload data'!$A:$A,_xlfn.SINGLE('national caseload'!$B$77:$B$79),'caseload data'!$B:$B,{"licence","community"}))</f>
        <v>0</v>
      </c>
      <c r="I77" s="94" cm="1">
        <f t="array" ref="I77">SUM(SUMIFS('caseload data'!J:J,'caseload data'!$D:$D,"PO",'caseload data'!$A:$A,_xlfn.SINGLE('national caseload'!$B$77:$B$79),'caseload data'!$B:$B,{"licence","community"}))</f>
        <v>0</v>
      </c>
      <c r="J77" s="94" cm="1">
        <f t="array" ref="J77">SUM(SUMIFS('caseload data'!K:K,'caseload data'!$D:$D,"PO",'caseload data'!$A:$A,_xlfn.SINGLE('national caseload'!$B$77:$B$79),'caseload data'!$B:$B,{"licence","community"}))</f>
        <v>0</v>
      </c>
      <c r="K77" s="94" cm="1">
        <f t="array" ref="K77">SUM(SUMIFS('caseload data'!L:L,'caseload data'!$D:$D,"PO",'caseload data'!$A:$A,_xlfn.SINGLE('national caseload'!$B$77:$B$79),'caseload data'!$B:$B,{"licence","community"}))</f>
        <v>0</v>
      </c>
      <c r="L77" s="94" cm="1">
        <f t="array" ref="L77">SUM(SUMIFS('caseload data'!M:M,'caseload data'!$D:$D,"PO",'caseload data'!$A:$A,_xlfn.SINGLE('national caseload'!$B$77:$B$79),'caseload data'!$B:$B,{"licence","community"}))</f>
        <v>0</v>
      </c>
      <c r="M77" s="94" cm="1">
        <f t="array" ref="M77">SUM(SUMIFS('caseload data'!N:N,'caseload data'!$D:$D,"PO",'caseload data'!$A:$A,_xlfn.SINGLE('national caseload'!$B$77:$B$79),'caseload data'!$B:$B,{"licence","community"}))</f>
        <v>0</v>
      </c>
      <c r="N77" s="94" cm="1">
        <f t="array" ref="N77">SUM(SUMIFS('caseload data'!O:O,'caseload data'!$D:$D,"PO",'caseload data'!$A:$A,_xlfn.SINGLE('national caseload'!$B$77:$B$79),'caseload data'!$B:$B,{"licence","community"}))</f>
        <v>0</v>
      </c>
      <c r="O77" s="94" cm="1">
        <f t="array" ref="O77">SUM(SUMIFS('caseload data'!P:P,'caseload data'!$D:$D,"PO",'caseload data'!$A:$A,_xlfn.SINGLE('national caseload'!$B$77:$B$79),'caseload data'!$B:$B,{"licence","community"}))</f>
        <v>0</v>
      </c>
      <c r="P77" s="94" cm="1">
        <f t="array" ref="P77">SUM(SUMIFS('caseload data'!Q:Q,'caseload data'!$D:$D,"PO",'caseload data'!$A:$A,_xlfn.SINGLE('national caseload'!$B$77:$B$79),'caseload data'!$B:$B,{"licence","community"}))</f>
        <v>0</v>
      </c>
      <c r="Q77" s="94" cm="1">
        <f t="array" ref="Q77">SUM(SUMIFS('caseload data'!R:R,'caseload data'!$D:$D,"PO",'caseload data'!$A:$A,_xlfn.SINGLE('national caseload'!$B$77:$B$79),'caseload data'!$B:$B,{"licence","community"}))</f>
        <v>0</v>
      </c>
      <c r="R77" s="94" cm="1">
        <f t="array" ref="R77">SUM(SUMIFS('caseload data'!S:S,'caseload data'!$D:$D,"PO",'caseload data'!$A:$A,_xlfn.SINGLE('national caseload'!$B$77:$B$79),'caseload data'!$B:$B,{"licence","community"}))</f>
        <v>0</v>
      </c>
      <c r="S77" s="94" cm="1">
        <f t="array" ref="S77">SUM(SUMIFS('caseload data'!T:T,'caseload data'!$D:$D,"PO",'caseload data'!$A:$A,_xlfn.SINGLE('national caseload'!$B$77:$B$79),'caseload data'!$B:$B,{"licence","community"}))</f>
        <v>0</v>
      </c>
      <c r="T77" s="94">
        <f>SUM(SUMIFS('caseload data'!V:V,'caseload data'!D:D,"PO",'caseload data'!A:A,'national caseload'!B77:B79,'caseload data'!B:B,{"licence","community"}))</f>
        <v>0</v>
      </c>
      <c r="U77" s="64"/>
      <c r="V77" s="64"/>
      <c r="W77" s="503" t="s">
        <v>17</v>
      </c>
      <c r="X77" s="128" t="s">
        <v>947</v>
      </c>
      <c r="Y77" s="167" t="e">
        <f t="shared" ref="Y77:AD77" si="45">SUM(D77)/SUM(D$77:D$81)</f>
        <v>#DIV/0!</v>
      </c>
      <c r="Z77" s="167" t="e">
        <f t="shared" si="45"/>
        <v>#DIV/0!</v>
      </c>
      <c r="AA77" s="167" t="e">
        <f t="shared" si="45"/>
        <v>#DIV/0!</v>
      </c>
      <c r="AB77" s="167" t="e">
        <f t="shared" si="45"/>
        <v>#DIV/0!</v>
      </c>
      <c r="AC77" s="167" t="e">
        <f t="shared" si="45"/>
        <v>#DIV/0!</v>
      </c>
      <c r="AD77" s="167" t="e">
        <f t="shared" si="45"/>
        <v>#DIV/0!</v>
      </c>
      <c r="AE77" s="167" t="e">
        <f t="shared" ref="AE77:AO81" si="46">SUM(J77)/SUM(J$77:J$81)</f>
        <v>#DIV/0!</v>
      </c>
      <c r="AF77" s="167" t="e">
        <f t="shared" si="46"/>
        <v>#DIV/0!</v>
      </c>
      <c r="AG77" s="167" t="e">
        <f t="shared" si="46"/>
        <v>#DIV/0!</v>
      </c>
      <c r="AH77" s="167" t="e">
        <f t="shared" si="46"/>
        <v>#DIV/0!</v>
      </c>
      <c r="AI77" s="167" t="e">
        <f t="shared" si="46"/>
        <v>#DIV/0!</v>
      </c>
      <c r="AJ77" s="167" t="e">
        <f t="shared" si="46"/>
        <v>#DIV/0!</v>
      </c>
      <c r="AK77" s="167" t="e">
        <f t="shared" si="46"/>
        <v>#DIV/0!</v>
      </c>
      <c r="AL77" s="167" t="e">
        <f t="shared" si="46"/>
        <v>#DIV/0!</v>
      </c>
      <c r="AM77" s="167" t="e">
        <f t="shared" si="46"/>
        <v>#DIV/0!</v>
      </c>
      <c r="AN77" s="167" t="e">
        <f t="shared" si="46"/>
        <v>#DIV/0!</v>
      </c>
      <c r="AO77" s="167" t="e">
        <f>SUM(T77)/SUM(T$77:T$81)</f>
        <v>#DIV/0!</v>
      </c>
    </row>
    <row r="78" spans="2:41" x14ac:dyDescent="0.15">
      <c r="B78" s="510"/>
      <c r="C78" s="129" t="s">
        <v>952</v>
      </c>
      <c r="D78" s="368" cm="1">
        <f t="array" ref="D78">SUM(SUMIFS('caseload data'!E:E,'caseload data'!$D:$D,"PSO",'caseload data'!$A:$A,"East Midlands Region",'caseload data'!$B:$B,{"licence","community"}))</f>
        <v>0</v>
      </c>
      <c r="E78" s="94" cm="1">
        <f t="array" ref="E78">SUM(SUMIFS('caseload data'!F:F,'caseload data'!$D:$D,"PSO",'caseload data'!$A:$A,"East Midlands Region",'caseload data'!$B:$B,{"licence","community"}))</f>
        <v>0</v>
      </c>
      <c r="F78" s="94" cm="1">
        <f t="array" ref="F78">SUM(SUMIFS('caseload data'!G:G,'caseload data'!$D:$D,"PSO",'caseload data'!$A:$A,"East Midlands Region",'caseload data'!$B:$B,{"licence","community"}))</f>
        <v>0</v>
      </c>
      <c r="G78" s="94" cm="1">
        <f t="array" ref="G78">SUM(SUMIFS('caseload data'!H:H,'caseload data'!$D:$D,"PSO",'caseload data'!$A:$A,"East Midlands Region",'caseload data'!$B:$B,{"licence","community"}))</f>
        <v>0</v>
      </c>
      <c r="H78" s="94" cm="1">
        <f t="array" ref="H78">SUM(SUMIFS('caseload data'!I:I,'caseload data'!$D:$D,"PSO",'caseload data'!$A:$A,"East Midlands Region",'caseload data'!$B:$B,{"licence","community"}))</f>
        <v>0</v>
      </c>
      <c r="I78" s="94" cm="1">
        <f t="array" ref="I78">SUM(SUMIFS('caseload data'!J:J,'caseload data'!$D:$D,"PSO",'caseload data'!$A:$A,"East Midlands Region",'caseload data'!$B:$B,{"licence","community"}))</f>
        <v>0</v>
      </c>
      <c r="J78" s="94" cm="1">
        <f t="array" ref="J78">SUM(SUMIFS('caseload data'!K:K,'caseload data'!$D:$D,"PSO",'caseload data'!$A:$A,"East Midlands Region",'caseload data'!$B:$B,{"licence","community"}))</f>
        <v>0</v>
      </c>
      <c r="K78" s="94" cm="1">
        <f t="array" ref="K78">SUM(SUMIFS('caseload data'!L:L,'caseload data'!$D:$D,"PSO",'caseload data'!$A:$A,"East Midlands Region",'caseload data'!$B:$B,{"licence","community"}))</f>
        <v>0</v>
      </c>
      <c r="L78" s="94" cm="1">
        <f t="array" ref="L78">SUM(SUMIFS('caseload data'!M:M,'caseload data'!$D:$D,"PSO",'caseload data'!$A:$A,"East Midlands Region",'caseload data'!$B:$B,{"licence","community"}))</f>
        <v>0</v>
      </c>
      <c r="M78" s="94" cm="1">
        <f t="array" ref="M78">SUM(SUMIFS('caseload data'!N:N,'caseload data'!$D:$D,"PSO",'caseload data'!$A:$A,"East Midlands Region",'caseload data'!$B:$B,{"licence","community"}))</f>
        <v>0</v>
      </c>
      <c r="N78" s="94" cm="1">
        <f t="array" ref="N78">SUM(SUMIFS('caseload data'!O:O,'caseload data'!$D:$D,"PSO",'caseload data'!$A:$A,"East Midlands Region",'caseload data'!$B:$B,{"licence","community"}))</f>
        <v>0</v>
      </c>
      <c r="O78" s="94" cm="1">
        <f t="array" ref="O78">SUM(SUMIFS('caseload data'!P:P,'caseload data'!$D:$D,"PSO",'caseload data'!$A:$A,"East Midlands Region",'caseload data'!$B:$B,{"licence","community"}))</f>
        <v>0</v>
      </c>
      <c r="P78" s="94" cm="1">
        <f t="array" ref="P78">SUM(SUMIFS('caseload data'!Q:Q,'caseload data'!$D:$D,"PSO",'caseload data'!$A:$A,"East Midlands Region",'caseload data'!$B:$B,{"licence","community"}))</f>
        <v>0</v>
      </c>
      <c r="Q78" s="94" cm="1">
        <f t="array" ref="Q78">SUM(SUMIFS('caseload data'!R:R,'caseload data'!$D:$D,"PSO",'caseload data'!$A:$A,"East Midlands Region",'caseload data'!$B:$B,{"licence","community"}))</f>
        <v>0</v>
      </c>
      <c r="R78" s="94" cm="1">
        <f t="array" ref="R78">SUM(SUMIFS('caseload data'!S:S,'caseload data'!$D:$D,"PSO",'caseload data'!$A:$A,"East Midlands Region",'caseload data'!$B:$B,{"licence","community"}))</f>
        <v>0</v>
      </c>
      <c r="S78" s="94" cm="1">
        <f t="array" ref="S78">SUM(SUMIFS('caseload data'!T:T,'caseload data'!$D:$D,"PSO",'caseload data'!$A:$A,"East Midlands Region",'caseload data'!$B:$B,{"licence","community"}))</f>
        <v>0</v>
      </c>
      <c r="T78" s="94" cm="1">
        <f t="array" ref="T78">SUM(SUMIFS('caseload data'!V:V,'caseload data'!D:D,"PSO",'caseload data'!A:A,"East Midlands Region",'caseload data'!B:B,{"licence","community"}))</f>
        <v>0</v>
      </c>
      <c r="U78" s="64"/>
      <c r="V78" s="64"/>
      <c r="W78" s="504"/>
      <c r="X78" s="129" t="s">
        <v>952</v>
      </c>
      <c r="Y78" s="167" t="e">
        <f t="shared" ref="Y78:AB81" si="47">SUM(D78)/SUM(D$77:D$81)</f>
        <v>#DIV/0!</v>
      </c>
      <c r="Z78" s="167" t="e">
        <f t="shared" si="47"/>
        <v>#DIV/0!</v>
      </c>
      <c r="AA78" s="167" t="e">
        <f t="shared" si="47"/>
        <v>#DIV/0!</v>
      </c>
      <c r="AB78" s="167" t="e">
        <f t="shared" si="47"/>
        <v>#DIV/0!</v>
      </c>
      <c r="AC78" s="167" t="e">
        <f t="shared" ref="AC78:AC81" si="48">SUM(H78)/SUM(H$77:H$81)</f>
        <v>#DIV/0!</v>
      </c>
      <c r="AD78" s="167" t="e">
        <f t="shared" ref="AD78:AD81" si="49">SUM(I78)/SUM(I$77:I$81)</f>
        <v>#DIV/0!</v>
      </c>
      <c r="AE78" s="167" t="e">
        <f t="shared" si="46"/>
        <v>#DIV/0!</v>
      </c>
      <c r="AF78" s="167" t="e">
        <f t="shared" si="46"/>
        <v>#DIV/0!</v>
      </c>
      <c r="AG78" s="167" t="e">
        <f t="shared" si="46"/>
        <v>#DIV/0!</v>
      </c>
      <c r="AH78" s="167" t="e">
        <f t="shared" si="46"/>
        <v>#DIV/0!</v>
      </c>
      <c r="AI78" s="167" t="e">
        <f t="shared" si="46"/>
        <v>#DIV/0!</v>
      </c>
      <c r="AJ78" s="167" t="e">
        <f t="shared" si="46"/>
        <v>#DIV/0!</v>
      </c>
      <c r="AK78" s="167" t="e">
        <f t="shared" si="46"/>
        <v>#DIV/0!</v>
      </c>
      <c r="AL78" s="167" t="e">
        <f t="shared" si="46"/>
        <v>#DIV/0!</v>
      </c>
      <c r="AM78" s="167" t="e">
        <f t="shared" si="46"/>
        <v>#DIV/0!</v>
      </c>
      <c r="AN78" s="167" t="e">
        <f t="shared" si="46"/>
        <v>#DIV/0!</v>
      </c>
      <c r="AO78" s="167" t="e">
        <f t="shared" si="46"/>
        <v>#DIV/0!</v>
      </c>
    </row>
    <row r="79" spans="2:41" x14ac:dyDescent="0.15">
      <c r="B79" s="510"/>
      <c r="C79" s="129" t="s">
        <v>953</v>
      </c>
      <c r="D79" s="368" cm="1">
        <f t="array" ref="D79">SUM(SUMIFS('caseload data'!E:E,'caseload data'!$D:$D,"TPO",'caseload data'!$A:$A,"East Midlands Region",'caseload data'!$B:$B,{"licence","community"}))</f>
        <v>0</v>
      </c>
      <c r="E79" s="94" cm="1">
        <f t="array" ref="E79">SUM(SUMIFS('caseload data'!F:F,'caseload data'!$D:$D,"TPO",'caseload data'!$A:$A,"East Midlands Region",'caseload data'!$B:$B,{"licence","community"}))</f>
        <v>0</v>
      </c>
      <c r="F79" s="94" cm="1">
        <f t="array" ref="F79">SUM(SUMIFS('caseload data'!G:G,'caseload data'!$D:$D,"TPO",'caseload data'!$A:$A,"East Midlands Region",'caseload data'!$B:$B,{"licence","community"}))</f>
        <v>0</v>
      </c>
      <c r="G79" s="94" cm="1">
        <f t="array" ref="G79">SUM(SUMIFS('caseload data'!H:H,'caseload data'!$D:$D,"TPO",'caseload data'!$A:$A,"East Midlands Region",'caseload data'!$B:$B,{"licence","community"}))</f>
        <v>0</v>
      </c>
      <c r="H79" s="94" cm="1">
        <f t="array" ref="H79">SUM(SUMIFS('caseload data'!I:I,'caseload data'!$D:$D,"TPO",'caseload data'!$A:$A,"East Midlands Region",'caseload data'!$B:$B,{"licence","community"}))</f>
        <v>0</v>
      </c>
      <c r="I79" s="94" cm="1">
        <f t="array" ref="I79">SUM(SUMIFS('caseload data'!J:J,'caseload data'!$D:$D,"TPO",'caseload data'!$A:$A,"East Midlands Region",'caseload data'!$B:$B,{"licence","community"}))</f>
        <v>0</v>
      </c>
      <c r="J79" s="94" cm="1">
        <f t="array" ref="J79">SUM(SUMIFS('caseload data'!K:K,'caseload data'!$D:$D,"TPO",'caseload data'!$A:$A,"East Midlands Region",'caseload data'!$B:$B,{"licence","community"}))</f>
        <v>0</v>
      </c>
      <c r="K79" s="94" cm="1">
        <f t="array" ref="K79">SUM(SUMIFS('caseload data'!L:L,'caseload data'!$D:$D,"TPO",'caseload data'!$A:$A,"East Midlands Region",'caseload data'!$B:$B,{"licence","community"}))</f>
        <v>0</v>
      </c>
      <c r="L79" s="94" cm="1">
        <f t="array" ref="L79">SUM(SUMIFS('caseload data'!M:M,'caseload data'!$D:$D,"TPO",'caseload data'!$A:$A,"East Midlands Region",'caseload data'!$B:$B,{"licence","community"}))</f>
        <v>0</v>
      </c>
      <c r="M79" s="94" cm="1">
        <f t="array" ref="M79">SUM(SUMIFS('caseload data'!N:N,'caseload data'!$D:$D,"TPO",'caseload data'!$A:$A,"East Midlands Region",'caseload data'!$B:$B,{"licence","community"}))</f>
        <v>0</v>
      </c>
      <c r="N79" s="94" cm="1">
        <f t="array" ref="N79">SUM(SUMIFS('caseload data'!O:O,'caseload data'!$D:$D,"TPO",'caseload data'!$A:$A,"East Midlands Region",'caseload data'!$B:$B,{"licence","community"}))</f>
        <v>0</v>
      </c>
      <c r="O79" s="94" cm="1">
        <f t="array" ref="O79">SUM(SUMIFS('caseload data'!P:P,'caseload data'!$D:$D,"TPO",'caseload data'!$A:$A,"East Midlands Region",'caseload data'!$B:$B,{"licence","community"}))</f>
        <v>0</v>
      </c>
      <c r="P79" s="94" cm="1">
        <f t="array" ref="P79">SUM(SUMIFS('caseload data'!Q:Q,'caseload data'!$D:$D,"TPO",'caseload data'!$A:$A,"East Midlands Region",'caseload data'!$B:$B,{"licence","community"}))</f>
        <v>0</v>
      </c>
      <c r="Q79" s="94" cm="1">
        <f t="array" ref="Q79">SUM(SUMIFS('caseload data'!R:R,'caseload data'!$D:$D,"TPO",'caseload data'!$A:$A,"East Midlands Region",'caseload data'!$B:$B,{"licence","community"}))</f>
        <v>0</v>
      </c>
      <c r="R79" s="94" cm="1">
        <f t="array" ref="R79">SUM(SUMIFS('caseload data'!S:S,'caseload data'!$D:$D,"TPO",'caseload data'!$A:$A,"East Midlands Region",'caseload data'!$B:$B,{"licence","community"}))</f>
        <v>0</v>
      </c>
      <c r="S79" s="94" cm="1">
        <f t="array" ref="S79">SUM(SUMIFS('caseload data'!T:T,'caseload data'!$D:$D,"TPO",'caseload data'!$A:$A,"East Midlands Region",'caseload data'!$B:$B,{"licence","community"}))</f>
        <v>0</v>
      </c>
      <c r="T79" s="94" cm="1">
        <f t="array" ref="T79">SUM(SUMIFS('caseload data'!V:V,'caseload data'!D:D,"TPO",'caseload data'!A:A,"East Midlands Region",'caseload data'!B:B,{"licence","community"}))</f>
        <v>0</v>
      </c>
      <c r="U79" s="64"/>
      <c r="V79" s="64"/>
      <c r="W79" s="504"/>
      <c r="X79" s="129" t="s">
        <v>953</v>
      </c>
      <c r="Y79" s="167" t="e">
        <f t="shared" si="47"/>
        <v>#DIV/0!</v>
      </c>
      <c r="Z79" s="167" t="e">
        <f t="shared" si="47"/>
        <v>#DIV/0!</v>
      </c>
      <c r="AA79" s="167" t="e">
        <f t="shared" si="47"/>
        <v>#DIV/0!</v>
      </c>
      <c r="AB79" s="167" t="e">
        <f t="shared" si="47"/>
        <v>#DIV/0!</v>
      </c>
      <c r="AC79" s="167" t="e">
        <f t="shared" si="48"/>
        <v>#DIV/0!</v>
      </c>
      <c r="AD79" s="167" t="e">
        <f t="shared" si="49"/>
        <v>#DIV/0!</v>
      </c>
      <c r="AE79" s="167" t="e">
        <f t="shared" si="46"/>
        <v>#DIV/0!</v>
      </c>
      <c r="AF79" s="167" t="e">
        <f t="shared" si="46"/>
        <v>#DIV/0!</v>
      </c>
      <c r="AG79" s="167" t="e">
        <f t="shared" si="46"/>
        <v>#DIV/0!</v>
      </c>
      <c r="AH79" s="167" t="e">
        <f t="shared" si="46"/>
        <v>#DIV/0!</v>
      </c>
      <c r="AI79" s="167" t="e">
        <f t="shared" si="46"/>
        <v>#DIV/0!</v>
      </c>
      <c r="AJ79" s="167" t="e">
        <f t="shared" si="46"/>
        <v>#DIV/0!</v>
      </c>
      <c r="AK79" s="167" t="e">
        <f t="shared" si="46"/>
        <v>#DIV/0!</v>
      </c>
      <c r="AL79" s="167" t="e">
        <f t="shared" si="46"/>
        <v>#DIV/0!</v>
      </c>
      <c r="AM79" s="167" t="e">
        <f t="shared" si="46"/>
        <v>#DIV/0!</v>
      </c>
      <c r="AN79" s="167" t="e">
        <f t="shared" si="46"/>
        <v>#DIV/0!</v>
      </c>
      <c r="AO79" s="167" t="e">
        <f t="shared" si="46"/>
        <v>#DIV/0!</v>
      </c>
    </row>
    <row r="80" spans="2:41" x14ac:dyDescent="0.15">
      <c r="B80" s="510"/>
      <c r="C80" s="129" t="s">
        <v>954</v>
      </c>
      <c r="D80" s="368" cm="1">
        <f t="array" ref="D80">SUM(SUMIFS('caseload data'!E:E,'caseload data'!$D:$D,"SPO",'caseload data'!$A:$A,"East Midlands Region",'caseload data'!$B:$B,{"licence","community"}))</f>
        <v>0</v>
      </c>
      <c r="E80" s="94" cm="1">
        <f t="array" ref="E80">SUM(SUMIFS('caseload data'!F:F,'caseload data'!$D:$D,"SPO",'caseload data'!$A:$A,"East Midlands Region",'caseload data'!$B:$B,{"licence","community"}))</f>
        <v>0</v>
      </c>
      <c r="F80" s="94" cm="1">
        <f t="array" ref="F80">SUM(SUMIFS('caseload data'!G:G,'caseload data'!$D:$D,"SPO",'caseload data'!$A:$A,"East Midlands Region",'caseload data'!$B:$B,{"licence","community"}))</f>
        <v>0</v>
      </c>
      <c r="G80" s="94" cm="1">
        <f t="array" ref="G80">SUM(SUMIFS('caseload data'!H:H,'caseload data'!$D:$D,"SPO",'caseload data'!$A:$A,"East Midlands Region",'caseload data'!$B:$B,{"licence","community"}))</f>
        <v>0</v>
      </c>
      <c r="H80" s="94" cm="1">
        <f t="array" ref="H80">SUM(SUMIFS('caseload data'!I:I,'caseload data'!$D:$D,"SPO",'caseload data'!$A:$A,"East Midlands Region",'caseload data'!$B:$B,{"licence","community"}))</f>
        <v>0</v>
      </c>
      <c r="I80" s="94" cm="1">
        <f t="array" ref="I80">SUM(SUMIFS('caseload data'!J:J,'caseload data'!$D:$D,"SPO",'caseload data'!$A:$A,"East Midlands Region",'caseload data'!$B:$B,{"licence","community"}))</f>
        <v>0</v>
      </c>
      <c r="J80" s="94" cm="1">
        <f t="array" ref="J80">SUM(SUMIFS('caseload data'!K:K,'caseload data'!$D:$D,"SPO",'caseload data'!$A:$A,"East Midlands Region",'caseload data'!$B:$B,{"licence","community"}))</f>
        <v>0</v>
      </c>
      <c r="K80" s="94" cm="1">
        <f t="array" ref="K80">SUM(SUMIFS('caseload data'!L:L,'caseload data'!$D:$D,"SPO",'caseload data'!$A:$A,"East Midlands Region",'caseload data'!$B:$B,{"licence","community"}))</f>
        <v>0</v>
      </c>
      <c r="L80" s="94" cm="1">
        <f t="array" ref="L80">SUM(SUMIFS('caseload data'!M:M,'caseload data'!$D:$D,"SPO",'caseload data'!$A:$A,"East Midlands Region",'caseload data'!$B:$B,{"licence","community"}))</f>
        <v>0</v>
      </c>
      <c r="M80" s="94" cm="1">
        <f t="array" ref="M80">SUM(SUMIFS('caseload data'!N:N,'caseload data'!$D:$D,"SPO",'caseload data'!$A:$A,"East Midlands Region",'caseload data'!$B:$B,{"licence","community"}))</f>
        <v>0</v>
      </c>
      <c r="N80" s="94" cm="1">
        <f t="array" ref="N80">SUM(SUMIFS('caseload data'!O:O,'caseload data'!$D:$D,"SPO",'caseload data'!$A:$A,"East Midlands Region",'caseload data'!$B:$B,{"licence","community"}))</f>
        <v>0</v>
      </c>
      <c r="O80" s="94" cm="1">
        <f t="array" ref="O80">SUM(SUMIFS('caseload data'!P:P,'caseload data'!$D:$D,"SPO",'caseload data'!$A:$A,"East Midlands Region",'caseload data'!$B:$B,{"licence","community"}))</f>
        <v>0</v>
      </c>
      <c r="P80" s="94" cm="1">
        <f t="array" ref="P80">SUM(SUMIFS('caseload data'!Q:Q,'caseload data'!$D:$D,"SPO",'caseload data'!$A:$A,"East Midlands Region",'caseload data'!$B:$B,{"licence","community"}))</f>
        <v>0</v>
      </c>
      <c r="Q80" s="94" cm="1">
        <f t="array" ref="Q80">SUM(SUMIFS('caseload data'!R:R,'caseload data'!$D:$D,"SPO",'caseload data'!$A:$A,"East Midlands Region",'caseload data'!$B:$B,{"licence","community"}))</f>
        <v>0</v>
      </c>
      <c r="R80" s="94" cm="1">
        <f t="array" ref="R80">SUM(SUMIFS('caseload data'!S:S,'caseload data'!$D:$D,"SPO",'caseload data'!$A:$A,"East Midlands Region",'caseload data'!$B:$B,{"licence","community"}))</f>
        <v>0</v>
      </c>
      <c r="S80" s="94" cm="1">
        <f t="array" ref="S80">SUM(SUMIFS('caseload data'!T:T,'caseload data'!$D:$D,"SPO",'caseload data'!$A:$A,"East Midlands Region",'caseload data'!$B:$B,{"licence","community"}))</f>
        <v>0</v>
      </c>
      <c r="T80" s="94" cm="1">
        <f t="array" ref="T80">SUM(SUMIFS('caseload data'!V:V,'caseload data'!$D:$D,"SPO",'caseload data'!$A:$A,"East Midlands Region",'caseload data'!$B:$B,{"licence","community"}))</f>
        <v>0</v>
      </c>
      <c r="U80" s="64"/>
      <c r="V80" s="64"/>
      <c r="W80" s="504"/>
      <c r="X80" s="129" t="s">
        <v>954</v>
      </c>
      <c r="Y80" s="167" t="e">
        <f t="shared" si="47"/>
        <v>#DIV/0!</v>
      </c>
      <c r="Z80" s="167" t="e">
        <f t="shared" si="47"/>
        <v>#DIV/0!</v>
      </c>
      <c r="AA80" s="167" t="e">
        <f t="shared" si="47"/>
        <v>#DIV/0!</v>
      </c>
      <c r="AB80" s="167" t="e">
        <f t="shared" si="47"/>
        <v>#DIV/0!</v>
      </c>
      <c r="AC80" s="167" t="e">
        <f t="shared" si="48"/>
        <v>#DIV/0!</v>
      </c>
      <c r="AD80" s="167" t="e">
        <f t="shared" si="49"/>
        <v>#DIV/0!</v>
      </c>
      <c r="AE80" s="167" t="e">
        <f t="shared" si="46"/>
        <v>#DIV/0!</v>
      </c>
      <c r="AF80" s="167" t="e">
        <f t="shared" si="46"/>
        <v>#DIV/0!</v>
      </c>
      <c r="AG80" s="167" t="e">
        <f t="shared" si="46"/>
        <v>#DIV/0!</v>
      </c>
      <c r="AH80" s="167" t="e">
        <f t="shared" si="46"/>
        <v>#DIV/0!</v>
      </c>
      <c r="AI80" s="167" t="e">
        <f t="shared" si="46"/>
        <v>#DIV/0!</v>
      </c>
      <c r="AJ80" s="167" t="e">
        <f t="shared" si="46"/>
        <v>#DIV/0!</v>
      </c>
      <c r="AK80" s="167" t="e">
        <f t="shared" si="46"/>
        <v>#DIV/0!</v>
      </c>
      <c r="AL80" s="167" t="e">
        <f t="shared" si="46"/>
        <v>#DIV/0!</v>
      </c>
      <c r="AM80" s="167" t="e">
        <f t="shared" si="46"/>
        <v>#DIV/0!</v>
      </c>
      <c r="AN80" s="167" t="e">
        <f t="shared" si="46"/>
        <v>#DIV/0!</v>
      </c>
      <c r="AO80" s="167" t="e">
        <f t="shared" si="46"/>
        <v>#DIV/0!</v>
      </c>
    </row>
    <row r="81" spans="2:41" x14ac:dyDescent="0.15">
      <c r="B81" s="511"/>
      <c r="C81" s="130" t="s">
        <v>1286</v>
      </c>
      <c r="D81" s="368" cm="1">
        <f t="array" ref="D81">SUM(SUMIFS('caseload data'!E:E,'caseload data'!$D:$D,"DMY",'caseload data'!$A:$A,"East Midlands Region",'caseload data'!$B:$B,{"licence","community"}))</f>
        <v>0</v>
      </c>
      <c r="E81" s="368" cm="1">
        <f t="array" ref="E81">SUM(SUMIFS('caseload data'!F:F,'caseload data'!$D:$D,"DMY",'caseload data'!$A:$A,"East Midlands Region",'caseload data'!$B:$B,{"licence","community"}))</f>
        <v>0</v>
      </c>
      <c r="F81" s="368" cm="1">
        <f t="array" ref="F81">SUM(SUMIFS('caseload data'!G:G,'caseload data'!$D:$D,"DMY",'caseload data'!$A:$A,"East Midlands Region",'caseload data'!$B:$B,{"licence","community"}))</f>
        <v>0</v>
      </c>
      <c r="G81" s="368" cm="1">
        <f t="array" ref="G81">SUM(SUMIFS('caseload data'!H:H,'caseload data'!$D:$D,"DMY",'caseload data'!$A:$A,"East Midlands Region",'caseload data'!$B:$B,{"licence","community"}))</f>
        <v>0</v>
      </c>
      <c r="H81" s="368" cm="1">
        <f t="array" ref="H81">SUM(SUMIFS('caseload data'!I:I,'caseload data'!$D:$D,"DMY",'caseload data'!$A:$A,"East Midlands Region",'caseload data'!$B:$B,{"licence","community"}))</f>
        <v>0</v>
      </c>
      <c r="I81" s="368" cm="1">
        <f t="array" ref="I81">SUM(SUMIFS('caseload data'!J:J,'caseload data'!$D:$D,"DMY",'caseload data'!$A:$A,"East Midlands Region",'caseload data'!$B:$B,{"licence","community"}))</f>
        <v>0</v>
      </c>
      <c r="J81" s="368" cm="1">
        <f t="array" ref="J81">SUM(SUMIFS('caseload data'!K:K,'caseload data'!$D:$D,"DMY",'caseload data'!$A:$A,"East Midlands Region",'caseload data'!$B:$B,{"licence","community"}))</f>
        <v>0</v>
      </c>
      <c r="K81" s="368" cm="1">
        <f t="array" ref="K81">SUM(SUMIFS('caseload data'!L:L,'caseload data'!$D:$D,"DMY",'caseload data'!$A:$A,"East Midlands Region",'caseload data'!$B:$B,{"licence","community"}))</f>
        <v>0</v>
      </c>
      <c r="L81" s="368" cm="1">
        <f t="array" ref="L81">SUM(SUMIFS('caseload data'!M:M,'caseload data'!$D:$D,"DMY",'caseload data'!$A:$A,"East Midlands Region",'caseload data'!$B:$B,{"licence","community"}))</f>
        <v>0</v>
      </c>
      <c r="M81" s="368" cm="1">
        <f t="array" ref="M81">SUM(SUMIFS('caseload data'!N:N,'caseload data'!$D:$D,"DMY",'caseload data'!$A:$A,"East Midlands Region",'caseload data'!$B:$B,{"licence","community"}))</f>
        <v>0</v>
      </c>
      <c r="N81" s="368" cm="1">
        <f t="array" ref="N81">SUM(SUMIFS('caseload data'!O:O,'caseload data'!$D:$D,"DMY",'caseload data'!$A:$A,"East Midlands Region",'caseload data'!$B:$B,{"licence","community"}))</f>
        <v>0</v>
      </c>
      <c r="O81" s="368" cm="1">
        <f t="array" ref="O81">SUM(SUMIFS('caseload data'!P:P,'caseload data'!$D:$D,"DMY",'caseload data'!$A:$A,"East Midlands Region",'caseload data'!$B:$B,{"licence","community"}))</f>
        <v>0</v>
      </c>
      <c r="P81" s="368" cm="1">
        <f t="array" ref="P81">SUM(SUMIFS('caseload data'!Q:Q,'caseload data'!$D:$D,"DMY",'caseload data'!$A:$A,"East Midlands Region",'caseload data'!$B:$B,{"licence","community"}))</f>
        <v>0</v>
      </c>
      <c r="Q81" s="368" cm="1">
        <f t="array" ref="Q81">SUM(SUMIFS('caseload data'!R:R,'caseload data'!$D:$D,"DMY",'caseload data'!$A:$A,"East Midlands Region",'caseload data'!$B:$B,{"licence","community"}))</f>
        <v>0</v>
      </c>
      <c r="R81" s="368" cm="1">
        <f t="array" ref="R81">SUM(SUMIFS('caseload data'!S:S,'caseload data'!$D:$D,"DMY",'caseload data'!$A:$A,"East Midlands Region",'caseload data'!$B:$B,{"licence","community"}))</f>
        <v>0</v>
      </c>
      <c r="S81" s="368" cm="1">
        <f t="array" ref="S81">SUM(SUMIFS('caseload data'!T:T,'caseload data'!$D:$D,"DMY",'caseload data'!$A:$A,"East Midlands Region",'caseload data'!$B:$B,{"licence","community"}))</f>
        <v>0</v>
      </c>
      <c r="T81" s="94" cm="1">
        <f t="array" ref="T81">SUM(SUMIFS('caseload data'!V:V,'caseload data'!$D:$D,"DMY",'caseload data'!$A:$A,"East Midlands Region",'caseload data'!$B:$B,{"licence","community"}))</f>
        <v>0</v>
      </c>
      <c r="U81" s="64"/>
      <c r="V81" s="64"/>
      <c r="W81" s="505"/>
      <c r="X81" s="130" t="s">
        <v>1286</v>
      </c>
      <c r="Y81" s="167" t="e">
        <f t="shared" si="47"/>
        <v>#DIV/0!</v>
      </c>
      <c r="Z81" s="167" t="e">
        <f t="shared" si="47"/>
        <v>#DIV/0!</v>
      </c>
      <c r="AA81" s="167" t="e">
        <f t="shared" si="47"/>
        <v>#DIV/0!</v>
      </c>
      <c r="AB81" s="167" t="e">
        <f t="shared" si="47"/>
        <v>#DIV/0!</v>
      </c>
      <c r="AC81" s="167" t="e">
        <f t="shared" si="48"/>
        <v>#DIV/0!</v>
      </c>
      <c r="AD81" s="167" t="e">
        <f t="shared" si="49"/>
        <v>#DIV/0!</v>
      </c>
      <c r="AE81" s="167" t="e">
        <f t="shared" si="46"/>
        <v>#DIV/0!</v>
      </c>
      <c r="AF81" s="167" t="e">
        <f t="shared" si="46"/>
        <v>#DIV/0!</v>
      </c>
      <c r="AG81" s="167" t="e">
        <f t="shared" si="46"/>
        <v>#DIV/0!</v>
      </c>
      <c r="AH81" s="167" t="e">
        <f t="shared" si="46"/>
        <v>#DIV/0!</v>
      </c>
      <c r="AI81" s="167" t="e">
        <f t="shared" si="46"/>
        <v>#DIV/0!</v>
      </c>
      <c r="AJ81" s="167" t="e">
        <f t="shared" si="46"/>
        <v>#DIV/0!</v>
      </c>
      <c r="AK81" s="167" t="e">
        <f t="shared" si="46"/>
        <v>#DIV/0!</v>
      </c>
      <c r="AL81" s="167" t="e">
        <f t="shared" si="46"/>
        <v>#DIV/0!</v>
      </c>
      <c r="AM81" s="167" t="e">
        <f t="shared" si="46"/>
        <v>#DIV/0!</v>
      </c>
      <c r="AN81" s="167" t="e">
        <f t="shared" si="46"/>
        <v>#DIV/0!</v>
      </c>
      <c r="AO81" s="167" t="e">
        <f t="shared" si="46"/>
        <v>#DIV/0!</v>
      </c>
    </row>
    <row r="82" spans="2:41" x14ac:dyDescent="0.15">
      <c r="B82" s="503" t="s">
        <v>18</v>
      </c>
      <c r="C82" s="128" t="s">
        <v>947</v>
      </c>
      <c r="D82" s="94" cm="1">
        <f t="array" ref="D82">SUM(SUMIFS('caseload data'!E:E,'caseload data'!$D:$D,"PO",'caseload data'!$A:$A,_xlfn.SINGLE('national caseload'!$B$82:$B$84),'caseload data'!$B:$B,{"licence","community"}))</f>
        <v>0</v>
      </c>
      <c r="E82" s="94" cm="1">
        <f t="array" ref="E82">SUM(SUMIFS('caseload data'!F:F,'caseload data'!$D:$D,"PO",'caseload data'!$A:$A,_xlfn.SINGLE('national caseload'!$B$82:$B$84),'caseload data'!$B:$B,{"licence","community"}))</f>
        <v>0</v>
      </c>
      <c r="F82" s="94" cm="1">
        <f t="array" ref="F82">SUM(SUMIFS('caseload data'!G:G,'caseload data'!$D:$D,"PO",'caseload data'!$A:$A,_xlfn.SINGLE('national caseload'!$B$82:$B$84),'caseload data'!$B:$B,{"licence","community"}))</f>
        <v>0</v>
      </c>
      <c r="G82" s="94" cm="1">
        <f t="array" ref="G82">SUM(SUMIFS('caseload data'!H:H,'caseload data'!$D:$D,"PO",'caseload data'!$A:$A,_xlfn.SINGLE('national caseload'!$B$82:$B$84),'caseload data'!$B:$B,{"licence","community"}))</f>
        <v>0</v>
      </c>
      <c r="H82" s="94" cm="1">
        <f t="array" ref="H82">SUM(SUMIFS('caseload data'!I:I,'caseload data'!$D:$D,"PO",'caseload data'!$A:$A,_xlfn.SINGLE('national caseload'!$B$82:$B$84),'caseload data'!$B:$B,{"licence","community"}))</f>
        <v>0</v>
      </c>
      <c r="I82" s="94" cm="1">
        <f t="array" ref="I82">SUM(SUMIFS('caseload data'!J:J,'caseload data'!$D:$D,"PO",'caseload data'!$A:$A,_xlfn.SINGLE('national caseload'!$B$82:$B$84),'caseload data'!$B:$B,{"licence","community"}))</f>
        <v>0</v>
      </c>
      <c r="J82" s="94" cm="1">
        <f t="array" ref="J82">SUM(SUMIFS('caseload data'!K:K,'caseload data'!$D:$D,"PO",'caseload data'!$A:$A,_xlfn.SINGLE('national caseload'!$B$82:$B$84),'caseload data'!$B:$B,{"licence","community"}))</f>
        <v>0</v>
      </c>
      <c r="K82" s="94" cm="1">
        <f t="array" ref="K82">SUM(SUMIFS('caseload data'!L:L,'caseload data'!$D:$D,"PO",'caseload data'!$A:$A,_xlfn.SINGLE('national caseload'!$B$82:$B$84),'caseload data'!$B:$B,{"licence","community"}))</f>
        <v>0</v>
      </c>
      <c r="L82" s="94" cm="1">
        <f t="array" ref="L82">SUM(SUMIFS('caseload data'!M:M,'caseload data'!$D:$D,"PO",'caseload data'!$A:$A,_xlfn.SINGLE('national caseload'!$B$82:$B$84),'caseload data'!$B:$B,{"licence","community"}))</f>
        <v>0</v>
      </c>
      <c r="M82" s="94" cm="1">
        <f t="array" ref="M82">SUM(SUMIFS('caseload data'!N:N,'caseload data'!$D:$D,"PO",'caseload data'!$A:$A,_xlfn.SINGLE('national caseload'!$B$82:$B$84),'caseload data'!$B:$B,{"licence","community"}))</f>
        <v>0</v>
      </c>
      <c r="N82" s="94" cm="1">
        <f t="array" ref="N82">SUM(SUMIFS('caseload data'!O:O,'caseload data'!$D:$D,"PO",'caseload data'!$A:$A,_xlfn.SINGLE('national caseload'!$B$82:$B$84),'caseload data'!$B:$B,{"licence","community"}))</f>
        <v>0</v>
      </c>
      <c r="O82" s="94" cm="1">
        <f t="array" ref="O82">SUM(SUMIFS('caseload data'!P:P,'caseload data'!$D:$D,"PO",'caseload data'!$A:$A,_xlfn.SINGLE('national caseload'!$B$82:$B$84),'caseload data'!$B:$B,{"licence","community"}))</f>
        <v>0</v>
      </c>
      <c r="P82" s="94" cm="1">
        <f t="array" ref="P82">SUM(SUMIFS('caseload data'!Q:Q,'caseload data'!$D:$D,"PO",'caseload data'!$A:$A,_xlfn.SINGLE('national caseload'!$B$82:$B$84),'caseload data'!$B:$B,{"licence","community"}))</f>
        <v>0</v>
      </c>
      <c r="Q82" s="94" cm="1">
        <f t="array" ref="Q82">SUM(SUMIFS('caseload data'!R:R,'caseload data'!$D:$D,"PO",'caseload data'!$A:$A,_xlfn.SINGLE('national caseload'!$B$82:$B$84),'caseload data'!$B:$B,{"licence","community"}))</f>
        <v>0</v>
      </c>
      <c r="R82" s="94" cm="1">
        <f t="array" ref="R82">SUM(SUMIFS('caseload data'!S:S,'caseload data'!$D:$D,"PO",'caseload data'!$A:$A,_xlfn.SINGLE('national caseload'!$B$82:$B$84),'caseload data'!$B:$B,{"licence","community"}))</f>
        <v>0</v>
      </c>
      <c r="S82" s="94" cm="1">
        <f t="array" ref="S82">SUM(SUMIFS('caseload data'!T:T,'caseload data'!$D:$D,"PO",'caseload data'!$A:$A,_xlfn.SINGLE('national caseload'!$B$82:$B$84),'caseload data'!$B:$B,{"licence","community"}))</f>
        <v>0</v>
      </c>
      <c r="T82" s="94">
        <f>SUM(SUMIFS('caseload data'!V:V,'caseload data'!D:D,"PO",'caseload data'!A:A,'national caseload'!B82:B84,'caseload data'!B:B,{"licence","community"}))</f>
        <v>0</v>
      </c>
      <c r="U82" s="64"/>
      <c r="V82" s="64"/>
      <c r="W82" s="503" t="s">
        <v>18</v>
      </c>
      <c r="X82" s="128" t="s">
        <v>947</v>
      </c>
      <c r="Y82" s="167" t="e">
        <f>SUM(D82)/SUM(D$82:D$86)</f>
        <v>#DIV/0!</v>
      </c>
      <c r="Z82" s="167" t="e">
        <f t="shared" ref="Z82:AO86" si="50">SUM(E82)/SUM(E$82:E$86)</f>
        <v>#DIV/0!</v>
      </c>
      <c r="AA82" s="167" t="e">
        <f t="shared" si="50"/>
        <v>#DIV/0!</v>
      </c>
      <c r="AB82" s="167" t="e">
        <f t="shared" si="50"/>
        <v>#DIV/0!</v>
      </c>
      <c r="AC82" s="167" t="e">
        <f t="shared" si="50"/>
        <v>#DIV/0!</v>
      </c>
      <c r="AD82" s="167" t="e">
        <f t="shared" si="50"/>
        <v>#DIV/0!</v>
      </c>
      <c r="AE82" s="167" t="e">
        <f t="shared" si="50"/>
        <v>#DIV/0!</v>
      </c>
      <c r="AF82" s="167" t="e">
        <f t="shared" si="50"/>
        <v>#DIV/0!</v>
      </c>
      <c r="AG82" s="167" t="e">
        <f t="shared" si="50"/>
        <v>#DIV/0!</v>
      </c>
      <c r="AH82" s="167" t="e">
        <f t="shared" si="50"/>
        <v>#DIV/0!</v>
      </c>
      <c r="AI82" s="167" t="e">
        <f t="shared" si="50"/>
        <v>#DIV/0!</v>
      </c>
      <c r="AJ82" s="167" t="e">
        <f t="shared" si="50"/>
        <v>#DIV/0!</v>
      </c>
      <c r="AK82" s="167" t="e">
        <f t="shared" si="50"/>
        <v>#DIV/0!</v>
      </c>
      <c r="AL82" s="167" t="e">
        <f t="shared" si="50"/>
        <v>#DIV/0!</v>
      </c>
      <c r="AM82" s="167" t="e">
        <f t="shared" si="50"/>
        <v>#DIV/0!</v>
      </c>
      <c r="AN82" s="167" t="e">
        <f t="shared" si="50"/>
        <v>#DIV/0!</v>
      </c>
      <c r="AO82" s="167" t="e">
        <f t="shared" si="50"/>
        <v>#DIV/0!</v>
      </c>
    </row>
    <row r="83" spans="2:41" x14ac:dyDescent="0.15">
      <c r="B83" s="504"/>
      <c r="C83" s="129" t="s">
        <v>952</v>
      </c>
      <c r="D83" s="94" cm="1">
        <f t="array" ref="D83">SUM(SUMIFS('caseload data'!E:E,'caseload data'!$D:$D,"PSO",'caseload data'!$A:$A,"East of England",'caseload data'!$B:$B,{"licence","community"}))</f>
        <v>0</v>
      </c>
      <c r="E83" s="94" cm="1">
        <f t="array" ref="E83">SUM(SUMIFS('caseload data'!F:F,'caseload data'!$D:$D,"PSO",'caseload data'!$A:$A,"East of England",'caseload data'!$B:$B,{"licence","community"}))</f>
        <v>0</v>
      </c>
      <c r="F83" s="94" cm="1">
        <f t="array" ref="F83">SUM(SUMIFS('caseload data'!G:G,'caseload data'!$D:$D,"PSO",'caseload data'!$A:$A,"East of England",'caseload data'!$B:$B,{"licence","community"}))</f>
        <v>0</v>
      </c>
      <c r="G83" s="94" cm="1">
        <f t="array" ref="G83">SUM(SUMIFS('caseload data'!H:H,'caseload data'!$D:$D,"PSO",'caseload data'!$A:$A,"East of England",'caseload data'!$B:$B,{"licence","community"}))</f>
        <v>0</v>
      </c>
      <c r="H83" s="94" cm="1">
        <f t="array" ref="H83">SUM(SUMIFS('caseload data'!I:I,'caseload data'!$D:$D,"PSO",'caseload data'!$A:$A,"East of England",'caseload data'!$B:$B,{"licence","community"}))</f>
        <v>0</v>
      </c>
      <c r="I83" s="94" cm="1">
        <f t="array" ref="I83">SUM(SUMIFS('caseload data'!J:J,'caseload data'!$D:$D,"PSO",'caseload data'!$A:$A,"East of England",'caseload data'!$B:$B,{"licence","community"}))</f>
        <v>0</v>
      </c>
      <c r="J83" s="94" cm="1">
        <f t="array" ref="J83">SUM(SUMIFS('caseload data'!K:K,'caseload data'!$D:$D,"PSO",'caseload data'!$A:$A,"East of England",'caseload data'!$B:$B,{"licence","community"}))</f>
        <v>0</v>
      </c>
      <c r="K83" s="94" cm="1">
        <f t="array" ref="K83">SUM(SUMIFS('caseload data'!L:L,'caseload data'!$D:$D,"PSO",'caseload data'!$A:$A,"East of England",'caseload data'!$B:$B,{"licence","community"}))</f>
        <v>0</v>
      </c>
      <c r="L83" s="94" cm="1">
        <f t="array" ref="L83">SUM(SUMIFS('caseload data'!M:M,'caseload data'!$D:$D,"PSO",'caseload data'!$A:$A,"East of England",'caseload data'!$B:$B,{"licence","community"}))</f>
        <v>0</v>
      </c>
      <c r="M83" s="94" cm="1">
        <f t="array" ref="M83">SUM(SUMIFS('caseload data'!N:N,'caseload data'!$D:$D,"PSO",'caseload data'!$A:$A,"East of England",'caseload data'!$B:$B,{"licence","community"}))</f>
        <v>0</v>
      </c>
      <c r="N83" s="94" cm="1">
        <f t="array" ref="N83">SUM(SUMIFS('caseload data'!O:O,'caseload data'!$D:$D,"PSO",'caseload data'!$A:$A,"East of England",'caseload data'!$B:$B,{"licence","community"}))</f>
        <v>0</v>
      </c>
      <c r="O83" s="94" cm="1">
        <f t="array" ref="O83">SUM(SUMIFS('caseload data'!P:P,'caseload data'!$D:$D,"PSO",'caseload data'!$A:$A,"East of England",'caseload data'!$B:$B,{"licence","community"}))</f>
        <v>0</v>
      </c>
      <c r="P83" s="94" cm="1">
        <f t="array" ref="P83">SUM(SUMIFS('caseload data'!Q:Q,'caseload data'!$D:$D,"PSO",'caseload data'!$A:$A,"East of England",'caseload data'!$B:$B,{"licence","community"}))</f>
        <v>0</v>
      </c>
      <c r="Q83" s="94" cm="1">
        <f t="array" ref="Q83">SUM(SUMIFS('caseload data'!R:R,'caseload data'!$D:$D,"PSO",'caseload data'!$A:$A,"East of England",'caseload data'!$B:$B,{"licence","community"}))</f>
        <v>0</v>
      </c>
      <c r="R83" s="94" cm="1">
        <f t="array" ref="R83">SUM(SUMIFS('caseload data'!S:S,'caseload data'!$D:$D,"PSO",'caseload data'!$A:$A,"East of England",'caseload data'!$B:$B,{"licence","community"}))</f>
        <v>0</v>
      </c>
      <c r="S83" s="94" cm="1">
        <f t="array" ref="S83">SUM(SUMIFS('caseload data'!T:T,'caseload data'!$D:$D,"PSO",'caseload data'!$A:$A,"East of England",'caseload data'!$B:$B,{"licence","community"}))</f>
        <v>0</v>
      </c>
      <c r="T83" s="94" cm="1">
        <f t="array" ref="T83">SUM(SUMIFS('caseload data'!V:V,'caseload data'!D:D,"PSO",'caseload data'!A:A,"East of England",'caseload data'!B:B,{"licence","community"}))</f>
        <v>0</v>
      </c>
      <c r="U83" s="64"/>
      <c r="V83" s="64"/>
      <c r="W83" s="504"/>
      <c r="X83" s="129" t="s">
        <v>952</v>
      </c>
      <c r="Y83" s="167" t="e">
        <f t="shared" ref="Y83:Y86" si="51">SUM(D83)/SUM(D$82:D$86)</f>
        <v>#DIV/0!</v>
      </c>
      <c r="Z83" s="167" t="e">
        <f t="shared" si="50"/>
        <v>#DIV/0!</v>
      </c>
      <c r="AA83" s="167" t="e">
        <f t="shared" si="50"/>
        <v>#DIV/0!</v>
      </c>
      <c r="AB83" s="167" t="e">
        <f t="shared" si="50"/>
        <v>#DIV/0!</v>
      </c>
      <c r="AC83" s="167" t="e">
        <f t="shared" si="50"/>
        <v>#DIV/0!</v>
      </c>
      <c r="AD83" s="167" t="e">
        <f t="shared" si="50"/>
        <v>#DIV/0!</v>
      </c>
      <c r="AE83" s="167" t="e">
        <f t="shared" si="50"/>
        <v>#DIV/0!</v>
      </c>
      <c r="AF83" s="167" t="e">
        <f t="shared" si="50"/>
        <v>#DIV/0!</v>
      </c>
      <c r="AG83" s="167" t="e">
        <f t="shared" si="50"/>
        <v>#DIV/0!</v>
      </c>
      <c r="AH83" s="167" t="e">
        <f t="shared" si="50"/>
        <v>#DIV/0!</v>
      </c>
      <c r="AI83" s="167" t="e">
        <f t="shared" si="50"/>
        <v>#DIV/0!</v>
      </c>
      <c r="AJ83" s="167" t="e">
        <f t="shared" si="50"/>
        <v>#DIV/0!</v>
      </c>
      <c r="AK83" s="167" t="e">
        <f t="shared" si="50"/>
        <v>#DIV/0!</v>
      </c>
      <c r="AL83" s="167" t="e">
        <f t="shared" si="50"/>
        <v>#DIV/0!</v>
      </c>
      <c r="AM83" s="167" t="e">
        <f t="shared" si="50"/>
        <v>#DIV/0!</v>
      </c>
      <c r="AN83" s="167" t="e">
        <f t="shared" si="50"/>
        <v>#DIV/0!</v>
      </c>
      <c r="AO83" s="167" t="e">
        <f t="shared" si="50"/>
        <v>#DIV/0!</v>
      </c>
    </row>
    <row r="84" spans="2:41" x14ac:dyDescent="0.15">
      <c r="B84" s="504"/>
      <c r="C84" s="129" t="s">
        <v>953</v>
      </c>
      <c r="D84" s="94" cm="1">
        <f t="array" ref="D84">SUM(SUMIFS('caseload data'!E:E,'caseload data'!$D:$D,"TPO",'caseload data'!$A:$A,"East of England",'caseload data'!$B:$B,{"licence","community"}))</f>
        <v>0</v>
      </c>
      <c r="E84" s="94" cm="1">
        <f t="array" ref="E84">SUM(SUMIFS('caseload data'!F:F,'caseload data'!$D:$D,"TPO",'caseload data'!$A:$A,"East of England",'caseload data'!$B:$B,{"licence","community"}))</f>
        <v>0</v>
      </c>
      <c r="F84" s="94" cm="1">
        <f t="array" ref="F84">SUM(SUMIFS('caseload data'!G:G,'caseload data'!$D:$D,"TPO",'caseload data'!$A:$A,"East of England",'caseload data'!$B:$B,{"licence","community"}))</f>
        <v>0</v>
      </c>
      <c r="G84" s="94" cm="1">
        <f t="array" ref="G84">SUM(SUMIFS('caseload data'!H:H,'caseload data'!$D:$D,"TPO",'caseload data'!$A:$A,"East of England",'caseload data'!$B:$B,{"licence","community"}))</f>
        <v>0</v>
      </c>
      <c r="H84" s="94" cm="1">
        <f t="array" ref="H84">SUM(SUMIFS('caseload data'!I:I,'caseload data'!$D:$D,"TPO",'caseload data'!$A:$A,"East of England",'caseload data'!$B:$B,{"licence","community"}))</f>
        <v>0</v>
      </c>
      <c r="I84" s="94" cm="1">
        <f t="array" ref="I84">SUM(SUMIFS('caseload data'!J:J,'caseload data'!$D:$D,"TPO",'caseload data'!$A:$A,"East of England",'caseload data'!$B:$B,{"licence","community"}))</f>
        <v>0</v>
      </c>
      <c r="J84" s="94" cm="1">
        <f t="array" ref="J84">SUM(SUMIFS('caseload data'!K:K,'caseload data'!$D:$D,"TPO",'caseload data'!$A:$A,"East of England",'caseload data'!$B:$B,{"licence","community"}))</f>
        <v>0</v>
      </c>
      <c r="K84" s="94" cm="1">
        <f t="array" ref="K84">SUM(SUMIFS('caseload data'!L:L,'caseload data'!$D:$D,"TPO",'caseload data'!$A:$A,"East of England",'caseload data'!$B:$B,{"licence","community"}))</f>
        <v>0</v>
      </c>
      <c r="L84" s="94" cm="1">
        <f t="array" ref="L84">SUM(SUMIFS('caseload data'!M:M,'caseload data'!$D:$D,"TPO",'caseload data'!$A:$A,"East of England",'caseload data'!$B:$B,{"licence","community"}))</f>
        <v>0</v>
      </c>
      <c r="M84" s="94" cm="1">
        <f t="array" ref="M84">SUM(SUMIFS('caseload data'!N:N,'caseload data'!$D:$D,"TPO",'caseload data'!$A:$A,"East of England",'caseload data'!$B:$B,{"licence","community"}))</f>
        <v>0</v>
      </c>
      <c r="N84" s="94" cm="1">
        <f t="array" ref="N84">SUM(SUMIFS('caseload data'!O:O,'caseload data'!$D:$D,"TPO",'caseload data'!$A:$A,"East of England",'caseload data'!$B:$B,{"licence","community"}))</f>
        <v>0</v>
      </c>
      <c r="O84" s="94" cm="1">
        <f t="array" ref="O84">SUM(SUMIFS('caseload data'!P:P,'caseload data'!$D:$D,"TPO",'caseload data'!$A:$A,"East of England",'caseload data'!$B:$B,{"licence","community"}))</f>
        <v>0</v>
      </c>
      <c r="P84" s="94" cm="1">
        <f t="array" ref="P84">SUM(SUMIFS('caseload data'!Q:Q,'caseload data'!$D:$D,"TPO",'caseload data'!$A:$A,"East of England",'caseload data'!$B:$B,{"licence","community"}))</f>
        <v>0</v>
      </c>
      <c r="Q84" s="94" cm="1">
        <f t="array" ref="Q84">SUM(SUMIFS('caseload data'!R:R,'caseload data'!$D:$D,"TPO",'caseload data'!$A:$A,"East of England",'caseload data'!$B:$B,{"licence","community"}))</f>
        <v>0</v>
      </c>
      <c r="R84" s="94" cm="1">
        <f t="array" ref="R84">SUM(SUMIFS('caseload data'!S:S,'caseload data'!$D:$D,"TPO",'caseload data'!$A:$A,"East of England",'caseload data'!$B:$B,{"licence","community"}))</f>
        <v>0</v>
      </c>
      <c r="S84" s="94" cm="1">
        <f t="array" ref="S84">SUM(SUMIFS('caseload data'!T:T,'caseload data'!$D:$D,"TPO",'caseload data'!$A:$A,"East of England",'caseload data'!$B:$B,{"licence","community"}))</f>
        <v>0</v>
      </c>
      <c r="T84" s="94" cm="1">
        <f t="array" ref="T84">SUM(SUMIFS('caseload data'!V:V,'caseload data'!D:D,"TPO",'caseload data'!A:A,"East of England",'caseload data'!B:B,{"licence","community"}))</f>
        <v>0</v>
      </c>
      <c r="U84" s="64"/>
      <c r="V84" s="64"/>
      <c r="W84" s="504"/>
      <c r="X84" s="129" t="s">
        <v>953</v>
      </c>
      <c r="Y84" s="167" t="e">
        <f t="shared" si="51"/>
        <v>#DIV/0!</v>
      </c>
      <c r="Z84" s="167" t="e">
        <f t="shared" si="50"/>
        <v>#DIV/0!</v>
      </c>
      <c r="AA84" s="167" t="e">
        <f t="shared" si="50"/>
        <v>#DIV/0!</v>
      </c>
      <c r="AB84" s="167" t="e">
        <f t="shared" si="50"/>
        <v>#DIV/0!</v>
      </c>
      <c r="AC84" s="167" t="e">
        <f t="shared" si="50"/>
        <v>#DIV/0!</v>
      </c>
      <c r="AD84" s="167" t="e">
        <f t="shared" si="50"/>
        <v>#DIV/0!</v>
      </c>
      <c r="AE84" s="167" t="e">
        <f t="shared" si="50"/>
        <v>#DIV/0!</v>
      </c>
      <c r="AF84" s="167" t="e">
        <f t="shared" si="50"/>
        <v>#DIV/0!</v>
      </c>
      <c r="AG84" s="167" t="e">
        <f t="shared" si="50"/>
        <v>#DIV/0!</v>
      </c>
      <c r="AH84" s="167" t="e">
        <f t="shared" si="50"/>
        <v>#DIV/0!</v>
      </c>
      <c r="AI84" s="167" t="e">
        <f t="shared" si="50"/>
        <v>#DIV/0!</v>
      </c>
      <c r="AJ84" s="167" t="e">
        <f t="shared" si="50"/>
        <v>#DIV/0!</v>
      </c>
      <c r="AK84" s="167" t="e">
        <f t="shared" si="50"/>
        <v>#DIV/0!</v>
      </c>
      <c r="AL84" s="167" t="e">
        <f t="shared" si="50"/>
        <v>#DIV/0!</v>
      </c>
      <c r="AM84" s="167" t="e">
        <f t="shared" si="50"/>
        <v>#DIV/0!</v>
      </c>
      <c r="AN84" s="167" t="e">
        <f t="shared" si="50"/>
        <v>#DIV/0!</v>
      </c>
      <c r="AO84" s="167" t="e">
        <f t="shared" si="50"/>
        <v>#DIV/0!</v>
      </c>
    </row>
    <row r="85" spans="2:41" x14ac:dyDescent="0.15">
      <c r="B85" s="504"/>
      <c r="C85" s="129" t="s">
        <v>954</v>
      </c>
      <c r="D85" s="94" cm="1">
        <f t="array" ref="D85">SUM(SUMIFS('caseload data'!E:E,'caseload data'!$D:$D,"SPO",'caseload data'!$A:$A,"East of England",'caseload data'!$B:$B,{"licence","community"}))</f>
        <v>0</v>
      </c>
      <c r="E85" s="94" cm="1">
        <f t="array" ref="E85">SUM(SUMIFS('caseload data'!F:F,'caseload data'!$D:$D,"SPO",'caseload data'!$A:$A,"East of England",'caseload data'!$B:$B,{"licence","community"}))</f>
        <v>0</v>
      </c>
      <c r="F85" s="94" cm="1">
        <f t="array" ref="F85">SUM(SUMIFS('caseload data'!G:G,'caseload data'!$D:$D,"SPO",'caseload data'!$A:$A,"East of England",'caseload data'!$B:$B,{"licence","community"}))</f>
        <v>0</v>
      </c>
      <c r="G85" s="94" cm="1">
        <f t="array" ref="G85">SUM(SUMIFS('caseload data'!H:H,'caseload data'!$D:$D,"SPO",'caseload data'!$A:$A,"East of England",'caseload data'!$B:$B,{"licence","community"}))</f>
        <v>0</v>
      </c>
      <c r="H85" s="94" cm="1">
        <f t="array" ref="H85">SUM(SUMIFS('caseload data'!I:I,'caseload data'!$D:$D,"SPO",'caseload data'!$A:$A,"East of England",'caseload data'!$B:$B,{"licence","community"}))</f>
        <v>0</v>
      </c>
      <c r="I85" s="94" cm="1">
        <f t="array" ref="I85">SUM(SUMIFS('caseload data'!J:J,'caseload data'!$D:$D,"SPO",'caseload data'!$A:$A,"East of England",'caseload data'!$B:$B,{"licence","community"}))</f>
        <v>0</v>
      </c>
      <c r="J85" s="94" cm="1">
        <f t="array" ref="J85">SUM(SUMIFS('caseload data'!K:K,'caseload data'!$D:$D,"SPO",'caseload data'!$A:$A,"East of England",'caseload data'!$B:$B,{"licence","community"}))</f>
        <v>0</v>
      </c>
      <c r="K85" s="94" cm="1">
        <f t="array" ref="K85">SUM(SUMIFS('caseload data'!L:L,'caseload data'!$D:$D,"SPO",'caseload data'!$A:$A,"East of England",'caseload data'!$B:$B,{"licence","community"}))</f>
        <v>0</v>
      </c>
      <c r="L85" s="94" cm="1">
        <f t="array" ref="L85">SUM(SUMIFS('caseload data'!M:M,'caseload data'!$D:$D,"SPO",'caseload data'!$A:$A,"East of England",'caseload data'!$B:$B,{"licence","community"}))</f>
        <v>0</v>
      </c>
      <c r="M85" s="94" cm="1">
        <f t="array" ref="M85">SUM(SUMIFS('caseload data'!N:N,'caseload data'!$D:$D,"SPO",'caseload data'!$A:$A,"East of England",'caseload data'!$B:$B,{"licence","community"}))</f>
        <v>0</v>
      </c>
      <c r="N85" s="94" cm="1">
        <f t="array" ref="N85">SUM(SUMIFS('caseload data'!O:O,'caseload data'!$D:$D,"SPO",'caseload data'!$A:$A,"East of England",'caseload data'!$B:$B,{"licence","community"}))</f>
        <v>0</v>
      </c>
      <c r="O85" s="94" cm="1">
        <f t="array" ref="O85">SUM(SUMIFS('caseload data'!P:P,'caseload data'!$D:$D,"SPO",'caseload data'!$A:$A,"East of England",'caseload data'!$B:$B,{"licence","community"}))</f>
        <v>0</v>
      </c>
      <c r="P85" s="94" cm="1">
        <f t="array" ref="P85">SUM(SUMIFS('caseload data'!Q:Q,'caseload data'!$D:$D,"SPO",'caseload data'!$A:$A,"East of England",'caseload data'!$B:$B,{"licence","community"}))</f>
        <v>0</v>
      </c>
      <c r="Q85" s="94" cm="1">
        <f t="array" ref="Q85">SUM(SUMIFS('caseload data'!R:R,'caseload data'!$D:$D,"SPO",'caseload data'!$A:$A,"East of England",'caseload data'!$B:$B,{"licence","community"}))</f>
        <v>0</v>
      </c>
      <c r="R85" s="94" cm="1">
        <f t="array" ref="R85">SUM(SUMIFS('caseload data'!S:S,'caseload data'!$D:$D,"SPO",'caseload data'!$A:$A,"East of England",'caseload data'!$B:$B,{"licence","community"}))</f>
        <v>0</v>
      </c>
      <c r="S85" s="94" cm="1">
        <f t="array" ref="S85">SUM(SUMIFS('caseload data'!T:T,'caseload data'!$D:$D,"SPO",'caseload data'!$A:$A,"East of England",'caseload data'!$B:$B,{"licence","community"}))</f>
        <v>0</v>
      </c>
      <c r="T85" s="94" cm="1">
        <f t="array" ref="T85">SUM(SUMIFS('caseload data'!V:V,'caseload data'!$D:$D,"SPO",'caseload data'!$A:$A,"East of England",'caseload data'!$B:$B,{"licence","community"}))</f>
        <v>0</v>
      </c>
      <c r="U85" s="64"/>
      <c r="V85" s="64"/>
      <c r="W85" s="504"/>
      <c r="X85" s="129" t="s">
        <v>954</v>
      </c>
      <c r="Y85" s="167" t="e">
        <f t="shared" si="51"/>
        <v>#DIV/0!</v>
      </c>
      <c r="Z85" s="167" t="e">
        <f t="shared" si="50"/>
        <v>#DIV/0!</v>
      </c>
      <c r="AA85" s="167" t="e">
        <f t="shared" si="50"/>
        <v>#DIV/0!</v>
      </c>
      <c r="AB85" s="167" t="e">
        <f t="shared" si="50"/>
        <v>#DIV/0!</v>
      </c>
      <c r="AC85" s="167" t="e">
        <f t="shared" si="50"/>
        <v>#DIV/0!</v>
      </c>
      <c r="AD85" s="167" t="e">
        <f t="shared" si="50"/>
        <v>#DIV/0!</v>
      </c>
      <c r="AE85" s="167" t="e">
        <f t="shared" si="50"/>
        <v>#DIV/0!</v>
      </c>
      <c r="AF85" s="167" t="e">
        <f t="shared" si="50"/>
        <v>#DIV/0!</v>
      </c>
      <c r="AG85" s="167" t="e">
        <f t="shared" si="50"/>
        <v>#DIV/0!</v>
      </c>
      <c r="AH85" s="167" t="e">
        <f t="shared" si="50"/>
        <v>#DIV/0!</v>
      </c>
      <c r="AI85" s="167" t="e">
        <f t="shared" si="50"/>
        <v>#DIV/0!</v>
      </c>
      <c r="AJ85" s="167" t="e">
        <f t="shared" si="50"/>
        <v>#DIV/0!</v>
      </c>
      <c r="AK85" s="167" t="e">
        <f t="shared" si="50"/>
        <v>#DIV/0!</v>
      </c>
      <c r="AL85" s="167" t="e">
        <f t="shared" si="50"/>
        <v>#DIV/0!</v>
      </c>
      <c r="AM85" s="167" t="e">
        <f t="shared" si="50"/>
        <v>#DIV/0!</v>
      </c>
      <c r="AN85" s="167" t="e">
        <f t="shared" si="50"/>
        <v>#DIV/0!</v>
      </c>
      <c r="AO85" s="167" t="e">
        <f t="shared" si="50"/>
        <v>#DIV/0!</v>
      </c>
    </row>
    <row r="86" spans="2:41" x14ac:dyDescent="0.15">
      <c r="B86" s="505"/>
      <c r="C86" s="130" t="s">
        <v>1286</v>
      </c>
      <c r="D86" s="94" cm="1">
        <f t="array" ref="D86">SUM(SUMIFS('caseload data'!E:E,'caseload data'!$D:$D,"DMY",'caseload data'!$A:$A,"East of England",'caseload data'!$B:$B,{"licence","community"}))</f>
        <v>0</v>
      </c>
      <c r="E86" s="94" cm="1">
        <f t="array" ref="E86">SUM(SUMIFS('caseload data'!F:F,'caseload data'!$D:$D,"DMY",'caseload data'!$A:$A,"East of England",'caseload data'!$B:$B,{"licence","community"}))</f>
        <v>0</v>
      </c>
      <c r="F86" s="94" cm="1">
        <f t="array" ref="F86">SUM(SUMIFS('caseload data'!G:G,'caseload data'!$D:$D,"DMY",'caseload data'!$A:$A,"East of England",'caseload data'!$B:$B,{"licence","community"}))</f>
        <v>0</v>
      </c>
      <c r="G86" s="94" cm="1">
        <f t="array" ref="G86">SUM(SUMIFS('caseload data'!H:H,'caseload data'!$D:$D,"DMY",'caseload data'!$A:$A,"East of England",'caseload data'!$B:$B,{"licence","community"}))</f>
        <v>0</v>
      </c>
      <c r="H86" s="94" cm="1">
        <f t="array" ref="H86">SUM(SUMIFS('caseload data'!I:I,'caseload data'!$D:$D,"DMY",'caseload data'!$A:$A,"East of England",'caseload data'!$B:$B,{"licence","community"}))</f>
        <v>0</v>
      </c>
      <c r="I86" s="94" cm="1">
        <f t="array" ref="I86">SUM(SUMIFS('caseload data'!J:J,'caseload data'!$D:$D,"DMY",'caseload data'!$A:$A,"East of England",'caseload data'!$B:$B,{"licence","community"}))</f>
        <v>0</v>
      </c>
      <c r="J86" s="94" cm="1">
        <f t="array" ref="J86">SUM(SUMIFS('caseload data'!K:K,'caseload data'!$D:$D,"DMY",'caseload data'!$A:$A,"East of England",'caseload data'!$B:$B,{"licence","community"}))</f>
        <v>0</v>
      </c>
      <c r="K86" s="94" cm="1">
        <f t="array" ref="K86">SUM(SUMIFS('caseload data'!L:L,'caseload data'!$D:$D,"DMY",'caseload data'!$A:$A,"East of England",'caseload data'!$B:$B,{"licence","community"}))</f>
        <v>0</v>
      </c>
      <c r="L86" s="94" cm="1">
        <f t="array" ref="L86">SUM(SUMIFS('caseload data'!M:M,'caseload data'!$D:$D,"DMY",'caseload data'!$A:$A,"East of England",'caseload data'!$B:$B,{"licence","community"}))</f>
        <v>0</v>
      </c>
      <c r="M86" s="94" cm="1">
        <f t="array" ref="M86">SUM(SUMIFS('caseload data'!N:N,'caseload data'!$D:$D,"DMY",'caseload data'!$A:$A,"East of England",'caseload data'!$B:$B,{"licence","community"}))</f>
        <v>0</v>
      </c>
      <c r="N86" s="94" cm="1">
        <f t="array" ref="N86">SUM(SUMIFS('caseload data'!O:O,'caseload data'!$D:$D,"DMY",'caseload data'!$A:$A,"East of England",'caseload data'!$B:$B,{"licence","community"}))</f>
        <v>0</v>
      </c>
      <c r="O86" s="94" cm="1">
        <f t="array" ref="O86">SUM(SUMIFS('caseload data'!P:P,'caseload data'!$D:$D,"DMY",'caseload data'!$A:$A,"East of England",'caseload data'!$B:$B,{"licence","community"}))</f>
        <v>0</v>
      </c>
      <c r="P86" s="94" cm="1">
        <f t="array" ref="P86">SUM(SUMIFS('caseload data'!Q:Q,'caseload data'!$D:$D,"DMY",'caseload data'!$A:$A,"East of England",'caseload data'!$B:$B,{"licence","community"}))</f>
        <v>0</v>
      </c>
      <c r="Q86" s="94" cm="1">
        <f t="array" ref="Q86">SUM(SUMIFS('caseload data'!R:R,'caseload data'!$D:$D,"DMY",'caseload data'!$A:$A,"East of England",'caseload data'!$B:$B,{"licence","community"}))</f>
        <v>0</v>
      </c>
      <c r="R86" s="94" cm="1">
        <f t="array" ref="R86">SUM(SUMIFS('caseload data'!S:S,'caseload data'!$D:$D,"DMY",'caseload data'!$A:$A,"East of England",'caseload data'!$B:$B,{"licence","community"}))</f>
        <v>0</v>
      </c>
      <c r="S86" s="94" cm="1">
        <f t="array" ref="S86">SUM(SUMIFS('caseload data'!T:T,'caseload data'!$D:$D,"DMY",'caseload data'!$A:$A,"East of England",'caseload data'!$B:$B,{"licence","community"}))</f>
        <v>0</v>
      </c>
      <c r="T86" s="94" cm="1">
        <f t="array" ref="T86">SUM(SUMIFS('caseload data'!V:V,'caseload data'!$D:$D,"DMY",'caseload data'!$A:$A,"East of England",'caseload data'!$B:$B,{"licence","community"}))</f>
        <v>0</v>
      </c>
      <c r="U86" s="64"/>
      <c r="V86" s="64"/>
      <c r="W86" s="505"/>
      <c r="X86" s="130" t="s">
        <v>1286</v>
      </c>
      <c r="Y86" s="167" t="e">
        <f t="shared" si="51"/>
        <v>#DIV/0!</v>
      </c>
      <c r="Z86" s="167" t="e">
        <f t="shared" si="50"/>
        <v>#DIV/0!</v>
      </c>
      <c r="AA86" s="167" t="e">
        <f t="shared" si="50"/>
        <v>#DIV/0!</v>
      </c>
      <c r="AB86" s="167" t="e">
        <f t="shared" si="50"/>
        <v>#DIV/0!</v>
      </c>
      <c r="AC86" s="167" t="e">
        <f t="shared" si="50"/>
        <v>#DIV/0!</v>
      </c>
      <c r="AD86" s="167" t="e">
        <f t="shared" si="50"/>
        <v>#DIV/0!</v>
      </c>
      <c r="AE86" s="167" t="e">
        <f t="shared" si="50"/>
        <v>#DIV/0!</v>
      </c>
      <c r="AF86" s="167" t="e">
        <f t="shared" si="50"/>
        <v>#DIV/0!</v>
      </c>
      <c r="AG86" s="167" t="e">
        <f t="shared" si="50"/>
        <v>#DIV/0!</v>
      </c>
      <c r="AH86" s="167" t="e">
        <f t="shared" si="50"/>
        <v>#DIV/0!</v>
      </c>
      <c r="AI86" s="167" t="e">
        <f t="shared" si="50"/>
        <v>#DIV/0!</v>
      </c>
      <c r="AJ86" s="167" t="e">
        <f t="shared" si="50"/>
        <v>#DIV/0!</v>
      </c>
      <c r="AK86" s="167" t="e">
        <f t="shared" si="50"/>
        <v>#DIV/0!</v>
      </c>
      <c r="AL86" s="167" t="e">
        <f t="shared" si="50"/>
        <v>#DIV/0!</v>
      </c>
      <c r="AM86" s="167" t="e">
        <f t="shared" si="50"/>
        <v>#DIV/0!</v>
      </c>
      <c r="AN86" s="167" t="e">
        <f t="shared" si="50"/>
        <v>#DIV/0!</v>
      </c>
      <c r="AO86" s="167" t="e">
        <f t="shared" si="50"/>
        <v>#DIV/0!</v>
      </c>
    </row>
    <row r="87" spans="2:41" x14ac:dyDescent="0.15">
      <c r="B87" s="503" t="s">
        <v>19</v>
      </c>
      <c r="C87" s="128" t="s">
        <v>947</v>
      </c>
      <c r="D87" s="94" cm="1">
        <f t="array" ref="D87">SUM(SUMIFS('caseload data'!E:E,'caseload data'!$D:$D,"PO",'caseload data'!$A:$A,_xlfn.SINGLE('national caseload'!$B$87:$B$89),'caseload data'!$B:$B,{"licence","community"}))</f>
        <v>0</v>
      </c>
      <c r="E87" s="94" cm="1">
        <f t="array" ref="E87">SUM(SUMIFS('caseload data'!F:F,'caseload data'!$D:$D,"PO",'caseload data'!$A:$A,_xlfn.SINGLE('national caseload'!$B$87:$B$89),'caseload data'!$B:$B,{"licence","community"}))</f>
        <v>0</v>
      </c>
      <c r="F87" s="94" cm="1">
        <f t="array" ref="F87">SUM(SUMIFS('caseload data'!G:G,'caseload data'!$D:$D,"PO",'caseload data'!$A:$A,_xlfn.SINGLE('national caseload'!$B$87:$B$89),'caseload data'!$B:$B,{"licence","community"}))</f>
        <v>0</v>
      </c>
      <c r="G87" s="94" cm="1">
        <f t="array" ref="G87">SUM(SUMIFS('caseload data'!H:H,'caseload data'!$D:$D,"PO",'caseload data'!$A:$A,_xlfn.SINGLE('national caseload'!$B$87:$B$89),'caseload data'!$B:$B,{"licence","community"}))</f>
        <v>0</v>
      </c>
      <c r="H87" s="94" cm="1">
        <f t="array" ref="H87">SUM(SUMIFS('caseload data'!I:I,'caseload data'!$D:$D,"PO",'caseload data'!$A:$A,_xlfn.SINGLE('national caseload'!$B$87:$B$89),'caseload data'!$B:$B,{"licence","community"}))</f>
        <v>0</v>
      </c>
      <c r="I87" s="94" cm="1">
        <f t="array" ref="I87">SUM(SUMIFS('caseload data'!J:J,'caseload data'!$D:$D,"PO",'caseload data'!$A:$A,_xlfn.SINGLE('national caseload'!$B$87:$B$89),'caseload data'!$B:$B,{"licence","community"}))</f>
        <v>0</v>
      </c>
      <c r="J87" s="94" cm="1">
        <f t="array" ref="J87">SUM(SUMIFS('caseload data'!K:K,'caseload data'!$D:$D,"PO",'caseload data'!$A:$A,_xlfn.SINGLE('national caseload'!$B$87:$B$89),'caseload data'!$B:$B,{"licence","community"}))</f>
        <v>0</v>
      </c>
      <c r="K87" s="94" cm="1">
        <f t="array" ref="K87">SUM(SUMIFS('caseload data'!L:L,'caseload data'!$D:$D,"PO",'caseload data'!$A:$A,_xlfn.SINGLE('national caseload'!$B$87:$B$89),'caseload data'!$B:$B,{"licence","community"}))</f>
        <v>0</v>
      </c>
      <c r="L87" s="94" cm="1">
        <f t="array" ref="L87">SUM(SUMIFS('caseload data'!M:M,'caseload data'!$D:$D,"PO",'caseload data'!$A:$A,_xlfn.SINGLE('national caseload'!$B$87:$B$89),'caseload data'!$B:$B,{"licence","community"}))</f>
        <v>0</v>
      </c>
      <c r="M87" s="94" cm="1">
        <f t="array" ref="M87">SUM(SUMIFS('caseload data'!N:N,'caseload data'!$D:$D,"PO",'caseload data'!$A:$A,_xlfn.SINGLE('national caseload'!$B$87:$B$89),'caseload data'!$B:$B,{"licence","community"}))</f>
        <v>0</v>
      </c>
      <c r="N87" s="94" cm="1">
        <f t="array" ref="N87">SUM(SUMIFS('caseload data'!O:O,'caseload data'!$D:$D,"PO",'caseload data'!$A:$A,_xlfn.SINGLE('national caseload'!$B$87:$B$89),'caseload data'!$B:$B,{"licence","community"}))</f>
        <v>0</v>
      </c>
      <c r="O87" s="94" cm="1">
        <f t="array" ref="O87">SUM(SUMIFS('caseload data'!P:P,'caseload data'!$D:$D,"PO",'caseload data'!$A:$A,_xlfn.SINGLE('national caseload'!$B$87:$B$89),'caseload data'!$B:$B,{"licence","community"}))</f>
        <v>0</v>
      </c>
      <c r="P87" s="94" cm="1">
        <f t="array" ref="P87">SUM(SUMIFS('caseload data'!Q:Q,'caseload data'!$D:$D,"PO",'caseload data'!$A:$A,_xlfn.SINGLE('national caseload'!$B$87:$B$89),'caseload data'!$B:$B,{"licence","community"}))</f>
        <v>0</v>
      </c>
      <c r="Q87" s="94" cm="1">
        <f t="array" ref="Q87">SUM(SUMIFS('caseload data'!R:R,'caseload data'!$D:$D,"PO",'caseload data'!$A:$A,_xlfn.SINGLE('national caseload'!$B$87:$B$89),'caseload data'!$B:$B,{"licence","community"}))</f>
        <v>0</v>
      </c>
      <c r="R87" s="94" cm="1">
        <f t="array" ref="R87">SUM(SUMIFS('caseload data'!S:S,'caseload data'!$D:$D,"PO",'caseload data'!$A:$A,_xlfn.SINGLE('national caseload'!$B$87:$B$89),'caseload data'!$B:$B,{"licence","community"}))</f>
        <v>0</v>
      </c>
      <c r="S87" s="94" cm="1">
        <f t="array" ref="S87">SUM(SUMIFS('caseload data'!T:T,'caseload data'!$D:$D,"PO",'caseload data'!$A:$A,_xlfn.SINGLE('national caseload'!$B$87:$B$89),'caseload data'!$B:$B,{"licence","community"}))</f>
        <v>0</v>
      </c>
      <c r="T87" s="94">
        <f>SUM(SUMIFS('caseload data'!V:V,'caseload data'!D:D,"PO",'caseload data'!A:A,'national caseload'!B87:B89,'caseload data'!B:B,{"licence","community"}))</f>
        <v>0</v>
      </c>
      <c r="U87" s="64"/>
      <c r="V87" s="64"/>
      <c r="W87" s="503" t="s">
        <v>19</v>
      </c>
      <c r="X87" s="128" t="s">
        <v>947</v>
      </c>
      <c r="Y87" s="167" t="e">
        <f>SUM(D87)/SUM(D$87:D$91)</f>
        <v>#DIV/0!</v>
      </c>
      <c r="Z87" s="167" t="e">
        <f t="shared" ref="Z87:AO91" si="52">SUM(E87)/SUM(E$87:E$91)</f>
        <v>#DIV/0!</v>
      </c>
      <c r="AA87" s="167" t="e">
        <f t="shared" si="52"/>
        <v>#DIV/0!</v>
      </c>
      <c r="AB87" s="167" t="e">
        <f t="shared" si="52"/>
        <v>#DIV/0!</v>
      </c>
      <c r="AC87" s="167" t="e">
        <f t="shared" si="52"/>
        <v>#DIV/0!</v>
      </c>
      <c r="AD87" s="167" t="e">
        <f t="shared" si="52"/>
        <v>#DIV/0!</v>
      </c>
      <c r="AE87" s="167" t="e">
        <f t="shared" si="52"/>
        <v>#DIV/0!</v>
      </c>
      <c r="AF87" s="167" t="e">
        <f t="shared" si="52"/>
        <v>#DIV/0!</v>
      </c>
      <c r="AG87" s="167" t="e">
        <f t="shared" si="52"/>
        <v>#DIV/0!</v>
      </c>
      <c r="AH87" s="167" t="e">
        <f t="shared" si="52"/>
        <v>#DIV/0!</v>
      </c>
      <c r="AI87" s="167" t="e">
        <f t="shared" si="52"/>
        <v>#DIV/0!</v>
      </c>
      <c r="AJ87" s="167" t="e">
        <f t="shared" si="52"/>
        <v>#DIV/0!</v>
      </c>
      <c r="AK87" s="167" t="e">
        <f t="shared" si="52"/>
        <v>#DIV/0!</v>
      </c>
      <c r="AL87" s="167" t="e">
        <f t="shared" si="52"/>
        <v>#DIV/0!</v>
      </c>
      <c r="AM87" s="167" t="e">
        <f t="shared" si="52"/>
        <v>#DIV/0!</v>
      </c>
      <c r="AN87" s="167" t="e">
        <f t="shared" si="52"/>
        <v>#DIV/0!</v>
      </c>
      <c r="AO87" s="167" t="e">
        <f t="shared" si="52"/>
        <v>#DIV/0!</v>
      </c>
    </row>
    <row r="88" spans="2:41" x14ac:dyDescent="0.15">
      <c r="B88" s="504"/>
      <c r="C88" s="129" t="s">
        <v>952</v>
      </c>
      <c r="D88" s="94" cm="1">
        <f t="array" ref="D88">SUM(SUMIFS('caseload data'!E:E,'caseload data'!$D:$D,"PSO",'caseload data'!$A:$A,"Greater Manchester",'caseload data'!$B:$B,{"licence","community"}))</f>
        <v>0</v>
      </c>
      <c r="E88" s="94" cm="1">
        <f t="array" ref="E88">SUM(SUMIFS('caseload data'!F:F,'caseload data'!$D:$D,"PSO",'caseload data'!$A:$A,"Greater Manchester",'caseload data'!$B:$B,{"licence","community"}))</f>
        <v>0</v>
      </c>
      <c r="F88" s="94" cm="1">
        <f t="array" ref="F88">SUM(SUMIFS('caseload data'!G:G,'caseload data'!$D:$D,"PSO",'caseload data'!$A:$A,"Greater Manchester",'caseload data'!$B:$B,{"licence","community"}))</f>
        <v>0</v>
      </c>
      <c r="G88" s="94" cm="1">
        <f t="array" ref="G88">SUM(SUMIFS('caseload data'!H:H,'caseload data'!$D:$D,"PSO",'caseload data'!$A:$A,"Greater Manchester",'caseload data'!$B:$B,{"licence","community"}))</f>
        <v>0</v>
      </c>
      <c r="H88" s="94" cm="1">
        <f t="array" ref="H88">SUM(SUMIFS('caseload data'!I:I,'caseload data'!$D:$D,"PSO",'caseload data'!$A:$A,"Greater Manchester",'caseload data'!$B:$B,{"licence","community"}))</f>
        <v>0</v>
      </c>
      <c r="I88" s="94" cm="1">
        <f t="array" ref="I88">SUM(SUMIFS('caseload data'!J:J,'caseload data'!$D:$D,"PSO",'caseload data'!$A:$A,"Greater Manchester",'caseload data'!$B:$B,{"licence","community"}))</f>
        <v>0</v>
      </c>
      <c r="J88" s="94" cm="1">
        <f t="array" ref="J88">SUM(SUMIFS('caseload data'!K:K,'caseload data'!$D:$D,"PSO",'caseload data'!$A:$A,"Greater Manchester",'caseload data'!$B:$B,{"licence","community"}))</f>
        <v>0</v>
      </c>
      <c r="K88" s="94" cm="1">
        <f t="array" ref="K88">SUM(SUMIFS('caseload data'!L:L,'caseload data'!$D:$D,"PSO",'caseload data'!$A:$A,"Greater Manchester",'caseload data'!$B:$B,{"licence","community"}))</f>
        <v>0</v>
      </c>
      <c r="L88" s="94" cm="1">
        <f t="array" ref="L88">SUM(SUMIFS('caseload data'!M:M,'caseload data'!$D:$D,"PSO",'caseload data'!$A:$A,"Greater Manchester",'caseload data'!$B:$B,{"licence","community"}))</f>
        <v>0</v>
      </c>
      <c r="M88" s="94" cm="1">
        <f t="array" ref="M88">SUM(SUMIFS('caseload data'!N:N,'caseload data'!$D:$D,"PSO",'caseload data'!$A:$A,"Greater Manchester",'caseload data'!$B:$B,{"licence","community"}))</f>
        <v>0</v>
      </c>
      <c r="N88" s="94" cm="1">
        <f t="array" ref="N88">SUM(SUMIFS('caseload data'!O:O,'caseload data'!$D:$D,"PSO",'caseload data'!$A:$A,"Greater Manchester",'caseload data'!$B:$B,{"licence","community"}))</f>
        <v>0</v>
      </c>
      <c r="O88" s="94" cm="1">
        <f t="array" ref="O88">SUM(SUMIFS('caseload data'!P:P,'caseload data'!$D:$D,"PSO",'caseload data'!$A:$A,"Greater Manchester",'caseload data'!$B:$B,{"licence","community"}))</f>
        <v>0</v>
      </c>
      <c r="P88" s="94" cm="1">
        <f t="array" ref="P88">SUM(SUMIFS('caseload data'!Q:Q,'caseload data'!$D:$D,"PSO",'caseload data'!$A:$A,"Greater Manchester",'caseload data'!$B:$B,{"licence","community"}))</f>
        <v>0</v>
      </c>
      <c r="Q88" s="94" cm="1">
        <f t="array" ref="Q88">SUM(SUMIFS('caseload data'!R:R,'caseload data'!$D:$D,"PSO",'caseload data'!$A:$A,"Greater Manchester",'caseload data'!$B:$B,{"licence","community"}))</f>
        <v>0</v>
      </c>
      <c r="R88" s="94" cm="1">
        <f t="array" ref="R88">SUM(SUMIFS('caseload data'!S:S,'caseload data'!$D:$D,"PSO",'caseload data'!$A:$A,"Greater Manchester",'caseload data'!$B:$B,{"licence","community"}))</f>
        <v>0</v>
      </c>
      <c r="S88" s="94" cm="1">
        <f t="array" ref="S88">SUM(SUMIFS('caseload data'!T:T,'caseload data'!$D:$D,"PSO",'caseload data'!$A:$A,"Greater Manchester",'caseload data'!$B:$B,{"licence","community"}))</f>
        <v>0</v>
      </c>
      <c r="T88" s="94" cm="1">
        <f t="array" ref="T88">SUM(SUMIFS('caseload data'!V:V,'caseload data'!D:D,"PSO",'caseload data'!A:A,"Greater Manchester",'caseload data'!B:B,{"licence","community"}))</f>
        <v>0</v>
      </c>
      <c r="U88" s="64"/>
      <c r="V88" s="64"/>
      <c r="W88" s="504"/>
      <c r="X88" s="129" t="s">
        <v>952</v>
      </c>
      <c r="Y88" s="167" t="e">
        <f t="shared" ref="Y88:Y91" si="53">SUM(D88)/SUM(D$87:D$91)</f>
        <v>#DIV/0!</v>
      </c>
      <c r="Z88" s="167" t="e">
        <f t="shared" si="52"/>
        <v>#DIV/0!</v>
      </c>
      <c r="AA88" s="167" t="e">
        <f t="shared" si="52"/>
        <v>#DIV/0!</v>
      </c>
      <c r="AB88" s="167" t="e">
        <f t="shared" si="52"/>
        <v>#DIV/0!</v>
      </c>
      <c r="AC88" s="167" t="e">
        <f t="shared" si="52"/>
        <v>#DIV/0!</v>
      </c>
      <c r="AD88" s="167" t="e">
        <f t="shared" si="52"/>
        <v>#DIV/0!</v>
      </c>
      <c r="AE88" s="167" t="e">
        <f t="shared" si="52"/>
        <v>#DIV/0!</v>
      </c>
      <c r="AF88" s="167" t="e">
        <f t="shared" si="52"/>
        <v>#DIV/0!</v>
      </c>
      <c r="AG88" s="167" t="e">
        <f t="shared" si="52"/>
        <v>#DIV/0!</v>
      </c>
      <c r="AH88" s="167" t="e">
        <f t="shared" si="52"/>
        <v>#DIV/0!</v>
      </c>
      <c r="AI88" s="167" t="e">
        <f t="shared" si="52"/>
        <v>#DIV/0!</v>
      </c>
      <c r="AJ88" s="167" t="e">
        <f t="shared" si="52"/>
        <v>#DIV/0!</v>
      </c>
      <c r="AK88" s="167" t="e">
        <f t="shared" si="52"/>
        <v>#DIV/0!</v>
      </c>
      <c r="AL88" s="167" t="e">
        <f t="shared" si="52"/>
        <v>#DIV/0!</v>
      </c>
      <c r="AM88" s="167" t="e">
        <f t="shared" si="52"/>
        <v>#DIV/0!</v>
      </c>
      <c r="AN88" s="167" t="e">
        <f t="shared" si="52"/>
        <v>#DIV/0!</v>
      </c>
      <c r="AO88" s="167" t="e">
        <f t="shared" si="52"/>
        <v>#DIV/0!</v>
      </c>
    </row>
    <row r="89" spans="2:41" x14ac:dyDescent="0.15">
      <c r="B89" s="504"/>
      <c r="C89" s="129" t="s">
        <v>953</v>
      </c>
      <c r="D89" s="94" cm="1">
        <f t="array" ref="D89">SUM(SUMIFS('caseload data'!E:E,'caseload data'!$D:$D,"TPO",'caseload data'!$A:$A,"Greater Manchester",'caseload data'!$B:$B,{"licence","community"}))</f>
        <v>0</v>
      </c>
      <c r="E89" s="94" cm="1">
        <f t="array" ref="E89">SUM(SUMIFS('caseload data'!F:F,'caseload data'!$D:$D,"TPO",'caseload data'!$A:$A,"Greater Manchester",'caseload data'!$B:$B,{"licence","community"}))</f>
        <v>0</v>
      </c>
      <c r="F89" s="94" cm="1">
        <f t="array" ref="F89">SUM(SUMIFS('caseload data'!G:G,'caseload data'!$D:$D,"TPO",'caseload data'!$A:$A,"Greater Manchester",'caseload data'!$B:$B,{"licence","community"}))</f>
        <v>0</v>
      </c>
      <c r="G89" s="94" cm="1">
        <f t="array" ref="G89">SUM(SUMIFS('caseload data'!H:H,'caseload data'!$D:$D,"TPO",'caseload data'!$A:$A,"Greater Manchester",'caseload data'!$B:$B,{"licence","community"}))</f>
        <v>0</v>
      </c>
      <c r="H89" s="94" cm="1">
        <f t="array" ref="H89">SUM(SUMIFS('caseload data'!I:I,'caseload data'!$D:$D,"TPO",'caseload data'!$A:$A,"Greater Manchester",'caseload data'!$B:$B,{"licence","community"}))</f>
        <v>0</v>
      </c>
      <c r="I89" s="94" cm="1">
        <f t="array" ref="I89">SUM(SUMIFS('caseload data'!J:J,'caseload data'!$D:$D,"TPO",'caseload data'!$A:$A,"Greater Manchester",'caseload data'!$B:$B,{"licence","community"}))</f>
        <v>0</v>
      </c>
      <c r="J89" s="94" cm="1">
        <f t="array" ref="J89">SUM(SUMIFS('caseload data'!K:K,'caseload data'!$D:$D,"TPO",'caseload data'!$A:$A,"Greater Manchester",'caseload data'!$B:$B,{"licence","community"}))</f>
        <v>0</v>
      </c>
      <c r="K89" s="94" cm="1">
        <f t="array" ref="K89">SUM(SUMIFS('caseload data'!L:L,'caseload data'!$D:$D,"TPO",'caseload data'!$A:$A,"Greater Manchester",'caseload data'!$B:$B,{"licence","community"}))</f>
        <v>0</v>
      </c>
      <c r="L89" s="94" cm="1">
        <f t="array" ref="L89">SUM(SUMIFS('caseload data'!M:M,'caseload data'!$D:$D,"TPO",'caseload data'!$A:$A,"Greater Manchester",'caseload data'!$B:$B,{"licence","community"}))</f>
        <v>0</v>
      </c>
      <c r="M89" s="94" cm="1">
        <f t="array" ref="M89">SUM(SUMIFS('caseload data'!N:N,'caseload data'!$D:$D,"TPO",'caseload data'!$A:$A,"Greater Manchester",'caseload data'!$B:$B,{"licence","community"}))</f>
        <v>0</v>
      </c>
      <c r="N89" s="94" cm="1">
        <f t="array" ref="N89">SUM(SUMIFS('caseload data'!O:O,'caseload data'!$D:$D,"TPO",'caseload data'!$A:$A,"Greater Manchester",'caseload data'!$B:$B,{"licence","community"}))</f>
        <v>0</v>
      </c>
      <c r="O89" s="94" cm="1">
        <f t="array" ref="O89">SUM(SUMIFS('caseload data'!P:P,'caseload data'!$D:$D,"TPO",'caseload data'!$A:$A,"Greater Manchester",'caseload data'!$B:$B,{"licence","community"}))</f>
        <v>0</v>
      </c>
      <c r="P89" s="94" cm="1">
        <f t="array" ref="P89">SUM(SUMIFS('caseload data'!Q:Q,'caseload data'!$D:$D,"TPO",'caseload data'!$A:$A,"Greater Manchester",'caseload data'!$B:$B,{"licence","community"}))</f>
        <v>0</v>
      </c>
      <c r="Q89" s="94" cm="1">
        <f t="array" ref="Q89">SUM(SUMIFS('caseload data'!R:R,'caseload data'!$D:$D,"TPO",'caseload data'!$A:$A,"Greater Manchester",'caseload data'!$B:$B,{"licence","community"}))</f>
        <v>0</v>
      </c>
      <c r="R89" s="94" cm="1">
        <f t="array" ref="R89">SUM(SUMIFS('caseload data'!S:S,'caseload data'!$D:$D,"TPO",'caseload data'!$A:$A,"Greater Manchester",'caseload data'!$B:$B,{"licence","community"}))</f>
        <v>0</v>
      </c>
      <c r="S89" s="94" cm="1">
        <f t="array" ref="S89">SUM(SUMIFS('caseload data'!T:T,'caseload data'!$D:$D,"TPO",'caseload data'!$A:$A,"Greater Manchester",'caseload data'!$B:$B,{"licence","community"}))</f>
        <v>0</v>
      </c>
      <c r="T89" s="94" cm="1">
        <f t="array" ref="T89">SUM(SUMIFS('caseload data'!V:V,'caseload data'!D:D,"TPO",'caseload data'!A:A,"Greater Manchester",'caseload data'!B:B,{"licence","community"}))</f>
        <v>0</v>
      </c>
      <c r="U89" s="64"/>
      <c r="V89" s="64"/>
      <c r="W89" s="504"/>
      <c r="X89" s="129" t="s">
        <v>953</v>
      </c>
      <c r="Y89" s="167" t="e">
        <f t="shared" si="53"/>
        <v>#DIV/0!</v>
      </c>
      <c r="Z89" s="167" t="e">
        <f t="shared" si="52"/>
        <v>#DIV/0!</v>
      </c>
      <c r="AA89" s="167" t="e">
        <f t="shared" si="52"/>
        <v>#DIV/0!</v>
      </c>
      <c r="AB89" s="167" t="e">
        <f t="shared" si="52"/>
        <v>#DIV/0!</v>
      </c>
      <c r="AC89" s="167" t="e">
        <f t="shared" si="52"/>
        <v>#DIV/0!</v>
      </c>
      <c r="AD89" s="167" t="e">
        <f t="shared" si="52"/>
        <v>#DIV/0!</v>
      </c>
      <c r="AE89" s="167" t="e">
        <f t="shared" si="52"/>
        <v>#DIV/0!</v>
      </c>
      <c r="AF89" s="167" t="e">
        <f t="shared" si="52"/>
        <v>#DIV/0!</v>
      </c>
      <c r="AG89" s="167" t="e">
        <f t="shared" si="52"/>
        <v>#DIV/0!</v>
      </c>
      <c r="AH89" s="167" t="e">
        <f t="shared" si="52"/>
        <v>#DIV/0!</v>
      </c>
      <c r="AI89" s="167" t="e">
        <f t="shared" si="52"/>
        <v>#DIV/0!</v>
      </c>
      <c r="AJ89" s="167" t="e">
        <f t="shared" si="52"/>
        <v>#DIV/0!</v>
      </c>
      <c r="AK89" s="167" t="e">
        <f t="shared" si="52"/>
        <v>#DIV/0!</v>
      </c>
      <c r="AL89" s="167" t="e">
        <f t="shared" si="52"/>
        <v>#DIV/0!</v>
      </c>
      <c r="AM89" s="167" t="e">
        <f t="shared" si="52"/>
        <v>#DIV/0!</v>
      </c>
      <c r="AN89" s="167" t="e">
        <f t="shared" si="52"/>
        <v>#DIV/0!</v>
      </c>
      <c r="AO89" s="167" t="e">
        <f t="shared" si="52"/>
        <v>#DIV/0!</v>
      </c>
    </row>
    <row r="90" spans="2:41" x14ac:dyDescent="0.15">
      <c r="B90" s="504"/>
      <c r="C90" s="129" t="s">
        <v>954</v>
      </c>
      <c r="D90" s="94" cm="1">
        <f t="array" ref="D90">SUM(SUMIFS('caseload data'!E:E,'caseload data'!$D:$D,"SPO",'caseload data'!$A:$A,"Greater Manchester",'caseload data'!$B:$B,{"licence","community"}))</f>
        <v>0</v>
      </c>
      <c r="E90" s="94" cm="1">
        <f t="array" ref="E90">SUM(SUMIFS('caseload data'!F:F,'caseload data'!$D:$D,"SPO",'caseload data'!$A:$A,"Greater Manchester",'caseload data'!$B:$B,{"licence","community"}))</f>
        <v>0</v>
      </c>
      <c r="F90" s="94" cm="1">
        <f t="array" ref="F90">SUM(SUMIFS('caseload data'!G:G,'caseload data'!$D:$D,"SPO",'caseload data'!$A:$A,"Greater Manchester",'caseload data'!$B:$B,{"licence","community"}))</f>
        <v>0</v>
      </c>
      <c r="G90" s="94" cm="1">
        <f t="array" ref="G90">SUM(SUMIFS('caseload data'!H:H,'caseload data'!$D:$D,"SPO",'caseload data'!$A:$A,"Greater Manchester",'caseload data'!$B:$B,{"licence","community"}))</f>
        <v>0</v>
      </c>
      <c r="H90" s="94" cm="1">
        <f t="array" ref="H90">SUM(SUMIFS('caseload data'!I:I,'caseload data'!$D:$D,"SPO",'caseload data'!$A:$A,"Greater Manchester",'caseload data'!$B:$B,{"licence","community"}))</f>
        <v>0</v>
      </c>
      <c r="I90" s="94" cm="1">
        <f t="array" ref="I90">SUM(SUMIFS('caseload data'!J:J,'caseload data'!$D:$D,"SPO",'caseload data'!$A:$A,"Greater Manchester",'caseload data'!$B:$B,{"licence","community"}))</f>
        <v>0</v>
      </c>
      <c r="J90" s="94" cm="1">
        <f t="array" ref="J90">SUM(SUMIFS('caseload data'!K:K,'caseload data'!$D:$D,"SPO",'caseload data'!$A:$A,"Greater Manchester",'caseload data'!$B:$B,{"licence","community"}))</f>
        <v>0</v>
      </c>
      <c r="K90" s="94" cm="1">
        <f t="array" ref="K90">SUM(SUMIFS('caseload data'!L:L,'caseload data'!$D:$D,"SPO",'caseload data'!$A:$A,"Greater Manchester",'caseload data'!$B:$B,{"licence","community"}))</f>
        <v>0</v>
      </c>
      <c r="L90" s="94" cm="1">
        <f t="array" ref="L90">SUM(SUMIFS('caseload data'!M:M,'caseload data'!$D:$D,"SPO",'caseload data'!$A:$A,"Greater Manchester",'caseload data'!$B:$B,{"licence","community"}))</f>
        <v>0</v>
      </c>
      <c r="M90" s="94" cm="1">
        <f t="array" ref="M90">SUM(SUMIFS('caseload data'!N:N,'caseload data'!$D:$D,"SPO",'caseload data'!$A:$A,"Greater Manchester",'caseload data'!$B:$B,{"licence","community"}))</f>
        <v>0</v>
      </c>
      <c r="N90" s="94" cm="1">
        <f t="array" ref="N90">SUM(SUMIFS('caseload data'!O:O,'caseload data'!$D:$D,"SPO",'caseload data'!$A:$A,"Greater Manchester",'caseload data'!$B:$B,{"licence","community"}))</f>
        <v>0</v>
      </c>
      <c r="O90" s="94" cm="1">
        <f t="array" ref="O90">SUM(SUMIFS('caseload data'!P:P,'caseload data'!$D:$D,"SPO",'caseload data'!$A:$A,"Greater Manchester",'caseload data'!$B:$B,{"licence","community"}))</f>
        <v>0</v>
      </c>
      <c r="P90" s="94" cm="1">
        <f t="array" ref="P90">SUM(SUMIFS('caseload data'!Q:Q,'caseload data'!$D:$D,"SPO",'caseload data'!$A:$A,"Greater Manchester",'caseload data'!$B:$B,{"licence","community"}))</f>
        <v>0</v>
      </c>
      <c r="Q90" s="94" cm="1">
        <f t="array" ref="Q90">SUM(SUMIFS('caseload data'!R:R,'caseload data'!$D:$D,"SPO",'caseload data'!$A:$A,"Greater Manchester",'caseload data'!$B:$B,{"licence","community"}))</f>
        <v>0</v>
      </c>
      <c r="R90" s="94" cm="1">
        <f t="array" ref="R90">SUM(SUMIFS('caseload data'!S:S,'caseload data'!$D:$D,"SPO",'caseload data'!$A:$A,"Greater Manchester",'caseload data'!$B:$B,{"licence","community"}))</f>
        <v>0</v>
      </c>
      <c r="S90" s="94" cm="1">
        <f t="array" ref="S90">SUM(SUMIFS('caseload data'!T:T,'caseload data'!$D:$D,"SPO",'caseload data'!$A:$A,"Greater Manchester",'caseload data'!$B:$B,{"licence","community"}))</f>
        <v>0</v>
      </c>
      <c r="T90" s="94" cm="1">
        <f t="array" ref="T90">SUM(SUMIFS('caseload data'!V:V,'caseload data'!$D:$D,"SPO",'caseload data'!$A:$A,"Greater Manchester",'caseload data'!$B:$B,{"licence","community"}))</f>
        <v>0</v>
      </c>
      <c r="U90" s="64"/>
      <c r="V90" s="64"/>
      <c r="W90" s="504"/>
      <c r="X90" s="129" t="s">
        <v>954</v>
      </c>
      <c r="Y90" s="167" t="e">
        <f t="shared" si="53"/>
        <v>#DIV/0!</v>
      </c>
      <c r="Z90" s="167" t="e">
        <f t="shared" si="52"/>
        <v>#DIV/0!</v>
      </c>
      <c r="AA90" s="167" t="e">
        <f t="shared" si="52"/>
        <v>#DIV/0!</v>
      </c>
      <c r="AB90" s="167" t="e">
        <f t="shared" si="52"/>
        <v>#DIV/0!</v>
      </c>
      <c r="AC90" s="167" t="e">
        <f t="shared" si="52"/>
        <v>#DIV/0!</v>
      </c>
      <c r="AD90" s="167" t="e">
        <f t="shared" si="52"/>
        <v>#DIV/0!</v>
      </c>
      <c r="AE90" s="167" t="e">
        <f t="shared" si="52"/>
        <v>#DIV/0!</v>
      </c>
      <c r="AF90" s="167" t="e">
        <f t="shared" si="52"/>
        <v>#DIV/0!</v>
      </c>
      <c r="AG90" s="167" t="e">
        <f t="shared" si="52"/>
        <v>#DIV/0!</v>
      </c>
      <c r="AH90" s="167" t="e">
        <f t="shared" si="52"/>
        <v>#DIV/0!</v>
      </c>
      <c r="AI90" s="167" t="e">
        <f t="shared" si="52"/>
        <v>#DIV/0!</v>
      </c>
      <c r="AJ90" s="167" t="e">
        <f t="shared" si="52"/>
        <v>#DIV/0!</v>
      </c>
      <c r="AK90" s="167" t="e">
        <f t="shared" si="52"/>
        <v>#DIV/0!</v>
      </c>
      <c r="AL90" s="167" t="e">
        <f t="shared" si="52"/>
        <v>#DIV/0!</v>
      </c>
      <c r="AM90" s="167" t="e">
        <f t="shared" si="52"/>
        <v>#DIV/0!</v>
      </c>
      <c r="AN90" s="167" t="e">
        <f t="shared" si="52"/>
        <v>#DIV/0!</v>
      </c>
      <c r="AO90" s="167" t="e">
        <f t="shared" si="52"/>
        <v>#DIV/0!</v>
      </c>
    </row>
    <row r="91" spans="2:41" x14ac:dyDescent="0.15">
      <c r="B91" s="505"/>
      <c r="C91" s="130" t="s">
        <v>1286</v>
      </c>
      <c r="D91" s="94" cm="1">
        <f t="array" ref="D91">SUM(SUMIFS('caseload data'!E:E,'caseload data'!$D:$D,"DMY",'caseload data'!$A:$A,"Greater Manchester",'caseload data'!$B:$B,{"licence","community"}))</f>
        <v>0</v>
      </c>
      <c r="E91" s="94" cm="1">
        <f t="array" ref="E91">SUM(SUMIFS('caseload data'!F:F,'caseload data'!$D:$D,"DMY",'caseload data'!$A:$A,"Greater Manchester",'caseload data'!$B:$B,{"licence","community"}))</f>
        <v>0</v>
      </c>
      <c r="F91" s="94" cm="1">
        <f t="array" ref="F91">SUM(SUMIFS('caseload data'!G:G,'caseload data'!$D:$D,"DMY",'caseload data'!$A:$A,"Greater Manchester",'caseload data'!$B:$B,{"licence","community"}))</f>
        <v>0</v>
      </c>
      <c r="G91" s="94" cm="1">
        <f t="array" ref="G91">SUM(SUMIFS('caseload data'!H:H,'caseload data'!$D:$D,"DMY",'caseload data'!$A:$A,"Greater Manchester",'caseload data'!$B:$B,{"licence","community"}))</f>
        <v>0</v>
      </c>
      <c r="H91" s="94" cm="1">
        <f t="array" ref="H91">SUM(SUMIFS('caseload data'!I:I,'caseload data'!$D:$D,"DMY",'caseload data'!$A:$A,"Greater Manchester",'caseload data'!$B:$B,{"licence","community"}))</f>
        <v>0</v>
      </c>
      <c r="I91" s="94" cm="1">
        <f t="array" ref="I91">SUM(SUMIFS('caseload data'!J:J,'caseload data'!$D:$D,"DMY",'caseload data'!$A:$A,"Greater Manchester",'caseload data'!$B:$B,{"licence","community"}))</f>
        <v>0</v>
      </c>
      <c r="J91" s="94" cm="1">
        <f t="array" ref="J91">SUM(SUMIFS('caseload data'!K:K,'caseload data'!$D:$D,"DMY",'caseload data'!$A:$A,"Greater Manchester",'caseload data'!$B:$B,{"licence","community"}))</f>
        <v>0</v>
      </c>
      <c r="K91" s="94" cm="1">
        <f t="array" ref="K91">SUM(SUMIFS('caseload data'!L:L,'caseload data'!$D:$D,"DMY",'caseload data'!$A:$A,"Greater Manchester",'caseload data'!$B:$B,{"licence","community"}))</f>
        <v>0</v>
      </c>
      <c r="L91" s="94" cm="1">
        <f t="array" ref="L91">SUM(SUMIFS('caseload data'!M:M,'caseload data'!$D:$D,"DMY",'caseload data'!$A:$A,"Greater Manchester",'caseload data'!$B:$B,{"licence","community"}))</f>
        <v>0</v>
      </c>
      <c r="M91" s="94" cm="1">
        <f t="array" ref="M91">SUM(SUMIFS('caseload data'!N:N,'caseload data'!$D:$D,"DMY",'caseload data'!$A:$A,"Greater Manchester",'caseload data'!$B:$B,{"licence","community"}))</f>
        <v>0</v>
      </c>
      <c r="N91" s="94" cm="1">
        <f t="array" ref="N91">SUM(SUMIFS('caseload data'!O:O,'caseload data'!$D:$D,"DMY",'caseload data'!$A:$A,"Greater Manchester",'caseload data'!$B:$B,{"licence","community"}))</f>
        <v>0</v>
      </c>
      <c r="O91" s="94" cm="1">
        <f t="array" ref="O91">SUM(SUMIFS('caseload data'!P:P,'caseload data'!$D:$D,"DMY",'caseload data'!$A:$A,"Greater Manchester",'caseload data'!$B:$B,{"licence","community"}))</f>
        <v>0</v>
      </c>
      <c r="P91" s="94" cm="1">
        <f t="array" ref="P91">SUM(SUMIFS('caseload data'!Q:Q,'caseload data'!$D:$D,"DMY",'caseload data'!$A:$A,"Greater Manchester",'caseload data'!$B:$B,{"licence","community"}))</f>
        <v>0</v>
      </c>
      <c r="Q91" s="94" cm="1">
        <f t="array" ref="Q91">SUM(SUMIFS('caseload data'!R:R,'caseload data'!$D:$D,"DMY",'caseload data'!$A:$A,"Greater Manchester",'caseload data'!$B:$B,{"licence","community"}))</f>
        <v>0</v>
      </c>
      <c r="R91" s="94" cm="1">
        <f t="array" ref="R91">SUM(SUMIFS('caseload data'!S:S,'caseload data'!$D:$D,"DMY",'caseload data'!$A:$A,"Greater Manchester",'caseload data'!$B:$B,{"licence","community"}))</f>
        <v>0</v>
      </c>
      <c r="S91" s="94" cm="1">
        <f t="array" ref="S91">SUM(SUMIFS('caseload data'!T:T,'caseload data'!$D:$D,"DMY",'caseload data'!$A:$A,"Greater Manchester",'caseload data'!$B:$B,{"licence","community"}))</f>
        <v>0</v>
      </c>
      <c r="T91" s="94" cm="1">
        <f t="array" ref="T91">SUM(SUMIFS('caseload data'!V:V,'caseload data'!$D:$D,"DMY",'caseload data'!$A:$A,"Greater Manchester",'caseload data'!$B:$B,{"licence","community"}))</f>
        <v>0</v>
      </c>
      <c r="U91" s="64"/>
      <c r="V91" s="64"/>
      <c r="W91" s="505"/>
      <c r="X91" s="130" t="s">
        <v>1286</v>
      </c>
      <c r="Y91" s="167" t="e">
        <f t="shared" si="53"/>
        <v>#DIV/0!</v>
      </c>
      <c r="Z91" s="167" t="e">
        <f t="shared" si="52"/>
        <v>#DIV/0!</v>
      </c>
      <c r="AA91" s="167" t="e">
        <f t="shared" si="52"/>
        <v>#DIV/0!</v>
      </c>
      <c r="AB91" s="167" t="e">
        <f t="shared" si="52"/>
        <v>#DIV/0!</v>
      </c>
      <c r="AC91" s="167" t="e">
        <f t="shared" si="52"/>
        <v>#DIV/0!</v>
      </c>
      <c r="AD91" s="167" t="e">
        <f t="shared" si="52"/>
        <v>#DIV/0!</v>
      </c>
      <c r="AE91" s="167" t="e">
        <f t="shared" si="52"/>
        <v>#DIV/0!</v>
      </c>
      <c r="AF91" s="167" t="e">
        <f t="shared" si="52"/>
        <v>#DIV/0!</v>
      </c>
      <c r="AG91" s="167" t="e">
        <f t="shared" si="52"/>
        <v>#DIV/0!</v>
      </c>
      <c r="AH91" s="167" t="e">
        <f t="shared" si="52"/>
        <v>#DIV/0!</v>
      </c>
      <c r="AI91" s="167" t="e">
        <f t="shared" si="52"/>
        <v>#DIV/0!</v>
      </c>
      <c r="AJ91" s="167" t="e">
        <f t="shared" si="52"/>
        <v>#DIV/0!</v>
      </c>
      <c r="AK91" s="167" t="e">
        <f t="shared" si="52"/>
        <v>#DIV/0!</v>
      </c>
      <c r="AL91" s="167" t="e">
        <f t="shared" si="52"/>
        <v>#DIV/0!</v>
      </c>
      <c r="AM91" s="167" t="e">
        <f t="shared" si="52"/>
        <v>#DIV/0!</v>
      </c>
      <c r="AN91" s="167" t="e">
        <f t="shared" si="52"/>
        <v>#DIV/0!</v>
      </c>
      <c r="AO91" s="167" t="e">
        <f t="shared" si="52"/>
        <v>#DIV/0!</v>
      </c>
    </row>
    <row r="92" spans="2:41" x14ac:dyDescent="0.15">
      <c r="B92" s="503" t="s">
        <v>20</v>
      </c>
      <c r="C92" s="128" t="s">
        <v>947</v>
      </c>
      <c r="D92" s="94" cm="1">
        <f t="array" ref="D92">SUM(SUMIFS('caseload data'!E:E,'caseload data'!$D:$D,"PO",'caseload data'!$A:$A,_xlfn.SINGLE('national caseload'!$B$92:$B$94),'caseload data'!$B:$B,{"licence","community"}))</f>
        <v>0</v>
      </c>
      <c r="E92" s="94" cm="1">
        <f t="array" ref="E92">SUM(SUMIFS('caseload data'!F:F,'caseload data'!$D:$D,"PO",'caseload data'!$A:$A,_xlfn.SINGLE('national caseload'!$B$92:$B$94),'caseload data'!$B:$B,{"licence","community"}))</f>
        <v>0</v>
      </c>
      <c r="F92" s="94" cm="1">
        <f t="array" ref="F92">SUM(SUMIFS('caseload data'!G:G,'caseload data'!$D:$D,"PO",'caseload data'!$A:$A,_xlfn.SINGLE('national caseload'!$B$92:$B$94),'caseload data'!$B:$B,{"licence","community"}))</f>
        <v>0</v>
      </c>
      <c r="G92" s="94" cm="1">
        <f t="array" ref="G92">SUM(SUMIFS('caseload data'!H:H,'caseload data'!$D:$D,"PO",'caseload data'!$A:$A,_xlfn.SINGLE('national caseload'!$B$92:$B$94),'caseload data'!$B:$B,{"licence","community"}))</f>
        <v>0</v>
      </c>
      <c r="H92" s="94" cm="1">
        <f t="array" ref="H92">SUM(SUMIFS('caseload data'!I:I,'caseload data'!$D:$D,"PO",'caseload data'!$A:$A,_xlfn.SINGLE('national caseload'!$B$92:$B$94),'caseload data'!$B:$B,{"licence","community"}))</f>
        <v>0</v>
      </c>
      <c r="I92" s="94" cm="1">
        <f t="array" ref="I92">SUM(SUMIFS('caseload data'!J:J,'caseload data'!$D:$D,"PO",'caseload data'!$A:$A,_xlfn.SINGLE('national caseload'!$B$92:$B$94),'caseload data'!$B:$B,{"licence","community"}))</f>
        <v>0</v>
      </c>
      <c r="J92" s="94" cm="1">
        <f t="array" ref="J92">SUM(SUMIFS('caseload data'!K:K,'caseload data'!$D:$D,"PO",'caseload data'!$A:$A,_xlfn.SINGLE('national caseload'!$B$92:$B$94),'caseload data'!$B:$B,{"licence","community"}))</f>
        <v>0</v>
      </c>
      <c r="K92" s="94" cm="1">
        <f t="array" ref="K92">SUM(SUMIFS('caseload data'!L:L,'caseload data'!$D:$D,"PO",'caseload data'!$A:$A,_xlfn.SINGLE('national caseload'!$B$92:$B$94),'caseload data'!$B:$B,{"licence","community"}))</f>
        <v>0</v>
      </c>
      <c r="L92" s="94" cm="1">
        <f t="array" ref="L92">SUM(SUMIFS('caseload data'!M:M,'caseload data'!$D:$D,"PO",'caseload data'!$A:$A,_xlfn.SINGLE('national caseload'!$B$92:$B$94),'caseload data'!$B:$B,{"licence","community"}))</f>
        <v>0</v>
      </c>
      <c r="M92" s="94" cm="1">
        <f t="array" ref="M92">SUM(SUMIFS('caseload data'!N:N,'caseload data'!$D:$D,"PO",'caseload data'!$A:$A,_xlfn.SINGLE('national caseload'!$B$92:$B$94),'caseload data'!$B:$B,{"licence","community"}))</f>
        <v>0</v>
      </c>
      <c r="N92" s="94" cm="1">
        <f t="array" ref="N92">SUM(SUMIFS('caseload data'!O:O,'caseload data'!$D:$D,"PO",'caseload data'!$A:$A,_xlfn.SINGLE('national caseload'!$B$92:$B$94),'caseload data'!$B:$B,{"licence","community"}))</f>
        <v>0</v>
      </c>
      <c r="O92" s="94" cm="1">
        <f t="array" ref="O92">SUM(SUMIFS('caseload data'!P:P,'caseload data'!$D:$D,"PO",'caseload data'!$A:$A,_xlfn.SINGLE('national caseload'!$B$92:$B$94),'caseload data'!$B:$B,{"licence","community"}))</f>
        <v>0</v>
      </c>
      <c r="P92" s="94" cm="1">
        <f t="array" ref="P92">SUM(SUMIFS('caseload data'!Q:Q,'caseload data'!$D:$D,"PO",'caseload data'!$A:$A,_xlfn.SINGLE('national caseload'!$B$92:$B$94),'caseload data'!$B:$B,{"licence","community"}))</f>
        <v>0</v>
      </c>
      <c r="Q92" s="94" cm="1">
        <f t="array" ref="Q92">SUM(SUMIFS('caseload data'!R:R,'caseload data'!$D:$D,"PO",'caseload data'!$A:$A,_xlfn.SINGLE('national caseload'!$B$92:$B$94),'caseload data'!$B:$B,{"licence","community"}))</f>
        <v>0</v>
      </c>
      <c r="R92" s="94" cm="1">
        <f t="array" ref="R92">SUM(SUMIFS('caseload data'!S:S,'caseload data'!$D:$D,"PO",'caseload data'!$A:$A,_xlfn.SINGLE('national caseload'!$B$92:$B$94),'caseload data'!$B:$B,{"licence","community"}))</f>
        <v>0</v>
      </c>
      <c r="S92" s="94" cm="1">
        <f t="array" ref="S92">SUM(SUMIFS('caseload data'!T:T,'caseload data'!$D:$D,"PO",'caseload data'!$A:$A,_xlfn.SINGLE('national caseload'!$B$92:$B$94),'caseload data'!$B:$B,{"licence","community"}))</f>
        <v>0</v>
      </c>
      <c r="T92" s="94">
        <f>SUM(SUMIFS('caseload data'!V:V,'caseload data'!D:D,"PO",'caseload data'!A:A,'national caseload'!B92:B94,'caseload data'!B:B,{"licence","community"}))</f>
        <v>0</v>
      </c>
      <c r="U92" s="64"/>
      <c r="V92" s="64"/>
      <c r="W92" s="503" t="s">
        <v>20</v>
      </c>
      <c r="X92" s="128" t="s">
        <v>947</v>
      </c>
      <c r="Y92" s="167" t="e">
        <f>SUM(D92)/SUM(D$92:D$96)</f>
        <v>#DIV/0!</v>
      </c>
      <c r="Z92" s="167" t="e">
        <f t="shared" ref="Z92:AO96" si="54">SUM(E92)/SUM(E$92:E$96)</f>
        <v>#DIV/0!</v>
      </c>
      <c r="AA92" s="167" t="e">
        <f t="shared" si="54"/>
        <v>#DIV/0!</v>
      </c>
      <c r="AB92" s="167" t="e">
        <f t="shared" si="54"/>
        <v>#DIV/0!</v>
      </c>
      <c r="AC92" s="167" t="e">
        <f t="shared" si="54"/>
        <v>#DIV/0!</v>
      </c>
      <c r="AD92" s="167" t="e">
        <f t="shared" si="54"/>
        <v>#DIV/0!</v>
      </c>
      <c r="AE92" s="167" t="e">
        <f t="shared" si="54"/>
        <v>#DIV/0!</v>
      </c>
      <c r="AF92" s="167" t="e">
        <f t="shared" si="54"/>
        <v>#DIV/0!</v>
      </c>
      <c r="AG92" s="167" t="e">
        <f t="shared" si="54"/>
        <v>#DIV/0!</v>
      </c>
      <c r="AH92" s="167" t="e">
        <f t="shared" si="54"/>
        <v>#DIV/0!</v>
      </c>
      <c r="AI92" s="167" t="e">
        <f t="shared" si="54"/>
        <v>#DIV/0!</v>
      </c>
      <c r="AJ92" s="167" t="e">
        <f t="shared" si="54"/>
        <v>#DIV/0!</v>
      </c>
      <c r="AK92" s="167" t="e">
        <f t="shared" si="54"/>
        <v>#DIV/0!</v>
      </c>
      <c r="AL92" s="167" t="e">
        <f t="shared" si="54"/>
        <v>#DIV/0!</v>
      </c>
      <c r="AM92" s="167" t="e">
        <f t="shared" si="54"/>
        <v>#DIV/0!</v>
      </c>
      <c r="AN92" s="167" t="e">
        <f t="shared" si="54"/>
        <v>#DIV/0!</v>
      </c>
      <c r="AO92" s="167" t="e">
        <f t="shared" si="54"/>
        <v>#DIV/0!</v>
      </c>
    </row>
    <row r="93" spans="2:41" x14ac:dyDescent="0.15">
      <c r="B93" s="504"/>
      <c r="C93" s="129" t="s">
        <v>952</v>
      </c>
      <c r="D93" s="94" cm="1">
        <f t="array" ref="D93">SUM(SUMIFS('caseload data'!E:E,'caseload data'!$D:$D,"PSO",'caseload data'!$A:$A,"Kent Surrey Sussex Region",'caseload data'!$B:$B,{"licence","community"}))</f>
        <v>0</v>
      </c>
      <c r="E93" s="94" cm="1">
        <f t="array" ref="E93">SUM(SUMIFS('caseload data'!F:F,'caseload data'!$D:$D,"PSO",'caseload data'!$A:$A,"Kent Surrey Sussex Region",'caseload data'!$B:$B,{"licence","community"}))</f>
        <v>0</v>
      </c>
      <c r="F93" s="94" cm="1">
        <f t="array" ref="F93">SUM(SUMIFS('caseload data'!G:G,'caseload data'!$D:$D,"PSO",'caseload data'!$A:$A,"Kent Surrey Sussex Region",'caseload data'!$B:$B,{"licence","community"}))</f>
        <v>0</v>
      </c>
      <c r="G93" s="94" cm="1">
        <f t="array" ref="G93">SUM(SUMIFS('caseload data'!H:H,'caseload data'!$D:$D,"PSO",'caseload data'!$A:$A,"Kent Surrey Sussex Region",'caseload data'!$B:$B,{"licence","community"}))</f>
        <v>0</v>
      </c>
      <c r="H93" s="94" cm="1">
        <f t="array" ref="H93">SUM(SUMIFS('caseload data'!I:I,'caseload data'!$D:$D,"PSO",'caseload data'!$A:$A,"Kent Surrey Sussex Region",'caseload data'!$B:$B,{"licence","community"}))</f>
        <v>0</v>
      </c>
      <c r="I93" s="94" cm="1">
        <f t="array" ref="I93">SUM(SUMIFS('caseload data'!J:J,'caseload data'!$D:$D,"PSO",'caseload data'!$A:$A,"Kent Surrey Sussex Region",'caseload data'!$B:$B,{"licence","community"}))</f>
        <v>0</v>
      </c>
      <c r="J93" s="94" cm="1">
        <f t="array" ref="J93">SUM(SUMIFS('caseload data'!K:K,'caseload data'!$D:$D,"PSO",'caseload data'!$A:$A,"Kent Surrey Sussex Region",'caseload data'!$B:$B,{"licence","community"}))</f>
        <v>0</v>
      </c>
      <c r="K93" s="94" cm="1">
        <f t="array" ref="K93">SUM(SUMIFS('caseload data'!L:L,'caseload data'!$D:$D,"PSO",'caseload data'!$A:$A,"Kent Surrey Sussex Region",'caseload data'!$B:$B,{"licence","community"}))</f>
        <v>0</v>
      </c>
      <c r="L93" s="94" cm="1">
        <f t="array" ref="L93">SUM(SUMIFS('caseload data'!M:M,'caseload data'!$D:$D,"PSO",'caseload data'!$A:$A,"Kent Surrey Sussex Region",'caseload data'!$B:$B,{"licence","community"}))</f>
        <v>0</v>
      </c>
      <c r="M93" s="94" cm="1">
        <f t="array" ref="M93">SUM(SUMIFS('caseload data'!N:N,'caseload data'!$D:$D,"PSO",'caseload data'!$A:$A,"Kent Surrey Sussex Region",'caseload data'!$B:$B,{"licence","community"}))</f>
        <v>0</v>
      </c>
      <c r="N93" s="94" cm="1">
        <f t="array" ref="N93">SUM(SUMIFS('caseload data'!O:O,'caseload data'!$D:$D,"PSO",'caseload data'!$A:$A,"Kent Surrey Sussex Region",'caseload data'!$B:$B,{"licence","community"}))</f>
        <v>0</v>
      </c>
      <c r="O93" s="94" cm="1">
        <f t="array" ref="O93">SUM(SUMIFS('caseload data'!P:P,'caseload data'!$D:$D,"PSO",'caseload data'!$A:$A,"Kent Surrey Sussex Region",'caseload data'!$B:$B,{"licence","community"}))</f>
        <v>0</v>
      </c>
      <c r="P93" s="94" cm="1">
        <f t="array" ref="P93">SUM(SUMIFS('caseload data'!Q:Q,'caseload data'!$D:$D,"PSO",'caseload data'!$A:$A,"Kent Surrey Sussex Region",'caseload data'!$B:$B,{"licence","community"}))</f>
        <v>0</v>
      </c>
      <c r="Q93" s="94" cm="1">
        <f t="array" ref="Q93">SUM(SUMIFS('caseload data'!R:R,'caseload data'!$D:$D,"PSO",'caseload data'!$A:$A,"Kent Surrey Sussex Region",'caseload data'!$B:$B,{"licence","community"}))</f>
        <v>0</v>
      </c>
      <c r="R93" s="94" cm="1">
        <f t="array" ref="R93">SUM(SUMIFS('caseload data'!S:S,'caseload data'!$D:$D,"PSO",'caseload data'!$A:$A,"Kent Surrey Sussex Region",'caseload data'!$B:$B,{"licence","community"}))</f>
        <v>0</v>
      </c>
      <c r="S93" s="94" cm="1">
        <f t="array" ref="S93">SUM(SUMIFS('caseload data'!T:T,'caseload data'!$D:$D,"PSO",'caseload data'!$A:$A,"Kent Surrey Sussex Region",'caseload data'!$B:$B,{"licence","community"}))</f>
        <v>0</v>
      </c>
      <c r="T93" s="94" cm="1">
        <f t="array" ref="T93">SUM(SUMIFS('caseload data'!V:V,'caseload data'!D:D,"PSO",'caseload data'!A:A,"Kent Surrey Sussex Region",'caseload data'!B:B,{"licence","community"}))</f>
        <v>0</v>
      </c>
      <c r="U93" s="64"/>
      <c r="V93" s="64"/>
      <c r="W93" s="504"/>
      <c r="X93" s="129" t="s">
        <v>952</v>
      </c>
      <c r="Y93" s="167" t="e">
        <f t="shared" ref="Y93:Y96" si="55">SUM(D93)/SUM(D$92:D$96)</f>
        <v>#DIV/0!</v>
      </c>
      <c r="Z93" s="167" t="e">
        <f t="shared" si="54"/>
        <v>#DIV/0!</v>
      </c>
      <c r="AA93" s="167" t="e">
        <f t="shared" si="54"/>
        <v>#DIV/0!</v>
      </c>
      <c r="AB93" s="167" t="e">
        <f t="shared" si="54"/>
        <v>#DIV/0!</v>
      </c>
      <c r="AC93" s="167" t="e">
        <f t="shared" si="54"/>
        <v>#DIV/0!</v>
      </c>
      <c r="AD93" s="167" t="e">
        <f t="shared" si="54"/>
        <v>#DIV/0!</v>
      </c>
      <c r="AE93" s="167" t="e">
        <f t="shared" si="54"/>
        <v>#DIV/0!</v>
      </c>
      <c r="AF93" s="167" t="e">
        <f t="shared" si="54"/>
        <v>#DIV/0!</v>
      </c>
      <c r="AG93" s="167" t="e">
        <f t="shared" si="54"/>
        <v>#DIV/0!</v>
      </c>
      <c r="AH93" s="167" t="e">
        <f t="shared" si="54"/>
        <v>#DIV/0!</v>
      </c>
      <c r="AI93" s="167" t="e">
        <f t="shared" si="54"/>
        <v>#DIV/0!</v>
      </c>
      <c r="AJ93" s="167" t="e">
        <f t="shared" si="54"/>
        <v>#DIV/0!</v>
      </c>
      <c r="AK93" s="167" t="e">
        <f t="shared" si="54"/>
        <v>#DIV/0!</v>
      </c>
      <c r="AL93" s="167" t="e">
        <f t="shared" si="54"/>
        <v>#DIV/0!</v>
      </c>
      <c r="AM93" s="167" t="e">
        <f t="shared" si="54"/>
        <v>#DIV/0!</v>
      </c>
      <c r="AN93" s="167" t="e">
        <f t="shared" si="54"/>
        <v>#DIV/0!</v>
      </c>
      <c r="AO93" s="167" t="e">
        <f t="shared" si="54"/>
        <v>#DIV/0!</v>
      </c>
    </row>
    <row r="94" spans="2:41" x14ac:dyDescent="0.15">
      <c r="B94" s="504"/>
      <c r="C94" s="129" t="s">
        <v>953</v>
      </c>
      <c r="D94" s="94" cm="1">
        <f t="array" ref="D94">SUM(SUMIFS('caseload data'!E:E,'caseload data'!$D:$D,"TPO",'caseload data'!$A:$A,"Kent Surrey Sussex Region",'caseload data'!$B:$B,{"licence","community"}))</f>
        <v>0</v>
      </c>
      <c r="E94" s="94" cm="1">
        <f t="array" ref="E94">SUM(SUMIFS('caseload data'!F:F,'caseload data'!$D:$D,"TPO",'caseload data'!$A:$A,"Kent Surrey Sussex Region",'caseload data'!$B:$B,{"licence","community"}))</f>
        <v>0</v>
      </c>
      <c r="F94" s="94" cm="1">
        <f t="array" ref="F94">SUM(SUMIFS('caseload data'!G:G,'caseload data'!$D:$D,"TPO",'caseload data'!$A:$A,"Kent Surrey Sussex Region",'caseload data'!$B:$B,{"licence","community"}))</f>
        <v>0</v>
      </c>
      <c r="G94" s="94" cm="1">
        <f t="array" ref="G94">SUM(SUMIFS('caseload data'!H:H,'caseload data'!$D:$D,"TPO",'caseload data'!$A:$A,"Kent Surrey Sussex Region",'caseload data'!$B:$B,{"licence","community"}))</f>
        <v>0</v>
      </c>
      <c r="H94" s="94" cm="1">
        <f t="array" ref="H94">SUM(SUMIFS('caseload data'!I:I,'caseload data'!$D:$D,"TPO",'caseload data'!$A:$A,"Kent Surrey Sussex Region",'caseload data'!$B:$B,{"licence","community"}))</f>
        <v>0</v>
      </c>
      <c r="I94" s="94" cm="1">
        <f t="array" ref="I94">SUM(SUMIFS('caseload data'!J:J,'caseload data'!$D:$D,"TPO",'caseload data'!$A:$A,"Kent Surrey Sussex Region",'caseload data'!$B:$B,{"licence","community"}))</f>
        <v>0</v>
      </c>
      <c r="J94" s="94" cm="1">
        <f t="array" ref="J94">SUM(SUMIFS('caseload data'!K:K,'caseload data'!$D:$D,"TPO",'caseload data'!$A:$A,"Kent Surrey Sussex Region",'caseload data'!$B:$B,{"licence","community"}))</f>
        <v>0</v>
      </c>
      <c r="K94" s="94" cm="1">
        <f t="array" ref="K94">SUM(SUMIFS('caseload data'!L:L,'caseload data'!$D:$D,"TPO",'caseload data'!$A:$A,"Kent Surrey Sussex Region",'caseload data'!$B:$B,{"licence","community"}))</f>
        <v>0</v>
      </c>
      <c r="L94" s="94" cm="1">
        <f t="array" ref="L94">SUM(SUMIFS('caseload data'!M:M,'caseload data'!$D:$D,"TPO",'caseload data'!$A:$A,"Kent Surrey Sussex Region",'caseload data'!$B:$B,{"licence","community"}))</f>
        <v>0</v>
      </c>
      <c r="M94" s="94" cm="1">
        <f t="array" ref="M94">SUM(SUMIFS('caseload data'!N:N,'caseload data'!$D:$D,"TPO",'caseload data'!$A:$A,"Kent Surrey Sussex Region",'caseload data'!$B:$B,{"licence","community"}))</f>
        <v>0</v>
      </c>
      <c r="N94" s="94" cm="1">
        <f t="array" ref="N94">SUM(SUMIFS('caseload data'!O:O,'caseload data'!$D:$D,"TPO",'caseload data'!$A:$A,"Kent Surrey Sussex Region",'caseload data'!$B:$B,{"licence","community"}))</f>
        <v>0</v>
      </c>
      <c r="O94" s="94" cm="1">
        <f t="array" ref="O94">SUM(SUMIFS('caseload data'!P:P,'caseload data'!$D:$D,"TPO",'caseload data'!$A:$A,"Kent Surrey Sussex Region",'caseload data'!$B:$B,{"licence","community"}))</f>
        <v>0</v>
      </c>
      <c r="P94" s="94" cm="1">
        <f t="array" ref="P94">SUM(SUMIFS('caseload data'!Q:Q,'caseload data'!$D:$D,"TPO",'caseload data'!$A:$A,"Kent Surrey Sussex Region",'caseload data'!$B:$B,{"licence","community"}))</f>
        <v>0</v>
      </c>
      <c r="Q94" s="94" cm="1">
        <f t="array" ref="Q94">SUM(SUMIFS('caseload data'!R:R,'caseload data'!$D:$D,"TPO",'caseload data'!$A:$A,"Kent Surrey Sussex Region",'caseload data'!$B:$B,{"licence","community"}))</f>
        <v>0</v>
      </c>
      <c r="R94" s="94" cm="1">
        <f t="array" ref="R94">SUM(SUMIFS('caseload data'!S:S,'caseload data'!$D:$D,"TPO",'caseload data'!$A:$A,"Kent Surrey Sussex Region",'caseload data'!$B:$B,{"licence","community"}))</f>
        <v>0</v>
      </c>
      <c r="S94" s="94" cm="1">
        <f t="array" ref="S94">SUM(SUMIFS('caseload data'!T:T,'caseload data'!$D:$D,"TPO",'caseload data'!$A:$A,"Kent Surrey Sussex Region",'caseload data'!$B:$B,{"licence","community"}))</f>
        <v>0</v>
      </c>
      <c r="T94" s="94" cm="1">
        <f t="array" ref="T94">SUM(SUMIFS('caseload data'!V:V,'caseload data'!D:D,"TPO",'caseload data'!A:A,"Kent Surrey Sussex Region",'caseload data'!B:B,{"licence","community"}))</f>
        <v>0</v>
      </c>
      <c r="U94" s="64"/>
      <c r="V94" s="64"/>
      <c r="W94" s="504"/>
      <c r="X94" s="129" t="s">
        <v>953</v>
      </c>
      <c r="Y94" s="167" t="e">
        <f t="shared" si="55"/>
        <v>#DIV/0!</v>
      </c>
      <c r="Z94" s="167" t="e">
        <f t="shared" si="54"/>
        <v>#DIV/0!</v>
      </c>
      <c r="AA94" s="167" t="e">
        <f t="shared" si="54"/>
        <v>#DIV/0!</v>
      </c>
      <c r="AB94" s="167" t="e">
        <f t="shared" si="54"/>
        <v>#DIV/0!</v>
      </c>
      <c r="AC94" s="167" t="e">
        <f t="shared" si="54"/>
        <v>#DIV/0!</v>
      </c>
      <c r="AD94" s="167" t="e">
        <f t="shared" si="54"/>
        <v>#DIV/0!</v>
      </c>
      <c r="AE94" s="167" t="e">
        <f t="shared" si="54"/>
        <v>#DIV/0!</v>
      </c>
      <c r="AF94" s="167" t="e">
        <f t="shared" si="54"/>
        <v>#DIV/0!</v>
      </c>
      <c r="AG94" s="167" t="e">
        <f t="shared" si="54"/>
        <v>#DIV/0!</v>
      </c>
      <c r="AH94" s="167" t="e">
        <f t="shared" si="54"/>
        <v>#DIV/0!</v>
      </c>
      <c r="AI94" s="167" t="e">
        <f t="shared" si="54"/>
        <v>#DIV/0!</v>
      </c>
      <c r="AJ94" s="167" t="e">
        <f t="shared" si="54"/>
        <v>#DIV/0!</v>
      </c>
      <c r="AK94" s="167" t="e">
        <f t="shared" si="54"/>
        <v>#DIV/0!</v>
      </c>
      <c r="AL94" s="167" t="e">
        <f t="shared" si="54"/>
        <v>#DIV/0!</v>
      </c>
      <c r="AM94" s="167" t="e">
        <f t="shared" si="54"/>
        <v>#DIV/0!</v>
      </c>
      <c r="AN94" s="167" t="e">
        <f t="shared" si="54"/>
        <v>#DIV/0!</v>
      </c>
      <c r="AO94" s="167" t="e">
        <f t="shared" si="54"/>
        <v>#DIV/0!</v>
      </c>
    </row>
    <row r="95" spans="2:41" x14ac:dyDescent="0.15">
      <c r="B95" s="504"/>
      <c r="C95" s="129" t="s">
        <v>954</v>
      </c>
      <c r="D95" s="94" cm="1">
        <f t="array" ref="D95">SUM(SUMIFS('caseload data'!E:E,'caseload data'!$D:$D,"SPO",'caseload data'!$A:$A,"Kent Surrey Sussex Region",'caseload data'!$B:$B,{"licence","community"}))</f>
        <v>0</v>
      </c>
      <c r="E95" s="94" cm="1">
        <f t="array" ref="E95">SUM(SUMIFS('caseload data'!F:F,'caseload data'!$D:$D,"SPO",'caseload data'!$A:$A,"Kent Surrey Sussex Region",'caseload data'!$B:$B,{"licence","community"}))</f>
        <v>0</v>
      </c>
      <c r="F95" s="94" cm="1">
        <f t="array" ref="F95">SUM(SUMIFS('caseload data'!G:G,'caseload data'!$D:$D,"SPO",'caseload data'!$A:$A,"Kent Surrey Sussex Region",'caseload data'!$B:$B,{"licence","community"}))</f>
        <v>0</v>
      </c>
      <c r="G95" s="94" cm="1">
        <f t="array" ref="G95">SUM(SUMIFS('caseload data'!H:H,'caseload data'!$D:$D,"SPO",'caseload data'!$A:$A,"Kent Surrey Sussex Region",'caseload data'!$B:$B,{"licence","community"}))</f>
        <v>0</v>
      </c>
      <c r="H95" s="94" cm="1">
        <f t="array" ref="H95">SUM(SUMIFS('caseload data'!I:I,'caseload data'!$D:$D,"SPO",'caseload data'!$A:$A,"Kent Surrey Sussex Region",'caseload data'!$B:$B,{"licence","community"}))</f>
        <v>0</v>
      </c>
      <c r="I95" s="94" cm="1">
        <f t="array" ref="I95">SUM(SUMIFS('caseload data'!J:J,'caseload data'!$D:$D,"SPO",'caseload data'!$A:$A,"Kent Surrey Sussex Region",'caseload data'!$B:$B,{"licence","community"}))</f>
        <v>0</v>
      </c>
      <c r="J95" s="94" cm="1">
        <f t="array" ref="J95">SUM(SUMIFS('caseload data'!K:K,'caseload data'!$D:$D,"SPO",'caseload data'!$A:$A,"Kent Surrey Sussex Region",'caseload data'!$B:$B,{"licence","community"}))</f>
        <v>0</v>
      </c>
      <c r="K95" s="94" cm="1">
        <f t="array" ref="K95">SUM(SUMIFS('caseload data'!L:L,'caseload data'!$D:$D,"SPO",'caseload data'!$A:$A,"Kent Surrey Sussex Region",'caseload data'!$B:$B,{"licence","community"}))</f>
        <v>0</v>
      </c>
      <c r="L95" s="94" cm="1">
        <f t="array" ref="L95">SUM(SUMIFS('caseload data'!M:M,'caseload data'!$D:$D,"SPO",'caseload data'!$A:$A,"Kent Surrey Sussex Region",'caseload data'!$B:$B,{"licence","community"}))</f>
        <v>0</v>
      </c>
      <c r="M95" s="94" cm="1">
        <f t="array" ref="M95">SUM(SUMIFS('caseload data'!N:N,'caseload data'!$D:$D,"SPO",'caseload data'!$A:$A,"Kent Surrey Sussex Region",'caseload data'!$B:$B,{"licence","community"}))</f>
        <v>0</v>
      </c>
      <c r="N95" s="94" cm="1">
        <f t="array" ref="N95">SUM(SUMIFS('caseload data'!O:O,'caseload data'!$D:$D,"SPO",'caseload data'!$A:$A,"Kent Surrey Sussex Region",'caseload data'!$B:$B,{"licence","community"}))</f>
        <v>0</v>
      </c>
      <c r="O95" s="94" cm="1">
        <f t="array" ref="O95">SUM(SUMIFS('caseload data'!P:P,'caseload data'!$D:$D,"SPO",'caseload data'!$A:$A,"Kent Surrey Sussex Region",'caseload data'!$B:$B,{"licence","community"}))</f>
        <v>0</v>
      </c>
      <c r="P95" s="94" cm="1">
        <f t="array" ref="P95">SUM(SUMIFS('caseload data'!Q:Q,'caseload data'!$D:$D,"SPO",'caseload data'!$A:$A,"Kent Surrey Sussex Region",'caseload data'!$B:$B,{"licence","community"}))</f>
        <v>0</v>
      </c>
      <c r="Q95" s="94" cm="1">
        <f t="array" ref="Q95">SUM(SUMIFS('caseload data'!R:R,'caseload data'!$D:$D,"SPO",'caseload data'!$A:$A,"Kent Surrey Sussex Region",'caseload data'!$B:$B,{"licence","community"}))</f>
        <v>0</v>
      </c>
      <c r="R95" s="94" cm="1">
        <f t="array" ref="R95">SUM(SUMIFS('caseload data'!S:S,'caseload data'!$D:$D,"SPO",'caseload data'!$A:$A,"Kent Surrey Sussex Region",'caseload data'!$B:$B,{"licence","community"}))</f>
        <v>0</v>
      </c>
      <c r="S95" s="94" cm="1">
        <f t="array" ref="S95">SUM(SUMIFS('caseload data'!T:T,'caseload data'!$D:$D,"SPO",'caseload data'!$A:$A,"Kent Surrey Sussex Region",'caseload data'!$B:$B,{"licence","community"}))</f>
        <v>0</v>
      </c>
      <c r="T95" s="94" cm="1">
        <f t="array" ref="T95">SUM(SUMIFS('caseload data'!V:V,'caseload data'!$D:$D,"SPO",'caseload data'!$A:$A,"Kent Surrey Sussex Region",'caseload data'!$B:$B,{"licence","community"}))</f>
        <v>0</v>
      </c>
      <c r="U95" s="64"/>
      <c r="V95" s="64"/>
      <c r="W95" s="504"/>
      <c r="X95" s="129" t="s">
        <v>954</v>
      </c>
      <c r="Y95" s="167" t="e">
        <f t="shared" si="55"/>
        <v>#DIV/0!</v>
      </c>
      <c r="Z95" s="167" t="e">
        <f t="shared" si="54"/>
        <v>#DIV/0!</v>
      </c>
      <c r="AA95" s="167" t="e">
        <f t="shared" si="54"/>
        <v>#DIV/0!</v>
      </c>
      <c r="AB95" s="167" t="e">
        <f t="shared" si="54"/>
        <v>#DIV/0!</v>
      </c>
      <c r="AC95" s="167" t="e">
        <f t="shared" si="54"/>
        <v>#DIV/0!</v>
      </c>
      <c r="AD95" s="167" t="e">
        <f t="shared" si="54"/>
        <v>#DIV/0!</v>
      </c>
      <c r="AE95" s="167" t="e">
        <f t="shared" si="54"/>
        <v>#DIV/0!</v>
      </c>
      <c r="AF95" s="167" t="e">
        <f t="shared" si="54"/>
        <v>#DIV/0!</v>
      </c>
      <c r="AG95" s="167" t="e">
        <f t="shared" si="54"/>
        <v>#DIV/0!</v>
      </c>
      <c r="AH95" s="167" t="e">
        <f t="shared" si="54"/>
        <v>#DIV/0!</v>
      </c>
      <c r="AI95" s="167" t="e">
        <f t="shared" si="54"/>
        <v>#DIV/0!</v>
      </c>
      <c r="AJ95" s="167" t="e">
        <f t="shared" si="54"/>
        <v>#DIV/0!</v>
      </c>
      <c r="AK95" s="167" t="e">
        <f t="shared" si="54"/>
        <v>#DIV/0!</v>
      </c>
      <c r="AL95" s="167" t="e">
        <f t="shared" si="54"/>
        <v>#DIV/0!</v>
      </c>
      <c r="AM95" s="167" t="e">
        <f t="shared" si="54"/>
        <v>#DIV/0!</v>
      </c>
      <c r="AN95" s="167" t="e">
        <f t="shared" si="54"/>
        <v>#DIV/0!</v>
      </c>
      <c r="AO95" s="167" t="e">
        <f t="shared" si="54"/>
        <v>#DIV/0!</v>
      </c>
    </row>
    <row r="96" spans="2:41" x14ac:dyDescent="0.15">
      <c r="B96" s="505"/>
      <c r="C96" s="130" t="s">
        <v>1286</v>
      </c>
      <c r="D96" s="94" cm="1">
        <f t="array" ref="D96">SUM(SUMIFS('caseload data'!E:E,'caseload data'!$D:$D,"DMY",'caseload data'!$A:$A,"Kent Surrey Sussex Region",'caseload data'!$B:$B,{"licence","community"}))</f>
        <v>0</v>
      </c>
      <c r="E96" s="94" cm="1">
        <f t="array" ref="E96">SUM(SUMIFS('caseload data'!F:F,'caseload data'!$D:$D,"DMY",'caseload data'!$A:$A,"Kent Surrey Sussex Region",'caseload data'!$B:$B,{"licence","community"}))</f>
        <v>0</v>
      </c>
      <c r="F96" s="94" cm="1">
        <f t="array" ref="F96">SUM(SUMIFS('caseload data'!G:G,'caseload data'!$D:$D,"DMY",'caseload data'!$A:$A,"Kent Surrey Sussex Region",'caseload data'!$B:$B,{"licence","community"}))</f>
        <v>0</v>
      </c>
      <c r="G96" s="94" cm="1">
        <f t="array" ref="G96">SUM(SUMIFS('caseload data'!H:H,'caseload data'!$D:$D,"DMY",'caseload data'!$A:$A,"Kent Surrey Sussex Region",'caseload data'!$B:$B,{"licence","community"}))</f>
        <v>0</v>
      </c>
      <c r="H96" s="94" cm="1">
        <f t="array" ref="H96">SUM(SUMIFS('caseload data'!I:I,'caseload data'!$D:$D,"DMY",'caseload data'!$A:$A,"Kent Surrey Sussex Region",'caseload data'!$B:$B,{"licence","community"}))</f>
        <v>0</v>
      </c>
      <c r="I96" s="94" cm="1">
        <f t="array" ref="I96">SUM(SUMIFS('caseload data'!J:J,'caseload data'!$D:$D,"DMY",'caseload data'!$A:$A,"Kent Surrey Sussex Region",'caseload data'!$B:$B,{"licence","community"}))</f>
        <v>0</v>
      </c>
      <c r="J96" s="94" cm="1">
        <f t="array" ref="J96">SUM(SUMIFS('caseload data'!K:K,'caseload data'!$D:$D,"DMY",'caseload data'!$A:$A,"Kent Surrey Sussex Region",'caseload data'!$B:$B,{"licence","community"}))</f>
        <v>0</v>
      </c>
      <c r="K96" s="94" cm="1">
        <f t="array" ref="K96">SUM(SUMIFS('caseload data'!L:L,'caseload data'!$D:$D,"DMY",'caseload data'!$A:$A,"Kent Surrey Sussex Region",'caseload data'!$B:$B,{"licence","community"}))</f>
        <v>0</v>
      </c>
      <c r="L96" s="94" cm="1">
        <f t="array" ref="L96">SUM(SUMIFS('caseload data'!M:M,'caseload data'!$D:$D,"DMY",'caseload data'!$A:$A,"Kent Surrey Sussex Region",'caseload data'!$B:$B,{"licence","community"}))</f>
        <v>0</v>
      </c>
      <c r="M96" s="94" cm="1">
        <f t="array" ref="M96">SUM(SUMIFS('caseload data'!N:N,'caseload data'!$D:$D,"DMY",'caseload data'!$A:$A,"Kent Surrey Sussex Region",'caseload data'!$B:$B,{"licence","community"}))</f>
        <v>0</v>
      </c>
      <c r="N96" s="94" cm="1">
        <f t="array" ref="N96">SUM(SUMIFS('caseload data'!O:O,'caseload data'!$D:$D,"DMY",'caseload data'!$A:$A,"Kent Surrey Sussex Region",'caseload data'!$B:$B,{"licence","community"}))</f>
        <v>0</v>
      </c>
      <c r="O96" s="94" cm="1">
        <f t="array" ref="O96">SUM(SUMIFS('caseload data'!P:P,'caseload data'!$D:$D,"DMY",'caseload data'!$A:$A,"Kent Surrey Sussex Region",'caseload data'!$B:$B,{"licence","community"}))</f>
        <v>0</v>
      </c>
      <c r="P96" s="94" cm="1">
        <f t="array" ref="P96">SUM(SUMIFS('caseload data'!Q:Q,'caseload data'!$D:$D,"DMY",'caseload data'!$A:$A,"Kent Surrey Sussex Region",'caseload data'!$B:$B,{"licence","community"}))</f>
        <v>0</v>
      </c>
      <c r="Q96" s="94" cm="1">
        <f t="array" ref="Q96">SUM(SUMIFS('caseload data'!R:R,'caseload data'!$D:$D,"DMY",'caseload data'!$A:$A,"Kent Surrey Sussex Region",'caseload data'!$B:$B,{"licence","community"}))</f>
        <v>0</v>
      </c>
      <c r="R96" s="94" cm="1">
        <f t="array" ref="R96">SUM(SUMIFS('caseload data'!S:S,'caseload data'!$D:$D,"DMY",'caseload data'!$A:$A,"Kent Surrey Sussex Region",'caseload data'!$B:$B,{"licence","community"}))</f>
        <v>0</v>
      </c>
      <c r="S96" s="94" cm="1">
        <f t="array" ref="S96">SUM(SUMIFS('caseload data'!T:T,'caseload data'!$D:$D,"DMY",'caseload data'!$A:$A,"Kent Surrey Sussex Region",'caseload data'!$B:$B,{"licence","community"}))</f>
        <v>0</v>
      </c>
      <c r="T96" s="94" cm="1">
        <f t="array" ref="T96">SUM(SUMIFS('caseload data'!V:V,'caseload data'!$D:$D,"DMY",'caseload data'!$A:$A,"Kent Surrey Sussex Region",'caseload data'!$B:$B,{"licence","community"}))</f>
        <v>0</v>
      </c>
      <c r="U96" s="64"/>
      <c r="V96" s="64"/>
      <c r="W96" s="505"/>
      <c r="X96" s="130" t="s">
        <v>1286</v>
      </c>
      <c r="Y96" s="167" t="e">
        <f t="shared" si="55"/>
        <v>#DIV/0!</v>
      </c>
      <c r="Z96" s="167" t="e">
        <f t="shared" si="54"/>
        <v>#DIV/0!</v>
      </c>
      <c r="AA96" s="167" t="e">
        <f t="shared" si="54"/>
        <v>#DIV/0!</v>
      </c>
      <c r="AB96" s="167" t="e">
        <f t="shared" si="54"/>
        <v>#DIV/0!</v>
      </c>
      <c r="AC96" s="167" t="e">
        <f t="shared" si="54"/>
        <v>#DIV/0!</v>
      </c>
      <c r="AD96" s="167" t="e">
        <f t="shared" si="54"/>
        <v>#DIV/0!</v>
      </c>
      <c r="AE96" s="167" t="e">
        <f t="shared" si="54"/>
        <v>#DIV/0!</v>
      </c>
      <c r="AF96" s="167" t="e">
        <f t="shared" si="54"/>
        <v>#DIV/0!</v>
      </c>
      <c r="AG96" s="167" t="e">
        <f t="shared" si="54"/>
        <v>#DIV/0!</v>
      </c>
      <c r="AH96" s="167" t="e">
        <f t="shared" si="54"/>
        <v>#DIV/0!</v>
      </c>
      <c r="AI96" s="167" t="e">
        <f t="shared" si="54"/>
        <v>#DIV/0!</v>
      </c>
      <c r="AJ96" s="167" t="e">
        <f t="shared" si="54"/>
        <v>#DIV/0!</v>
      </c>
      <c r="AK96" s="167" t="e">
        <f t="shared" si="54"/>
        <v>#DIV/0!</v>
      </c>
      <c r="AL96" s="167" t="e">
        <f t="shared" si="54"/>
        <v>#DIV/0!</v>
      </c>
      <c r="AM96" s="167" t="e">
        <f t="shared" si="54"/>
        <v>#DIV/0!</v>
      </c>
      <c r="AN96" s="167" t="e">
        <f t="shared" si="54"/>
        <v>#DIV/0!</v>
      </c>
      <c r="AO96" s="167" t="e">
        <f t="shared" si="54"/>
        <v>#DIV/0!</v>
      </c>
    </row>
    <row r="97" spans="2:41" x14ac:dyDescent="0.15">
      <c r="B97" s="503" t="s">
        <v>21</v>
      </c>
      <c r="C97" s="128" t="s">
        <v>947</v>
      </c>
      <c r="D97" s="94" cm="1">
        <f t="array" ref="D97">SUM(SUMIFS('caseload data'!E:E,'caseload data'!$D:$D,"PO",'caseload data'!$A:$A,_xlfn.SINGLE('national caseload'!$B$97:$B$99),'caseload data'!$B:$B,{"licence","community"}))</f>
        <v>0</v>
      </c>
      <c r="E97" s="94" cm="1">
        <f t="array" ref="E97">SUM(SUMIFS('caseload data'!F:F,'caseload data'!$D:$D,"PO",'caseload data'!$A:$A,_xlfn.SINGLE('national caseload'!$B$97:$B$99),'caseload data'!$B:$B,{"licence","community"}))</f>
        <v>0</v>
      </c>
      <c r="F97" s="94" cm="1">
        <f t="array" ref="F97">SUM(SUMIFS('caseload data'!G:G,'caseload data'!$D:$D,"PO",'caseload data'!$A:$A,_xlfn.SINGLE('national caseload'!$B$97:$B$99),'caseload data'!$B:$B,{"licence","community"}))</f>
        <v>0</v>
      </c>
      <c r="G97" s="94" cm="1">
        <f t="array" ref="G97">SUM(SUMIFS('caseload data'!H:H,'caseload data'!$D:$D,"PO",'caseload data'!$A:$A,_xlfn.SINGLE('national caseload'!$B$97:$B$99),'caseload data'!$B:$B,{"licence","community"}))</f>
        <v>0</v>
      </c>
      <c r="H97" s="94" cm="1">
        <f t="array" ref="H97">SUM(SUMIFS('caseload data'!I:I,'caseload data'!$D:$D,"PO",'caseload data'!$A:$A,_xlfn.SINGLE('national caseload'!$B$97:$B$99),'caseload data'!$B:$B,{"licence","community"}))</f>
        <v>0</v>
      </c>
      <c r="I97" s="94" cm="1">
        <f t="array" ref="I97">SUM(SUMIFS('caseload data'!J:J,'caseload data'!$D:$D,"PO",'caseload data'!$A:$A,_xlfn.SINGLE('national caseload'!$B$97:$B$99),'caseload data'!$B:$B,{"licence","community"}))</f>
        <v>0</v>
      </c>
      <c r="J97" s="94" cm="1">
        <f t="array" ref="J97">SUM(SUMIFS('caseload data'!K:K,'caseload data'!$D:$D,"PO",'caseload data'!$A:$A,_xlfn.SINGLE('national caseload'!$B$97:$B$99),'caseload data'!$B:$B,{"licence","community"}))</f>
        <v>0</v>
      </c>
      <c r="K97" s="94" cm="1">
        <f t="array" ref="K97">SUM(SUMIFS('caseload data'!L:L,'caseload data'!$D:$D,"PO",'caseload data'!$A:$A,_xlfn.SINGLE('national caseload'!$B$97:$B$99),'caseload data'!$B:$B,{"licence","community"}))</f>
        <v>0</v>
      </c>
      <c r="L97" s="94" cm="1">
        <f t="array" ref="L97">SUM(SUMIFS('caseload data'!M:M,'caseload data'!$D:$D,"PO",'caseload data'!$A:$A,_xlfn.SINGLE('national caseload'!$B$97:$B$99),'caseload data'!$B:$B,{"licence","community"}))</f>
        <v>0</v>
      </c>
      <c r="M97" s="94" cm="1">
        <f t="array" ref="M97">SUM(SUMIFS('caseload data'!N:N,'caseload data'!$D:$D,"PO",'caseload data'!$A:$A,_xlfn.SINGLE('national caseload'!$B$97:$B$99),'caseload data'!$B:$B,{"licence","community"}))</f>
        <v>0</v>
      </c>
      <c r="N97" s="94" cm="1">
        <f t="array" ref="N97">SUM(SUMIFS('caseload data'!O:O,'caseload data'!$D:$D,"PO",'caseload data'!$A:$A,_xlfn.SINGLE('national caseload'!$B$97:$B$99),'caseload data'!$B:$B,{"licence","community"}))</f>
        <v>0</v>
      </c>
      <c r="O97" s="94" cm="1">
        <f t="array" ref="O97">SUM(SUMIFS('caseload data'!P:P,'caseload data'!$D:$D,"PO",'caseload data'!$A:$A,_xlfn.SINGLE('national caseload'!$B$97:$B$99),'caseload data'!$B:$B,{"licence","community"}))</f>
        <v>0</v>
      </c>
      <c r="P97" s="94" cm="1">
        <f t="array" ref="P97">SUM(SUMIFS('caseload data'!Q:Q,'caseload data'!$D:$D,"PO",'caseload data'!$A:$A,_xlfn.SINGLE('national caseload'!$B$97:$B$99),'caseload data'!$B:$B,{"licence","community"}))</f>
        <v>0</v>
      </c>
      <c r="Q97" s="94" cm="1">
        <f t="array" ref="Q97">SUM(SUMIFS('caseload data'!R:R,'caseload data'!$D:$D,"PO",'caseload data'!$A:$A,_xlfn.SINGLE('national caseload'!$B$97:$B$99),'caseload data'!$B:$B,{"licence","community"}))</f>
        <v>0</v>
      </c>
      <c r="R97" s="94" cm="1">
        <f t="array" ref="R97">SUM(SUMIFS('caseload data'!S:S,'caseload data'!$D:$D,"PO",'caseload data'!$A:$A,_xlfn.SINGLE('national caseload'!$B$97:$B$99),'caseload data'!$B:$B,{"licence","community"}))</f>
        <v>0</v>
      </c>
      <c r="S97" s="94" cm="1">
        <f t="array" ref="S97">SUM(SUMIFS('caseload data'!T:T,'caseload data'!$D:$D,"PO",'caseload data'!$A:$A,_xlfn.SINGLE('national caseload'!$B$97:$B$99),'caseload data'!$B:$B,{"licence","community"}))</f>
        <v>0</v>
      </c>
      <c r="T97" s="94">
        <f>SUM(SUMIFS('caseload data'!V:V,'caseload data'!D:D,"PO",'caseload data'!A:A,'national caseload'!B97:B99,'caseload data'!B:B,{"licence","community"}))</f>
        <v>0</v>
      </c>
      <c r="U97" s="64"/>
      <c r="V97" s="64"/>
      <c r="W97" s="503" t="s">
        <v>21</v>
      </c>
      <c r="X97" s="128" t="s">
        <v>947</v>
      </c>
      <c r="Y97" s="167" t="e">
        <f>SUM(D97)/SUM(D$97:D$101)</f>
        <v>#DIV/0!</v>
      </c>
      <c r="Z97" s="167" t="e">
        <f t="shared" ref="Z97:AO101" si="56">SUM(E97)/SUM(E$97:E$101)</f>
        <v>#DIV/0!</v>
      </c>
      <c r="AA97" s="167" t="e">
        <f t="shared" si="56"/>
        <v>#DIV/0!</v>
      </c>
      <c r="AB97" s="167" t="e">
        <f t="shared" si="56"/>
        <v>#DIV/0!</v>
      </c>
      <c r="AC97" s="167" t="e">
        <f t="shared" si="56"/>
        <v>#DIV/0!</v>
      </c>
      <c r="AD97" s="167" t="e">
        <f t="shared" si="56"/>
        <v>#DIV/0!</v>
      </c>
      <c r="AE97" s="167" t="e">
        <f t="shared" si="56"/>
        <v>#DIV/0!</v>
      </c>
      <c r="AF97" s="167" t="e">
        <f t="shared" si="56"/>
        <v>#DIV/0!</v>
      </c>
      <c r="AG97" s="167" t="e">
        <f t="shared" si="56"/>
        <v>#DIV/0!</v>
      </c>
      <c r="AH97" s="167" t="e">
        <f t="shared" si="56"/>
        <v>#DIV/0!</v>
      </c>
      <c r="AI97" s="167" t="e">
        <f t="shared" si="56"/>
        <v>#DIV/0!</v>
      </c>
      <c r="AJ97" s="167" t="e">
        <f t="shared" si="56"/>
        <v>#DIV/0!</v>
      </c>
      <c r="AK97" s="167" t="e">
        <f t="shared" si="56"/>
        <v>#DIV/0!</v>
      </c>
      <c r="AL97" s="167" t="e">
        <f t="shared" si="56"/>
        <v>#DIV/0!</v>
      </c>
      <c r="AM97" s="167" t="e">
        <f t="shared" si="56"/>
        <v>#DIV/0!</v>
      </c>
      <c r="AN97" s="167" t="e">
        <f t="shared" si="56"/>
        <v>#DIV/0!</v>
      </c>
      <c r="AO97" s="167" t="e">
        <f t="shared" si="56"/>
        <v>#DIV/0!</v>
      </c>
    </row>
    <row r="98" spans="2:41" x14ac:dyDescent="0.15">
      <c r="B98" s="504"/>
      <c r="C98" s="129" t="s">
        <v>952</v>
      </c>
      <c r="D98" s="94" cm="1">
        <f t="array" ref="D98">SUM(SUMIFS('caseload data'!E:E,'caseload data'!$D:$D,"PSO",'caseload data'!$A:$A,"London",'caseload data'!$B:$B,{"licence","community"}))</f>
        <v>0</v>
      </c>
      <c r="E98" s="94" cm="1">
        <f t="array" ref="E98">SUM(SUMIFS('caseload data'!F:F,'caseload data'!$D:$D,"PSO",'caseload data'!$A:$A,"London",'caseload data'!$B:$B,{"licence","community"}))</f>
        <v>0</v>
      </c>
      <c r="F98" s="94" cm="1">
        <f t="array" ref="F98">SUM(SUMIFS('caseload data'!G:G,'caseload data'!$D:$D,"PSO",'caseload data'!$A:$A,"London",'caseload data'!$B:$B,{"licence","community"}))</f>
        <v>0</v>
      </c>
      <c r="G98" s="94" cm="1">
        <f t="array" ref="G98">SUM(SUMIFS('caseload data'!H:H,'caseload data'!$D:$D,"PSO",'caseload data'!$A:$A,"London",'caseload data'!$B:$B,{"licence","community"}))</f>
        <v>0</v>
      </c>
      <c r="H98" s="94" cm="1">
        <f t="array" ref="H98">SUM(SUMIFS('caseload data'!I:I,'caseload data'!$D:$D,"PSO",'caseload data'!$A:$A,"London",'caseload data'!$B:$B,{"licence","community"}))</f>
        <v>0</v>
      </c>
      <c r="I98" s="94" cm="1">
        <f t="array" ref="I98">SUM(SUMIFS('caseload data'!J:J,'caseload data'!$D:$D,"PSO",'caseload data'!$A:$A,"London",'caseload data'!$B:$B,{"licence","community"}))</f>
        <v>0</v>
      </c>
      <c r="J98" s="94" cm="1">
        <f t="array" ref="J98">SUM(SUMIFS('caseload data'!K:K,'caseload data'!$D:$D,"PSO",'caseload data'!$A:$A,"London",'caseload data'!$B:$B,{"licence","community"}))</f>
        <v>0</v>
      </c>
      <c r="K98" s="94" cm="1">
        <f t="array" ref="K98">SUM(SUMIFS('caseload data'!L:L,'caseload data'!$D:$D,"PSO",'caseload data'!$A:$A,"London",'caseload data'!$B:$B,{"licence","community"}))</f>
        <v>0</v>
      </c>
      <c r="L98" s="94" cm="1">
        <f t="array" ref="L98">SUM(SUMIFS('caseload data'!M:M,'caseload data'!$D:$D,"PSO",'caseload data'!$A:$A,"London",'caseload data'!$B:$B,{"licence","community"}))</f>
        <v>0</v>
      </c>
      <c r="M98" s="94" cm="1">
        <f t="array" ref="M98">SUM(SUMIFS('caseload data'!N:N,'caseload data'!$D:$D,"PSO",'caseload data'!$A:$A,"London",'caseload data'!$B:$B,{"licence","community"}))</f>
        <v>0</v>
      </c>
      <c r="N98" s="94" cm="1">
        <f t="array" ref="N98">SUM(SUMIFS('caseload data'!O:O,'caseload data'!$D:$D,"PSO",'caseload data'!$A:$A,"London",'caseload data'!$B:$B,{"licence","community"}))</f>
        <v>0</v>
      </c>
      <c r="O98" s="94" cm="1">
        <f t="array" ref="O98">SUM(SUMIFS('caseload data'!P:P,'caseload data'!$D:$D,"PSO",'caseload data'!$A:$A,"London",'caseload data'!$B:$B,{"licence","community"}))</f>
        <v>0</v>
      </c>
      <c r="P98" s="94" cm="1">
        <f t="array" ref="P98">SUM(SUMIFS('caseload data'!Q:Q,'caseload data'!$D:$D,"PSO",'caseload data'!$A:$A,"London",'caseload data'!$B:$B,{"licence","community"}))</f>
        <v>0</v>
      </c>
      <c r="Q98" s="94" cm="1">
        <f t="array" ref="Q98">SUM(SUMIFS('caseload data'!R:R,'caseload data'!$D:$D,"PSO",'caseload data'!$A:$A,"London",'caseload data'!$B:$B,{"licence","community"}))</f>
        <v>0</v>
      </c>
      <c r="R98" s="94" cm="1">
        <f t="array" ref="R98">SUM(SUMIFS('caseload data'!S:S,'caseload data'!$D:$D,"PSO",'caseload data'!$A:$A,"London",'caseload data'!$B:$B,{"licence","community"}))</f>
        <v>0</v>
      </c>
      <c r="S98" s="94" cm="1">
        <f t="array" ref="S98">SUM(SUMIFS('caseload data'!T:T,'caseload data'!$D:$D,"PSO",'caseload data'!$A:$A,"London",'caseload data'!$B:$B,{"licence","community"}))</f>
        <v>0</v>
      </c>
      <c r="T98" s="94" cm="1">
        <f t="array" ref="T98">SUM(SUMIFS('caseload data'!V:V,'caseload data'!D:D,"PSO",'caseload data'!A:A,"London",'caseload data'!B:B,{"licence","community"}))</f>
        <v>0</v>
      </c>
      <c r="U98" s="64"/>
      <c r="V98" s="64"/>
      <c r="W98" s="504"/>
      <c r="X98" s="129" t="s">
        <v>952</v>
      </c>
      <c r="Y98" s="167" t="e">
        <f t="shared" ref="Y98:Y101" si="57">SUM(D98)/SUM(D$97:D$101)</f>
        <v>#DIV/0!</v>
      </c>
      <c r="Z98" s="167" t="e">
        <f t="shared" si="56"/>
        <v>#DIV/0!</v>
      </c>
      <c r="AA98" s="167" t="e">
        <f t="shared" si="56"/>
        <v>#DIV/0!</v>
      </c>
      <c r="AB98" s="167" t="e">
        <f t="shared" si="56"/>
        <v>#DIV/0!</v>
      </c>
      <c r="AC98" s="167" t="e">
        <f t="shared" si="56"/>
        <v>#DIV/0!</v>
      </c>
      <c r="AD98" s="167" t="e">
        <f t="shared" si="56"/>
        <v>#DIV/0!</v>
      </c>
      <c r="AE98" s="167" t="e">
        <f t="shared" si="56"/>
        <v>#DIV/0!</v>
      </c>
      <c r="AF98" s="167" t="e">
        <f t="shared" si="56"/>
        <v>#DIV/0!</v>
      </c>
      <c r="AG98" s="167" t="e">
        <f t="shared" si="56"/>
        <v>#DIV/0!</v>
      </c>
      <c r="AH98" s="167" t="e">
        <f t="shared" si="56"/>
        <v>#DIV/0!</v>
      </c>
      <c r="AI98" s="167" t="e">
        <f t="shared" si="56"/>
        <v>#DIV/0!</v>
      </c>
      <c r="AJ98" s="167" t="e">
        <f t="shared" si="56"/>
        <v>#DIV/0!</v>
      </c>
      <c r="AK98" s="167" t="e">
        <f t="shared" si="56"/>
        <v>#DIV/0!</v>
      </c>
      <c r="AL98" s="167" t="e">
        <f t="shared" si="56"/>
        <v>#DIV/0!</v>
      </c>
      <c r="AM98" s="167" t="e">
        <f t="shared" si="56"/>
        <v>#DIV/0!</v>
      </c>
      <c r="AN98" s="167" t="e">
        <f t="shared" si="56"/>
        <v>#DIV/0!</v>
      </c>
      <c r="AO98" s="167" t="e">
        <f t="shared" si="56"/>
        <v>#DIV/0!</v>
      </c>
    </row>
    <row r="99" spans="2:41" x14ac:dyDescent="0.15">
      <c r="B99" s="504"/>
      <c r="C99" s="129" t="s">
        <v>953</v>
      </c>
      <c r="D99" s="94" cm="1">
        <f t="array" ref="D99">SUM(SUMIFS('caseload data'!E:E,'caseload data'!$D:$D,"TPO",'caseload data'!$A:$A,"London",'caseload data'!$B:$B,{"licence","community"}))</f>
        <v>0</v>
      </c>
      <c r="E99" s="94" cm="1">
        <f t="array" ref="E99">SUM(SUMIFS('caseload data'!F:F,'caseload data'!$D:$D,"TPO",'caseload data'!$A:$A,"London",'caseload data'!$B:$B,{"licence","community"}))</f>
        <v>0</v>
      </c>
      <c r="F99" s="94" cm="1">
        <f t="array" ref="F99">SUM(SUMIFS('caseload data'!G:G,'caseload data'!$D:$D,"TPO",'caseload data'!$A:$A,"London",'caseload data'!$B:$B,{"licence","community"}))</f>
        <v>0</v>
      </c>
      <c r="G99" s="94" cm="1">
        <f t="array" ref="G99">SUM(SUMIFS('caseload data'!H:H,'caseload data'!$D:$D,"TPO",'caseload data'!$A:$A,"London",'caseload data'!$B:$B,{"licence","community"}))</f>
        <v>0</v>
      </c>
      <c r="H99" s="94" cm="1">
        <f t="array" ref="H99">SUM(SUMIFS('caseload data'!I:I,'caseload data'!$D:$D,"TPO",'caseload data'!$A:$A,"London",'caseload data'!$B:$B,{"licence","community"}))</f>
        <v>0</v>
      </c>
      <c r="I99" s="94" cm="1">
        <f t="array" ref="I99">SUM(SUMIFS('caseload data'!J:J,'caseload data'!$D:$D,"TPO",'caseload data'!$A:$A,"London",'caseload data'!$B:$B,{"licence","community"}))</f>
        <v>0</v>
      </c>
      <c r="J99" s="94" cm="1">
        <f t="array" ref="J99">SUM(SUMIFS('caseload data'!K:K,'caseload data'!$D:$D,"TPO",'caseload data'!$A:$A,"London",'caseload data'!$B:$B,{"licence","community"}))</f>
        <v>0</v>
      </c>
      <c r="K99" s="94" cm="1">
        <f t="array" ref="K99">SUM(SUMIFS('caseload data'!L:L,'caseload data'!$D:$D,"TPO",'caseload data'!$A:$A,"London",'caseload data'!$B:$B,{"licence","community"}))</f>
        <v>0</v>
      </c>
      <c r="L99" s="94" cm="1">
        <f t="array" ref="L99">SUM(SUMIFS('caseload data'!M:M,'caseload data'!$D:$D,"TPO",'caseload data'!$A:$A,"London",'caseload data'!$B:$B,{"licence","community"}))</f>
        <v>0</v>
      </c>
      <c r="M99" s="94" cm="1">
        <f t="array" ref="M99">SUM(SUMIFS('caseload data'!N:N,'caseload data'!$D:$D,"TPO",'caseload data'!$A:$A,"London",'caseload data'!$B:$B,{"licence","community"}))</f>
        <v>0</v>
      </c>
      <c r="N99" s="94" cm="1">
        <f t="array" ref="N99">SUM(SUMIFS('caseload data'!O:O,'caseload data'!$D:$D,"TPO",'caseload data'!$A:$A,"London",'caseload data'!$B:$B,{"licence","community"}))</f>
        <v>0</v>
      </c>
      <c r="O99" s="94" cm="1">
        <f t="array" ref="O99">SUM(SUMIFS('caseload data'!P:P,'caseload data'!$D:$D,"TPO",'caseload data'!$A:$A,"London",'caseload data'!$B:$B,{"licence","community"}))</f>
        <v>0</v>
      </c>
      <c r="P99" s="94" cm="1">
        <f t="array" ref="P99">SUM(SUMIFS('caseload data'!Q:Q,'caseload data'!$D:$D,"TPO",'caseload data'!$A:$A,"London",'caseload data'!$B:$B,{"licence","community"}))</f>
        <v>0</v>
      </c>
      <c r="Q99" s="94" cm="1">
        <f t="array" ref="Q99">SUM(SUMIFS('caseload data'!R:R,'caseload data'!$D:$D,"TPO",'caseload data'!$A:$A,"London",'caseload data'!$B:$B,{"licence","community"}))</f>
        <v>0</v>
      </c>
      <c r="R99" s="94" cm="1">
        <f t="array" ref="R99">SUM(SUMIFS('caseload data'!S:S,'caseload data'!$D:$D,"TPO",'caseload data'!$A:$A,"London",'caseload data'!$B:$B,{"licence","community"}))</f>
        <v>0</v>
      </c>
      <c r="S99" s="94" cm="1">
        <f t="array" ref="S99">SUM(SUMIFS('caseload data'!T:T,'caseload data'!$D:$D,"TPO",'caseload data'!$A:$A,"London",'caseload data'!$B:$B,{"licence","community"}))</f>
        <v>0</v>
      </c>
      <c r="T99" s="94" cm="1">
        <f t="array" ref="T99">SUM(SUMIFS('caseload data'!V:V,'caseload data'!D:D,"TPO",'caseload data'!A:A,"London",'caseload data'!B:B,{"licence","community"}))</f>
        <v>0</v>
      </c>
      <c r="U99" s="64"/>
      <c r="V99" s="64"/>
      <c r="W99" s="504"/>
      <c r="X99" s="129" t="s">
        <v>953</v>
      </c>
      <c r="Y99" s="167" t="e">
        <f t="shared" si="57"/>
        <v>#DIV/0!</v>
      </c>
      <c r="Z99" s="167" t="e">
        <f t="shared" si="56"/>
        <v>#DIV/0!</v>
      </c>
      <c r="AA99" s="167" t="e">
        <f t="shared" si="56"/>
        <v>#DIV/0!</v>
      </c>
      <c r="AB99" s="167" t="e">
        <f t="shared" si="56"/>
        <v>#DIV/0!</v>
      </c>
      <c r="AC99" s="167" t="e">
        <f t="shared" si="56"/>
        <v>#DIV/0!</v>
      </c>
      <c r="AD99" s="167" t="e">
        <f t="shared" si="56"/>
        <v>#DIV/0!</v>
      </c>
      <c r="AE99" s="167" t="e">
        <f t="shared" si="56"/>
        <v>#DIV/0!</v>
      </c>
      <c r="AF99" s="167" t="e">
        <f t="shared" si="56"/>
        <v>#DIV/0!</v>
      </c>
      <c r="AG99" s="167" t="e">
        <f t="shared" si="56"/>
        <v>#DIV/0!</v>
      </c>
      <c r="AH99" s="167" t="e">
        <f t="shared" si="56"/>
        <v>#DIV/0!</v>
      </c>
      <c r="AI99" s="167" t="e">
        <f t="shared" si="56"/>
        <v>#DIV/0!</v>
      </c>
      <c r="AJ99" s="167" t="e">
        <f t="shared" si="56"/>
        <v>#DIV/0!</v>
      </c>
      <c r="AK99" s="167" t="e">
        <f t="shared" si="56"/>
        <v>#DIV/0!</v>
      </c>
      <c r="AL99" s="167" t="e">
        <f t="shared" si="56"/>
        <v>#DIV/0!</v>
      </c>
      <c r="AM99" s="167" t="e">
        <f t="shared" si="56"/>
        <v>#DIV/0!</v>
      </c>
      <c r="AN99" s="167" t="e">
        <f t="shared" si="56"/>
        <v>#DIV/0!</v>
      </c>
      <c r="AO99" s="167" t="e">
        <f t="shared" si="56"/>
        <v>#DIV/0!</v>
      </c>
    </row>
    <row r="100" spans="2:41" x14ac:dyDescent="0.15">
      <c r="B100" s="504"/>
      <c r="C100" s="129" t="s">
        <v>954</v>
      </c>
      <c r="D100" s="94" cm="1">
        <f t="array" ref="D100">SUM(SUMIFS('caseload data'!E:E,'caseload data'!$D:$D,"SPO",'caseload data'!$A:$A,"London",'caseload data'!$B:$B,{"licence","community"}))</f>
        <v>0</v>
      </c>
      <c r="E100" s="94" cm="1">
        <f t="array" ref="E100">SUM(SUMIFS('caseload data'!F:F,'caseload data'!$D:$D,"SPO",'caseload data'!$A:$A,"London",'caseload data'!$B:$B,{"licence","community"}))</f>
        <v>0</v>
      </c>
      <c r="F100" s="94" cm="1">
        <f t="array" ref="F100">SUM(SUMIFS('caseload data'!G:G,'caseload data'!$D:$D,"SPO",'caseload data'!$A:$A,"London",'caseload data'!$B:$B,{"licence","community"}))</f>
        <v>0</v>
      </c>
      <c r="G100" s="94" cm="1">
        <f t="array" ref="G100">SUM(SUMIFS('caseload data'!H:H,'caseload data'!$D:$D,"SPO",'caseload data'!$A:$A,"London",'caseload data'!$B:$B,{"licence","community"}))</f>
        <v>0</v>
      </c>
      <c r="H100" s="94" cm="1">
        <f t="array" ref="H100">SUM(SUMIFS('caseload data'!I:I,'caseload data'!$D:$D,"SPO",'caseload data'!$A:$A,"London",'caseload data'!$B:$B,{"licence","community"}))</f>
        <v>0</v>
      </c>
      <c r="I100" s="94" cm="1">
        <f t="array" ref="I100">SUM(SUMIFS('caseload data'!J:J,'caseload data'!$D:$D,"SPO",'caseload data'!$A:$A,"London",'caseload data'!$B:$B,{"licence","community"}))</f>
        <v>0</v>
      </c>
      <c r="J100" s="94" cm="1">
        <f t="array" ref="J100">SUM(SUMIFS('caseload data'!K:K,'caseload data'!$D:$D,"SPO",'caseload data'!$A:$A,"London",'caseload data'!$B:$B,{"licence","community"}))</f>
        <v>0</v>
      </c>
      <c r="K100" s="94" cm="1">
        <f t="array" ref="K100">SUM(SUMIFS('caseload data'!L:L,'caseload data'!$D:$D,"SPO",'caseload data'!$A:$A,"London",'caseload data'!$B:$B,{"licence","community"}))</f>
        <v>0</v>
      </c>
      <c r="L100" s="94" cm="1">
        <f t="array" ref="L100">SUM(SUMIFS('caseload data'!M:M,'caseload data'!$D:$D,"SPO",'caseload data'!$A:$A,"London",'caseload data'!$B:$B,{"licence","community"}))</f>
        <v>0</v>
      </c>
      <c r="M100" s="94" cm="1">
        <f t="array" ref="M100">SUM(SUMIFS('caseload data'!N:N,'caseload data'!$D:$D,"SPO",'caseload data'!$A:$A,"London",'caseload data'!$B:$B,{"licence","community"}))</f>
        <v>0</v>
      </c>
      <c r="N100" s="94" cm="1">
        <f t="array" ref="N100">SUM(SUMIFS('caseload data'!O:O,'caseload data'!$D:$D,"SPO",'caseload data'!$A:$A,"London",'caseload data'!$B:$B,{"licence","community"}))</f>
        <v>0</v>
      </c>
      <c r="O100" s="94" cm="1">
        <f t="array" ref="O100">SUM(SUMIFS('caseload data'!P:P,'caseload data'!$D:$D,"SPO",'caseload data'!$A:$A,"London",'caseload data'!$B:$B,{"licence","community"}))</f>
        <v>0</v>
      </c>
      <c r="P100" s="94" cm="1">
        <f t="array" ref="P100">SUM(SUMIFS('caseload data'!Q:Q,'caseload data'!$D:$D,"SPO",'caseload data'!$A:$A,"London",'caseload data'!$B:$B,{"licence","community"}))</f>
        <v>0</v>
      </c>
      <c r="Q100" s="94" cm="1">
        <f t="array" ref="Q100">SUM(SUMIFS('caseload data'!R:R,'caseload data'!$D:$D,"SPO",'caseload data'!$A:$A,"London",'caseload data'!$B:$B,{"licence","community"}))</f>
        <v>0</v>
      </c>
      <c r="R100" s="94" cm="1">
        <f t="array" ref="R100">SUM(SUMIFS('caseload data'!S:S,'caseload data'!$D:$D,"SPO",'caseload data'!$A:$A,"London",'caseload data'!$B:$B,{"licence","community"}))</f>
        <v>0</v>
      </c>
      <c r="S100" s="94" cm="1">
        <f t="array" ref="S100">SUM(SUMIFS('caseload data'!T:T,'caseload data'!$D:$D,"SPO",'caseload data'!$A:$A,"London",'caseload data'!$B:$B,{"licence","community"}))</f>
        <v>0</v>
      </c>
      <c r="T100" s="94" cm="1">
        <f t="array" ref="T100">SUM(SUMIFS('caseload data'!V:V,'caseload data'!$D:$D,"SPO",'caseload data'!$A:$A,"London",'caseload data'!$B:$B,{"licence","community"}))</f>
        <v>0</v>
      </c>
      <c r="U100" s="64"/>
      <c r="V100" s="64"/>
      <c r="W100" s="504"/>
      <c r="X100" s="129" t="s">
        <v>954</v>
      </c>
      <c r="Y100" s="167" t="e">
        <f t="shared" si="57"/>
        <v>#DIV/0!</v>
      </c>
      <c r="Z100" s="167" t="e">
        <f t="shared" si="56"/>
        <v>#DIV/0!</v>
      </c>
      <c r="AA100" s="167" t="e">
        <f t="shared" si="56"/>
        <v>#DIV/0!</v>
      </c>
      <c r="AB100" s="167" t="e">
        <f t="shared" si="56"/>
        <v>#DIV/0!</v>
      </c>
      <c r="AC100" s="167" t="e">
        <f t="shared" si="56"/>
        <v>#DIV/0!</v>
      </c>
      <c r="AD100" s="167" t="e">
        <f t="shared" si="56"/>
        <v>#DIV/0!</v>
      </c>
      <c r="AE100" s="167" t="e">
        <f t="shared" si="56"/>
        <v>#DIV/0!</v>
      </c>
      <c r="AF100" s="167" t="e">
        <f t="shared" si="56"/>
        <v>#DIV/0!</v>
      </c>
      <c r="AG100" s="167" t="e">
        <f t="shared" si="56"/>
        <v>#DIV/0!</v>
      </c>
      <c r="AH100" s="167" t="e">
        <f t="shared" si="56"/>
        <v>#DIV/0!</v>
      </c>
      <c r="AI100" s="167" t="e">
        <f t="shared" si="56"/>
        <v>#DIV/0!</v>
      </c>
      <c r="AJ100" s="167" t="e">
        <f t="shared" si="56"/>
        <v>#DIV/0!</v>
      </c>
      <c r="AK100" s="167" t="e">
        <f t="shared" si="56"/>
        <v>#DIV/0!</v>
      </c>
      <c r="AL100" s="167" t="e">
        <f t="shared" si="56"/>
        <v>#DIV/0!</v>
      </c>
      <c r="AM100" s="167" t="e">
        <f t="shared" si="56"/>
        <v>#DIV/0!</v>
      </c>
      <c r="AN100" s="167" t="e">
        <f t="shared" si="56"/>
        <v>#DIV/0!</v>
      </c>
      <c r="AO100" s="167" t="e">
        <f t="shared" si="56"/>
        <v>#DIV/0!</v>
      </c>
    </row>
    <row r="101" spans="2:41" x14ac:dyDescent="0.15">
      <c r="B101" s="505"/>
      <c r="C101" s="130" t="s">
        <v>1286</v>
      </c>
      <c r="D101" s="94" cm="1">
        <f t="array" ref="D101">SUM(SUMIFS('caseload data'!E:E,'caseload data'!$D:$D,"DMY",'caseload data'!$A:$A,"London",'caseload data'!$B:$B,{"licence","community"}))</f>
        <v>0</v>
      </c>
      <c r="E101" s="94" cm="1">
        <f t="array" ref="E101">SUM(SUMIFS('caseload data'!F:F,'caseload data'!$D:$D,"DMY",'caseload data'!$A:$A,"London",'caseload data'!$B:$B,{"licence","community"}))</f>
        <v>0</v>
      </c>
      <c r="F101" s="94" cm="1">
        <f t="array" ref="F101">SUM(SUMIFS('caseload data'!G:G,'caseload data'!$D:$D,"DMY",'caseload data'!$A:$A,"London",'caseload data'!$B:$B,{"licence","community"}))</f>
        <v>0</v>
      </c>
      <c r="G101" s="94" cm="1">
        <f t="array" ref="G101">SUM(SUMIFS('caseload data'!H:H,'caseload data'!$D:$D,"DMY",'caseload data'!$A:$A,"London",'caseload data'!$B:$B,{"licence","community"}))</f>
        <v>0</v>
      </c>
      <c r="H101" s="94" cm="1">
        <f t="array" ref="H101">SUM(SUMIFS('caseload data'!I:I,'caseload data'!$D:$D,"DMY",'caseload data'!$A:$A,"London",'caseload data'!$B:$B,{"licence","community"}))</f>
        <v>0</v>
      </c>
      <c r="I101" s="94" cm="1">
        <f t="array" ref="I101">SUM(SUMIFS('caseload data'!J:J,'caseload data'!$D:$D,"DMY",'caseload data'!$A:$A,"London",'caseload data'!$B:$B,{"licence","community"}))</f>
        <v>0</v>
      </c>
      <c r="J101" s="94" cm="1">
        <f t="array" ref="J101">SUM(SUMIFS('caseload data'!K:K,'caseload data'!$D:$D,"DMY",'caseload data'!$A:$A,"London",'caseload data'!$B:$B,{"licence","community"}))</f>
        <v>0</v>
      </c>
      <c r="K101" s="94" cm="1">
        <f t="array" ref="K101">SUM(SUMIFS('caseload data'!L:L,'caseload data'!$D:$D,"DMY",'caseload data'!$A:$A,"London",'caseload data'!$B:$B,{"licence","community"}))</f>
        <v>0</v>
      </c>
      <c r="L101" s="94" cm="1">
        <f t="array" ref="L101">SUM(SUMIFS('caseload data'!M:M,'caseload data'!$D:$D,"DMY",'caseload data'!$A:$A,"London",'caseload data'!$B:$B,{"licence","community"}))</f>
        <v>0</v>
      </c>
      <c r="M101" s="94" cm="1">
        <f t="array" ref="M101">SUM(SUMIFS('caseload data'!N:N,'caseload data'!$D:$D,"DMY",'caseload data'!$A:$A,"London",'caseload data'!$B:$B,{"licence","community"}))</f>
        <v>0</v>
      </c>
      <c r="N101" s="94" cm="1">
        <f t="array" ref="N101">SUM(SUMIFS('caseload data'!O:O,'caseload data'!$D:$D,"DMY",'caseload data'!$A:$A,"London",'caseload data'!$B:$B,{"licence","community"}))</f>
        <v>0</v>
      </c>
      <c r="O101" s="94" cm="1">
        <f t="array" ref="O101">SUM(SUMIFS('caseload data'!P:P,'caseload data'!$D:$D,"DMY",'caseload data'!$A:$A,"London",'caseload data'!$B:$B,{"licence","community"}))</f>
        <v>0</v>
      </c>
      <c r="P101" s="94" cm="1">
        <f t="array" ref="P101">SUM(SUMIFS('caseload data'!Q:Q,'caseload data'!$D:$D,"DMY",'caseload data'!$A:$A,"London",'caseload data'!$B:$B,{"licence","community"}))</f>
        <v>0</v>
      </c>
      <c r="Q101" s="94" cm="1">
        <f t="array" ref="Q101">SUM(SUMIFS('caseload data'!R:R,'caseload data'!$D:$D,"DMY",'caseload data'!$A:$A,"London",'caseload data'!$B:$B,{"licence","community"}))</f>
        <v>0</v>
      </c>
      <c r="R101" s="94" cm="1">
        <f t="array" ref="R101">SUM(SUMIFS('caseload data'!S:S,'caseload data'!$D:$D,"DMY",'caseload data'!$A:$A,"London",'caseload data'!$B:$B,{"licence","community"}))</f>
        <v>0</v>
      </c>
      <c r="S101" s="94" cm="1">
        <f t="array" ref="S101">SUM(SUMIFS('caseload data'!T:T,'caseload data'!$D:$D,"DMY",'caseload data'!$A:$A,"London",'caseload data'!$B:$B,{"licence","community"}))</f>
        <v>0</v>
      </c>
      <c r="T101" s="94" cm="1">
        <f t="array" ref="T101">SUM(SUMIFS('caseload data'!V:V,'caseload data'!$D:$D,"DMY",'caseload data'!$A:$A,"London",'caseload data'!$B:$B,{"licence","community"}))</f>
        <v>0</v>
      </c>
      <c r="U101" s="64"/>
      <c r="V101" s="64"/>
      <c r="W101" s="505"/>
      <c r="X101" s="130" t="s">
        <v>1286</v>
      </c>
      <c r="Y101" s="167" t="e">
        <f t="shared" si="57"/>
        <v>#DIV/0!</v>
      </c>
      <c r="Z101" s="167" t="e">
        <f t="shared" si="56"/>
        <v>#DIV/0!</v>
      </c>
      <c r="AA101" s="167" t="e">
        <f t="shared" si="56"/>
        <v>#DIV/0!</v>
      </c>
      <c r="AB101" s="167" t="e">
        <f t="shared" si="56"/>
        <v>#DIV/0!</v>
      </c>
      <c r="AC101" s="167" t="e">
        <f t="shared" si="56"/>
        <v>#DIV/0!</v>
      </c>
      <c r="AD101" s="167" t="e">
        <f t="shared" si="56"/>
        <v>#DIV/0!</v>
      </c>
      <c r="AE101" s="167" t="e">
        <f t="shared" si="56"/>
        <v>#DIV/0!</v>
      </c>
      <c r="AF101" s="167" t="e">
        <f t="shared" si="56"/>
        <v>#DIV/0!</v>
      </c>
      <c r="AG101" s="167" t="e">
        <f t="shared" si="56"/>
        <v>#DIV/0!</v>
      </c>
      <c r="AH101" s="167" t="e">
        <f t="shared" si="56"/>
        <v>#DIV/0!</v>
      </c>
      <c r="AI101" s="167" t="e">
        <f t="shared" si="56"/>
        <v>#DIV/0!</v>
      </c>
      <c r="AJ101" s="167" t="e">
        <f t="shared" si="56"/>
        <v>#DIV/0!</v>
      </c>
      <c r="AK101" s="167" t="e">
        <f t="shared" si="56"/>
        <v>#DIV/0!</v>
      </c>
      <c r="AL101" s="167" t="e">
        <f t="shared" si="56"/>
        <v>#DIV/0!</v>
      </c>
      <c r="AM101" s="167" t="e">
        <f t="shared" si="56"/>
        <v>#DIV/0!</v>
      </c>
      <c r="AN101" s="167" t="e">
        <f t="shared" si="56"/>
        <v>#DIV/0!</v>
      </c>
      <c r="AO101" s="167" t="e">
        <f t="shared" si="56"/>
        <v>#DIV/0!</v>
      </c>
    </row>
    <row r="102" spans="2:41" x14ac:dyDescent="0.15">
      <c r="B102" s="503" t="s">
        <v>22</v>
      </c>
      <c r="C102" s="128" t="s">
        <v>947</v>
      </c>
      <c r="D102" s="94" cm="1">
        <f t="array" ref="D102">SUM(SUMIFS('caseload data'!E:E,'caseload data'!$D:$D,"PO",'caseload data'!$A:$A,$B$102,'caseload data'!$B:$B,{"licence","community"}))</f>
        <v>0</v>
      </c>
      <c r="E102" s="94" cm="1">
        <f t="array" ref="E102">SUM(SUMIFS('caseload data'!F:F,'caseload data'!$D:$D,"PO",'caseload data'!$A:$A,$B$102,'caseload data'!$B:$B,{"licence","community"}))</f>
        <v>0</v>
      </c>
      <c r="F102" s="94" cm="1">
        <f t="array" ref="F102">SUM(SUMIFS('caseload data'!G:G,'caseload data'!$D:$D,"PO",'caseload data'!$A:$A,$B$102,'caseload data'!$B:$B,{"licence","community"}))</f>
        <v>0</v>
      </c>
      <c r="G102" s="94" cm="1">
        <f t="array" ref="G102">SUM(SUMIFS('caseload data'!H:H,'caseload data'!$D:$D,"PO",'caseload data'!$A:$A,$B$102,'caseload data'!$B:$B,{"licence","community"}))</f>
        <v>0</v>
      </c>
      <c r="H102" s="94" cm="1">
        <f t="array" ref="H102">SUM(SUMIFS('caseload data'!I:I,'caseload data'!$D:$D,"PO",'caseload data'!$A:$A,$B$102,'caseload data'!$B:$B,{"licence","community"}))</f>
        <v>0</v>
      </c>
      <c r="I102" s="94" cm="1">
        <f t="array" ref="I102">SUM(SUMIFS('caseload data'!J:J,'caseload data'!$D:$D,"PO",'caseload data'!$A:$A,$B$102,'caseload data'!$B:$B,{"licence","community"}))</f>
        <v>0</v>
      </c>
      <c r="J102" s="94" cm="1">
        <f t="array" ref="J102">SUM(SUMIFS('caseload data'!K:K,'caseload data'!$D:$D,"PO",'caseload data'!$A:$A,$B$102,'caseload data'!$B:$B,{"licence","community"}))</f>
        <v>0</v>
      </c>
      <c r="K102" s="94" cm="1">
        <f t="array" ref="K102">SUM(SUMIFS('caseload data'!L:L,'caseload data'!$D:$D,"PO",'caseload data'!$A:$A,$B$102,'caseload data'!$B:$B,{"licence","community"}))</f>
        <v>0</v>
      </c>
      <c r="L102" s="94" cm="1">
        <f t="array" ref="L102">SUM(SUMIFS('caseload data'!M:M,'caseload data'!$D:$D,"PO",'caseload data'!$A:$A,$B$102,'caseload data'!$B:$B,{"licence","community"}))</f>
        <v>0</v>
      </c>
      <c r="M102" s="94" cm="1">
        <f t="array" ref="M102">SUM(SUMIFS('caseload data'!N:N,'caseload data'!$D:$D,"PO",'caseload data'!$A:$A,$B$102,'caseload data'!$B:$B,{"licence","community"}))</f>
        <v>0</v>
      </c>
      <c r="N102" s="94" cm="1">
        <f t="array" ref="N102">SUM(SUMIFS('caseload data'!O:O,'caseload data'!$D:$D,"PO",'caseload data'!$A:$A,$B$102,'caseload data'!$B:$B,{"licence","community"}))</f>
        <v>0</v>
      </c>
      <c r="O102" s="94" cm="1">
        <f t="array" ref="O102">SUM(SUMIFS('caseload data'!P:P,'caseload data'!$D:$D,"PO",'caseload data'!$A:$A,$B$102,'caseload data'!$B:$B,{"licence","community"}))</f>
        <v>0</v>
      </c>
      <c r="P102" s="94" cm="1">
        <f t="array" ref="P102">SUM(SUMIFS('caseload data'!Q:Q,'caseload data'!$D:$D,"PO",'caseload data'!$A:$A,$B$102,'caseload data'!$B:$B,{"licence","community"}))</f>
        <v>0</v>
      </c>
      <c r="Q102" s="94" cm="1">
        <f t="array" ref="Q102">SUM(SUMIFS('caseload data'!R:R,'caseload data'!$D:$D,"PO",'caseload data'!$A:$A,$B$102,'caseload data'!$B:$B,{"licence","community"}))</f>
        <v>0</v>
      </c>
      <c r="R102" s="94" cm="1">
        <f t="array" ref="R102">SUM(SUMIFS('caseload data'!S:S,'caseload data'!$D:$D,"PO",'caseload data'!$A:$A,$B$102,'caseload data'!$B:$B,{"licence","community"}))</f>
        <v>0</v>
      </c>
      <c r="S102" s="94" cm="1">
        <f t="array" ref="S102">SUM(SUMIFS('caseload data'!T:T,'caseload data'!$D:$D,"PO",'caseload data'!$A:$A,$B$102,'caseload data'!$B:$B,{"licence","community"}))</f>
        <v>0</v>
      </c>
      <c r="T102" s="94">
        <f>SUM(SUMIFS('caseload data'!V:V,'caseload data'!D:D,"PO",'caseload data'!A:A,B102,'caseload data'!B:B,{"licence","community"}))</f>
        <v>0</v>
      </c>
      <c r="U102" s="64"/>
      <c r="V102" s="64"/>
      <c r="W102" s="503" t="s">
        <v>22</v>
      </c>
      <c r="X102" s="128" t="s">
        <v>947</v>
      </c>
      <c r="Y102" s="167" t="e">
        <f>SUM(D102)/SUM(D$102:D$106)</f>
        <v>#DIV/0!</v>
      </c>
      <c r="Z102" s="167" t="e">
        <f t="shared" ref="Z102:AO106" si="58">SUM(E102)/SUM(E$102:E$106)</f>
        <v>#DIV/0!</v>
      </c>
      <c r="AA102" s="167" t="e">
        <f t="shared" si="58"/>
        <v>#DIV/0!</v>
      </c>
      <c r="AB102" s="167" t="e">
        <f t="shared" si="58"/>
        <v>#DIV/0!</v>
      </c>
      <c r="AC102" s="167" t="e">
        <f t="shared" si="58"/>
        <v>#DIV/0!</v>
      </c>
      <c r="AD102" s="167" t="e">
        <f t="shared" si="58"/>
        <v>#DIV/0!</v>
      </c>
      <c r="AE102" s="167" t="e">
        <f t="shared" si="58"/>
        <v>#DIV/0!</v>
      </c>
      <c r="AF102" s="167" t="e">
        <f t="shared" si="58"/>
        <v>#DIV/0!</v>
      </c>
      <c r="AG102" s="167" t="e">
        <f t="shared" si="58"/>
        <v>#DIV/0!</v>
      </c>
      <c r="AH102" s="167" t="e">
        <f t="shared" si="58"/>
        <v>#DIV/0!</v>
      </c>
      <c r="AI102" s="167" t="e">
        <f t="shared" si="58"/>
        <v>#DIV/0!</v>
      </c>
      <c r="AJ102" s="167" t="e">
        <f t="shared" si="58"/>
        <v>#DIV/0!</v>
      </c>
      <c r="AK102" s="167" t="e">
        <f t="shared" si="58"/>
        <v>#DIV/0!</v>
      </c>
      <c r="AL102" s="167" t="e">
        <f t="shared" si="58"/>
        <v>#DIV/0!</v>
      </c>
      <c r="AM102" s="167" t="e">
        <f t="shared" si="58"/>
        <v>#DIV/0!</v>
      </c>
      <c r="AN102" s="167" t="e">
        <f t="shared" si="58"/>
        <v>#DIV/0!</v>
      </c>
      <c r="AO102" s="167" t="e">
        <f t="shared" si="58"/>
        <v>#DIV/0!</v>
      </c>
    </row>
    <row r="103" spans="2:41" x14ac:dyDescent="0.15">
      <c r="B103" s="504"/>
      <c r="C103" s="129" t="s">
        <v>952</v>
      </c>
      <c r="D103" s="94" cm="1">
        <f t="array" ref="D103">SUM(SUMIFS('caseload data'!E:E,'caseload data'!$D:$D,"PSO",'caseload data'!$A:$A,"North East Region",'caseload data'!$B:$B,{"licence","community"}))</f>
        <v>0</v>
      </c>
      <c r="E103" s="94" cm="1">
        <f t="array" ref="E103">SUM(SUMIFS('caseload data'!F:F,'caseload data'!$D:$D,"PSO",'caseload data'!$A:$A,"North East Region",'caseload data'!$B:$B,{"licence","community"}))</f>
        <v>0</v>
      </c>
      <c r="F103" s="94" cm="1">
        <f t="array" ref="F103">SUM(SUMIFS('caseload data'!G:G,'caseload data'!$D:$D,"PSO",'caseload data'!$A:$A,"North East Region",'caseload data'!$B:$B,{"licence","community"}))</f>
        <v>0</v>
      </c>
      <c r="G103" s="94" cm="1">
        <f t="array" ref="G103">SUM(SUMIFS('caseload data'!H:H,'caseload data'!$D:$D,"PSO",'caseload data'!$A:$A,"North East Region",'caseload data'!$B:$B,{"licence","community"}))</f>
        <v>0</v>
      </c>
      <c r="H103" s="94" cm="1">
        <f t="array" ref="H103">SUM(SUMIFS('caseload data'!I:I,'caseload data'!$D:$D,"PSO",'caseload data'!$A:$A,"North East Region",'caseload data'!$B:$B,{"licence","community"}))</f>
        <v>0</v>
      </c>
      <c r="I103" s="94" cm="1">
        <f t="array" ref="I103">SUM(SUMIFS('caseload data'!J:J,'caseload data'!$D:$D,"PSO",'caseload data'!$A:$A,"North East Region",'caseload data'!$B:$B,{"licence","community"}))</f>
        <v>0</v>
      </c>
      <c r="J103" s="94" cm="1">
        <f t="array" ref="J103">SUM(SUMIFS('caseload data'!K:K,'caseload data'!$D:$D,"PSO",'caseload data'!$A:$A,"North East Region",'caseload data'!$B:$B,{"licence","community"}))</f>
        <v>0</v>
      </c>
      <c r="K103" s="94" cm="1">
        <f t="array" ref="K103">SUM(SUMIFS('caseload data'!L:L,'caseload data'!$D:$D,"PSO",'caseload data'!$A:$A,"North East Region",'caseload data'!$B:$B,{"licence","community"}))</f>
        <v>0</v>
      </c>
      <c r="L103" s="94" cm="1">
        <f t="array" ref="L103">SUM(SUMIFS('caseload data'!M:M,'caseload data'!$D:$D,"PSO",'caseload data'!$A:$A,"North East Region",'caseload data'!$B:$B,{"licence","community"}))</f>
        <v>0</v>
      </c>
      <c r="M103" s="94" cm="1">
        <f t="array" ref="M103">SUM(SUMIFS('caseload data'!N:N,'caseload data'!$D:$D,"PSO",'caseload data'!$A:$A,"North East Region",'caseload data'!$B:$B,{"licence","community"}))</f>
        <v>0</v>
      </c>
      <c r="N103" s="94" cm="1">
        <f t="array" ref="N103">SUM(SUMIFS('caseload data'!O:O,'caseload data'!$D:$D,"PSO",'caseload data'!$A:$A,"North East Region",'caseload data'!$B:$B,{"licence","community"}))</f>
        <v>0</v>
      </c>
      <c r="O103" s="94" cm="1">
        <f t="array" ref="O103">SUM(SUMIFS('caseload data'!P:P,'caseload data'!$D:$D,"PSO",'caseload data'!$A:$A,"North East Region",'caseload data'!$B:$B,{"licence","community"}))</f>
        <v>0</v>
      </c>
      <c r="P103" s="94" cm="1">
        <f t="array" ref="P103">SUM(SUMIFS('caseload data'!Q:Q,'caseload data'!$D:$D,"PSO",'caseload data'!$A:$A,"North East Region",'caseload data'!$B:$B,{"licence","community"}))</f>
        <v>0</v>
      </c>
      <c r="Q103" s="94" cm="1">
        <f t="array" ref="Q103">SUM(SUMIFS('caseload data'!R:R,'caseload data'!$D:$D,"PSO",'caseload data'!$A:$A,"North East Region",'caseload data'!$B:$B,{"licence","community"}))</f>
        <v>0</v>
      </c>
      <c r="R103" s="94" cm="1">
        <f t="array" ref="R103">SUM(SUMIFS('caseload data'!S:S,'caseload data'!$D:$D,"PSO",'caseload data'!$A:$A,"North East Region",'caseload data'!$B:$B,{"licence","community"}))</f>
        <v>0</v>
      </c>
      <c r="S103" s="94" cm="1">
        <f t="array" ref="S103">SUM(SUMIFS('caseload data'!T:T,'caseload data'!$D:$D,"PSO",'caseload data'!$A:$A,"North East Region",'caseload data'!$B:$B,{"licence","community"}))</f>
        <v>0</v>
      </c>
      <c r="T103" s="94" cm="1">
        <f t="array" ref="T103">SUM(SUMIFS('caseload data'!V:V,'caseload data'!D:D,"PSO",'caseload data'!A:A,"North East Region",'caseload data'!B:B,{"licence","community"}))</f>
        <v>0</v>
      </c>
      <c r="U103" s="64"/>
      <c r="V103" s="64"/>
      <c r="W103" s="504"/>
      <c r="X103" s="129" t="s">
        <v>952</v>
      </c>
      <c r="Y103" s="167" t="e">
        <f t="shared" ref="Y103:Y106" si="59">SUM(D103)/SUM(D$102:D$106)</f>
        <v>#DIV/0!</v>
      </c>
      <c r="Z103" s="167" t="e">
        <f t="shared" si="58"/>
        <v>#DIV/0!</v>
      </c>
      <c r="AA103" s="167" t="e">
        <f t="shared" si="58"/>
        <v>#DIV/0!</v>
      </c>
      <c r="AB103" s="167" t="e">
        <f t="shared" si="58"/>
        <v>#DIV/0!</v>
      </c>
      <c r="AC103" s="167" t="e">
        <f t="shared" si="58"/>
        <v>#DIV/0!</v>
      </c>
      <c r="AD103" s="167" t="e">
        <f t="shared" si="58"/>
        <v>#DIV/0!</v>
      </c>
      <c r="AE103" s="167" t="e">
        <f t="shared" si="58"/>
        <v>#DIV/0!</v>
      </c>
      <c r="AF103" s="167" t="e">
        <f t="shared" si="58"/>
        <v>#DIV/0!</v>
      </c>
      <c r="AG103" s="167" t="e">
        <f t="shared" si="58"/>
        <v>#DIV/0!</v>
      </c>
      <c r="AH103" s="167" t="e">
        <f t="shared" si="58"/>
        <v>#DIV/0!</v>
      </c>
      <c r="AI103" s="167" t="e">
        <f t="shared" si="58"/>
        <v>#DIV/0!</v>
      </c>
      <c r="AJ103" s="167" t="e">
        <f t="shared" si="58"/>
        <v>#DIV/0!</v>
      </c>
      <c r="AK103" s="167" t="e">
        <f t="shared" si="58"/>
        <v>#DIV/0!</v>
      </c>
      <c r="AL103" s="167" t="e">
        <f t="shared" si="58"/>
        <v>#DIV/0!</v>
      </c>
      <c r="AM103" s="167" t="e">
        <f t="shared" si="58"/>
        <v>#DIV/0!</v>
      </c>
      <c r="AN103" s="167" t="e">
        <f t="shared" si="58"/>
        <v>#DIV/0!</v>
      </c>
      <c r="AO103" s="167" t="e">
        <f t="shared" si="58"/>
        <v>#DIV/0!</v>
      </c>
    </row>
    <row r="104" spans="2:41" x14ac:dyDescent="0.15">
      <c r="B104" s="504"/>
      <c r="C104" s="129" t="s">
        <v>953</v>
      </c>
      <c r="D104" s="94" cm="1">
        <f t="array" ref="D104">SUM(SUMIFS('caseload data'!E:E,'caseload data'!$D:$D,"TPO",'caseload data'!$A:$A,"North East Region",'caseload data'!$B:$B,{"licence","community"}))</f>
        <v>0</v>
      </c>
      <c r="E104" s="94" cm="1">
        <f t="array" ref="E104">SUM(SUMIFS('caseload data'!F:F,'caseload data'!$D:$D,"TPO",'caseload data'!$A:$A,"North East Region",'caseload data'!$B:$B,{"licence","community"}))</f>
        <v>0</v>
      </c>
      <c r="F104" s="94" cm="1">
        <f t="array" ref="F104">SUM(SUMIFS('caseload data'!G:G,'caseload data'!$D:$D,"TPO",'caseload data'!$A:$A,"North East Region",'caseload data'!$B:$B,{"licence","community"}))</f>
        <v>0</v>
      </c>
      <c r="G104" s="94" cm="1">
        <f t="array" ref="G104">SUM(SUMIFS('caseload data'!H:H,'caseload data'!$D:$D,"TPO",'caseload data'!$A:$A,"North East Region",'caseload data'!$B:$B,{"licence","community"}))</f>
        <v>0</v>
      </c>
      <c r="H104" s="94" cm="1">
        <f t="array" ref="H104">SUM(SUMIFS('caseload data'!I:I,'caseload data'!$D:$D,"TPO",'caseload data'!$A:$A,"North East Region",'caseload data'!$B:$B,{"licence","community"}))</f>
        <v>0</v>
      </c>
      <c r="I104" s="94" cm="1">
        <f t="array" ref="I104">SUM(SUMIFS('caseload data'!J:J,'caseload data'!$D:$D,"TPO",'caseload data'!$A:$A,"North East Region",'caseload data'!$B:$B,{"licence","community"}))</f>
        <v>0</v>
      </c>
      <c r="J104" s="94" cm="1">
        <f t="array" ref="J104">SUM(SUMIFS('caseload data'!K:K,'caseload data'!$D:$D,"TPO",'caseload data'!$A:$A,"North East Region",'caseload data'!$B:$B,{"licence","community"}))</f>
        <v>0</v>
      </c>
      <c r="K104" s="94" cm="1">
        <f t="array" ref="K104">SUM(SUMIFS('caseload data'!L:L,'caseload data'!$D:$D,"TPO",'caseload data'!$A:$A,"North East Region",'caseload data'!$B:$B,{"licence","community"}))</f>
        <v>0</v>
      </c>
      <c r="L104" s="94" cm="1">
        <f t="array" ref="L104">SUM(SUMIFS('caseload data'!M:M,'caseload data'!$D:$D,"TPO",'caseload data'!$A:$A,"North East Region",'caseload data'!$B:$B,{"licence","community"}))</f>
        <v>0</v>
      </c>
      <c r="M104" s="94" cm="1">
        <f t="array" ref="M104">SUM(SUMIFS('caseload data'!N:N,'caseload data'!$D:$D,"TPO",'caseload data'!$A:$A,"North East Region",'caseload data'!$B:$B,{"licence","community"}))</f>
        <v>0</v>
      </c>
      <c r="N104" s="94" cm="1">
        <f t="array" ref="N104">SUM(SUMIFS('caseload data'!O:O,'caseload data'!$D:$D,"TPO",'caseload data'!$A:$A,"North East Region",'caseload data'!$B:$B,{"licence","community"}))</f>
        <v>0</v>
      </c>
      <c r="O104" s="94" cm="1">
        <f t="array" ref="O104">SUM(SUMIFS('caseload data'!P:P,'caseload data'!$D:$D,"TPO",'caseload data'!$A:$A,"North East Region",'caseload data'!$B:$B,{"licence","community"}))</f>
        <v>0</v>
      </c>
      <c r="P104" s="94" cm="1">
        <f t="array" ref="P104">SUM(SUMIFS('caseload data'!Q:Q,'caseload data'!$D:$D,"TPO",'caseload data'!$A:$A,"North East Region",'caseload data'!$B:$B,{"licence","community"}))</f>
        <v>0</v>
      </c>
      <c r="Q104" s="94" cm="1">
        <f t="array" ref="Q104">SUM(SUMIFS('caseload data'!R:R,'caseload data'!$D:$D,"TPO",'caseload data'!$A:$A,"North East Region",'caseload data'!$B:$B,{"licence","community"}))</f>
        <v>0</v>
      </c>
      <c r="R104" s="94" cm="1">
        <f t="array" ref="R104">SUM(SUMIFS('caseload data'!S:S,'caseload data'!$D:$D,"TPO",'caseload data'!$A:$A,"North East Region",'caseload data'!$B:$B,{"licence","community"}))</f>
        <v>0</v>
      </c>
      <c r="S104" s="94" cm="1">
        <f t="array" ref="S104">SUM(SUMIFS('caseload data'!T:T,'caseload data'!$D:$D,"TPO",'caseload data'!$A:$A,"North East Region",'caseload data'!$B:$B,{"licence","community"}))</f>
        <v>0</v>
      </c>
      <c r="T104" s="94" cm="1">
        <f t="array" ref="T104">SUM(SUMIFS('caseload data'!V:V,'caseload data'!D:D,"TPO",'caseload data'!A:A,"North East Region",'caseload data'!B:B,{"licence","community"}))</f>
        <v>0</v>
      </c>
      <c r="U104" s="64"/>
      <c r="V104" s="64"/>
      <c r="W104" s="504"/>
      <c r="X104" s="129" t="s">
        <v>953</v>
      </c>
      <c r="Y104" s="167" t="e">
        <f t="shared" si="59"/>
        <v>#DIV/0!</v>
      </c>
      <c r="Z104" s="167" t="e">
        <f t="shared" si="58"/>
        <v>#DIV/0!</v>
      </c>
      <c r="AA104" s="167" t="e">
        <f t="shared" si="58"/>
        <v>#DIV/0!</v>
      </c>
      <c r="AB104" s="167" t="e">
        <f t="shared" si="58"/>
        <v>#DIV/0!</v>
      </c>
      <c r="AC104" s="167" t="e">
        <f t="shared" si="58"/>
        <v>#DIV/0!</v>
      </c>
      <c r="AD104" s="167" t="e">
        <f t="shared" si="58"/>
        <v>#DIV/0!</v>
      </c>
      <c r="AE104" s="167" t="e">
        <f t="shared" si="58"/>
        <v>#DIV/0!</v>
      </c>
      <c r="AF104" s="167" t="e">
        <f t="shared" si="58"/>
        <v>#DIV/0!</v>
      </c>
      <c r="AG104" s="167" t="e">
        <f t="shared" si="58"/>
        <v>#DIV/0!</v>
      </c>
      <c r="AH104" s="167" t="e">
        <f t="shared" si="58"/>
        <v>#DIV/0!</v>
      </c>
      <c r="AI104" s="167" t="e">
        <f t="shared" si="58"/>
        <v>#DIV/0!</v>
      </c>
      <c r="AJ104" s="167" t="e">
        <f t="shared" si="58"/>
        <v>#DIV/0!</v>
      </c>
      <c r="AK104" s="167" t="e">
        <f t="shared" si="58"/>
        <v>#DIV/0!</v>
      </c>
      <c r="AL104" s="167" t="e">
        <f t="shared" si="58"/>
        <v>#DIV/0!</v>
      </c>
      <c r="AM104" s="167" t="e">
        <f t="shared" si="58"/>
        <v>#DIV/0!</v>
      </c>
      <c r="AN104" s="167" t="e">
        <f t="shared" si="58"/>
        <v>#DIV/0!</v>
      </c>
      <c r="AO104" s="167" t="e">
        <f t="shared" si="58"/>
        <v>#DIV/0!</v>
      </c>
    </row>
    <row r="105" spans="2:41" x14ac:dyDescent="0.15">
      <c r="B105" s="504"/>
      <c r="C105" s="129" t="s">
        <v>954</v>
      </c>
      <c r="D105" s="94" cm="1">
        <f t="array" ref="D105">SUM(SUMIFS('caseload data'!E:E,'caseload data'!$D:$D,"SPO",'caseload data'!$A:$A,"North East Region",'caseload data'!$B:$B,{"licence","community"}))</f>
        <v>0</v>
      </c>
      <c r="E105" s="94" cm="1">
        <f t="array" ref="E105">SUM(SUMIFS('caseload data'!F:F,'caseload data'!$D:$D,"SPO",'caseload data'!$A:$A,"North East Region",'caseload data'!$B:$B,{"licence","community"}))</f>
        <v>0</v>
      </c>
      <c r="F105" s="94" cm="1">
        <f t="array" ref="F105">SUM(SUMIFS('caseload data'!G:G,'caseload data'!$D:$D,"SPO",'caseload data'!$A:$A,"North East Region",'caseload data'!$B:$B,{"licence","community"}))</f>
        <v>0</v>
      </c>
      <c r="G105" s="94" cm="1">
        <f t="array" ref="G105">SUM(SUMIFS('caseload data'!H:H,'caseload data'!$D:$D,"SPO",'caseload data'!$A:$A,"North East Region",'caseload data'!$B:$B,{"licence","community"}))</f>
        <v>0</v>
      </c>
      <c r="H105" s="94" cm="1">
        <f t="array" ref="H105">SUM(SUMIFS('caseload data'!I:I,'caseload data'!$D:$D,"SPO",'caseload data'!$A:$A,"North East Region",'caseload data'!$B:$B,{"licence","community"}))</f>
        <v>0</v>
      </c>
      <c r="I105" s="94" cm="1">
        <f t="array" ref="I105">SUM(SUMIFS('caseload data'!J:J,'caseload data'!$D:$D,"SPO",'caseload data'!$A:$A,"North East Region",'caseload data'!$B:$B,{"licence","community"}))</f>
        <v>0</v>
      </c>
      <c r="J105" s="94" cm="1">
        <f t="array" ref="J105">SUM(SUMIFS('caseload data'!K:K,'caseload data'!$D:$D,"SPO",'caseload data'!$A:$A,"North East Region",'caseload data'!$B:$B,{"licence","community"}))</f>
        <v>0</v>
      </c>
      <c r="K105" s="94" cm="1">
        <f t="array" ref="K105">SUM(SUMIFS('caseload data'!L:L,'caseload data'!$D:$D,"SPO",'caseload data'!$A:$A,"North East Region",'caseload data'!$B:$B,{"licence","community"}))</f>
        <v>0</v>
      </c>
      <c r="L105" s="94" cm="1">
        <f t="array" ref="L105">SUM(SUMIFS('caseload data'!M:M,'caseload data'!$D:$D,"SPO",'caseload data'!$A:$A,"North East Region",'caseload data'!$B:$B,{"licence","community"}))</f>
        <v>0</v>
      </c>
      <c r="M105" s="94" cm="1">
        <f t="array" ref="M105">SUM(SUMIFS('caseload data'!N:N,'caseload data'!$D:$D,"SPO",'caseload data'!$A:$A,"North East Region",'caseload data'!$B:$B,{"licence","community"}))</f>
        <v>0</v>
      </c>
      <c r="N105" s="94" cm="1">
        <f t="array" ref="N105">SUM(SUMIFS('caseload data'!O:O,'caseload data'!$D:$D,"SPO",'caseload data'!$A:$A,"North East Region",'caseload data'!$B:$B,{"licence","community"}))</f>
        <v>0</v>
      </c>
      <c r="O105" s="94" cm="1">
        <f t="array" ref="O105">SUM(SUMIFS('caseload data'!P:P,'caseload data'!$D:$D,"SPO",'caseload data'!$A:$A,"North East Region",'caseload data'!$B:$B,{"licence","community"}))</f>
        <v>0</v>
      </c>
      <c r="P105" s="94" cm="1">
        <f t="array" ref="P105">SUM(SUMIFS('caseload data'!Q:Q,'caseload data'!$D:$D,"SPO",'caseload data'!$A:$A,"North East Region",'caseload data'!$B:$B,{"licence","community"}))</f>
        <v>0</v>
      </c>
      <c r="Q105" s="94" cm="1">
        <f t="array" ref="Q105">SUM(SUMIFS('caseload data'!R:R,'caseload data'!$D:$D,"SPO",'caseload data'!$A:$A,"North East Region",'caseload data'!$B:$B,{"licence","community"}))</f>
        <v>0</v>
      </c>
      <c r="R105" s="94" cm="1">
        <f t="array" ref="R105">SUM(SUMIFS('caseload data'!S:S,'caseload data'!$D:$D,"SPO",'caseload data'!$A:$A,"North East Region",'caseload data'!$B:$B,{"licence","community"}))</f>
        <v>0</v>
      </c>
      <c r="S105" s="94" cm="1">
        <f t="array" ref="S105">SUM(SUMIFS('caseload data'!T:T,'caseload data'!$D:$D,"SPO",'caseload data'!$A:$A,"North East Region",'caseload data'!$B:$B,{"licence","community"}))</f>
        <v>0</v>
      </c>
      <c r="T105" s="94" cm="1">
        <f t="array" ref="T105">SUM(SUMIFS('caseload data'!V:V,'caseload data'!$D:$D,"SPO",'caseload data'!$A:$A,"North East Region",'caseload data'!$B:$B,{"licence","community"}))</f>
        <v>0</v>
      </c>
      <c r="U105" s="64"/>
      <c r="V105" s="64"/>
      <c r="W105" s="504"/>
      <c r="X105" s="129" t="s">
        <v>954</v>
      </c>
      <c r="Y105" s="167" t="e">
        <f t="shared" si="59"/>
        <v>#DIV/0!</v>
      </c>
      <c r="Z105" s="167" t="e">
        <f t="shared" si="58"/>
        <v>#DIV/0!</v>
      </c>
      <c r="AA105" s="167" t="e">
        <f t="shared" si="58"/>
        <v>#DIV/0!</v>
      </c>
      <c r="AB105" s="167" t="e">
        <f t="shared" si="58"/>
        <v>#DIV/0!</v>
      </c>
      <c r="AC105" s="167" t="e">
        <f t="shared" si="58"/>
        <v>#DIV/0!</v>
      </c>
      <c r="AD105" s="167" t="e">
        <f t="shared" si="58"/>
        <v>#DIV/0!</v>
      </c>
      <c r="AE105" s="167" t="e">
        <f t="shared" si="58"/>
        <v>#DIV/0!</v>
      </c>
      <c r="AF105" s="167" t="e">
        <f t="shared" si="58"/>
        <v>#DIV/0!</v>
      </c>
      <c r="AG105" s="167" t="e">
        <f t="shared" si="58"/>
        <v>#DIV/0!</v>
      </c>
      <c r="AH105" s="167" t="e">
        <f t="shared" si="58"/>
        <v>#DIV/0!</v>
      </c>
      <c r="AI105" s="167" t="e">
        <f t="shared" si="58"/>
        <v>#DIV/0!</v>
      </c>
      <c r="AJ105" s="167" t="e">
        <f t="shared" si="58"/>
        <v>#DIV/0!</v>
      </c>
      <c r="AK105" s="167" t="e">
        <f t="shared" si="58"/>
        <v>#DIV/0!</v>
      </c>
      <c r="AL105" s="167" t="e">
        <f t="shared" si="58"/>
        <v>#DIV/0!</v>
      </c>
      <c r="AM105" s="167" t="e">
        <f t="shared" si="58"/>
        <v>#DIV/0!</v>
      </c>
      <c r="AN105" s="167" t="e">
        <f t="shared" si="58"/>
        <v>#DIV/0!</v>
      </c>
      <c r="AO105" s="167" t="e">
        <f t="shared" si="58"/>
        <v>#DIV/0!</v>
      </c>
    </row>
    <row r="106" spans="2:41" x14ac:dyDescent="0.15">
      <c r="B106" s="505"/>
      <c r="C106" s="130" t="s">
        <v>1286</v>
      </c>
      <c r="D106" s="94" cm="1">
        <f t="array" ref="D106">SUM(SUMIFS('caseload data'!E:E,'caseload data'!$D:$D,"DMY",'caseload data'!$A:$A,"North East Region",'caseload data'!$B:$B,{"licence","community"}))</f>
        <v>0</v>
      </c>
      <c r="E106" s="94" cm="1">
        <f t="array" ref="E106">SUM(SUMIFS('caseload data'!F:F,'caseload data'!$D:$D,"DMY",'caseload data'!$A:$A,"North East Region",'caseload data'!$B:$B,{"licence","community"}))</f>
        <v>0</v>
      </c>
      <c r="F106" s="94" cm="1">
        <f t="array" ref="F106">SUM(SUMIFS('caseload data'!G:G,'caseload data'!$D:$D,"DMY",'caseload data'!$A:$A,"North East Region",'caseload data'!$B:$B,{"licence","community"}))</f>
        <v>0</v>
      </c>
      <c r="G106" s="94" cm="1">
        <f t="array" ref="G106">SUM(SUMIFS('caseload data'!H:H,'caseload data'!$D:$D,"DMY",'caseload data'!$A:$A,"North East Region",'caseload data'!$B:$B,{"licence","community"}))</f>
        <v>0</v>
      </c>
      <c r="H106" s="94" cm="1">
        <f t="array" ref="H106">SUM(SUMIFS('caseload data'!I:I,'caseload data'!$D:$D,"DMY",'caseload data'!$A:$A,"North East Region",'caseload data'!$B:$B,{"licence","community"}))</f>
        <v>0</v>
      </c>
      <c r="I106" s="94" cm="1">
        <f t="array" ref="I106">SUM(SUMIFS('caseload data'!J:J,'caseload data'!$D:$D,"DMY",'caseload data'!$A:$A,"North East Region",'caseload data'!$B:$B,{"licence","community"}))</f>
        <v>0</v>
      </c>
      <c r="J106" s="94" cm="1">
        <f t="array" ref="J106">SUM(SUMIFS('caseload data'!K:K,'caseload data'!$D:$D,"DMY",'caseload data'!$A:$A,"North East Region",'caseload data'!$B:$B,{"licence","community"}))</f>
        <v>0</v>
      </c>
      <c r="K106" s="94" cm="1">
        <f t="array" ref="K106">SUM(SUMIFS('caseload data'!L:L,'caseload data'!$D:$D,"DMY",'caseload data'!$A:$A,"North East Region",'caseload data'!$B:$B,{"licence","community"}))</f>
        <v>0</v>
      </c>
      <c r="L106" s="94" cm="1">
        <f t="array" ref="L106">SUM(SUMIFS('caseload data'!M:M,'caseload data'!$D:$D,"DMY",'caseload data'!$A:$A,"North East Region",'caseload data'!$B:$B,{"licence","community"}))</f>
        <v>0</v>
      </c>
      <c r="M106" s="94" cm="1">
        <f t="array" ref="M106">SUM(SUMIFS('caseload data'!N:N,'caseload data'!$D:$D,"DMY",'caseload data'!$A:$A,"North East Region",'caseload data'!$B:$B,{"licence","community"}))</f>
        <v>0</v>
      </c>
      <c r="N106" s="94" cm="1">
        <f t="array" ref="N106">SUM(SUMIFS('caseload data'!O:O,'caseload data'!$D:$D,"DMY",'caseload data'!$A:$A,"North East Region",'caseload data'!$B:$B,{"licence","community"}))</f>
        <v>0</v>
      </c>
      <c r="O106" s="94" cm="1">
        <f t="array" ref="O106">SUM(SUMIFS('caseload data'!P:P,'caseload data'!$D:$D,"DMY",'caseload data'!$A:$A,"North East Region",'caseload data'!$B:$B,{"licence","community"}))</f>
        <v>0</v>
      </c>
      <c r="P106" s="94" cm="1">
        <f t="array" ref="P106">SUM(SUMIFS('caseload data'!Q:Q,'caseload data'!$D:$D,"DMY",'caseload data'!$A:$A,"North East Region",'caseload data'!$B:$B,{"licence","community"}))</f>
        <v>0</v>
      </c>
      <c r="Q106" s="94" cm="1">
        <f t="array" ref="Q106">SUM(SUMIFS('caseload data'!R:R,'caseload data'!$D:$D,"DMY",'caseload data'!$A:$A,"North East Region",'caseload data'!$B:$B,{"licence","community"}))</f>
        <v>0</v>
      </c>
      <c r="R106" s="94" cm="1">
        <f t="array" ref="R106">SUM(SUMIFS('caseload data'!S:S,'caseload data'!$D:$D,"DMY",'caseload data'!$A:$A,"North East Region",'caseload data'!$B:$B,{"licence","community"}))</f>
        <v>0</v>
      </c>
      <c r="S106" s="94" cm="1">
        <f t="array" ref="S106">SUM(SUMIFS('caseload data'!T:T,'caseload data'!$D:$D,"DMY",'caseload data'!$A:$A,"North East Region",'caseload data'!$B:$B,{"licence","community"}))</f>
        <v>0</v>
      </c>
      <c r="T106" s="94" cm="1">
        <f t="array" ref="T106">SUM(SUMIFS('caseload data'!V:V,'caseload data'!$D:$D,"DMY",'caseload data'!$A:$A,"North East Region",'caseload data'!$B:$B,{"licence","community"}))</f>
        <v>0</v>
      </c>
      <c r="U106" s="64"/>
      <c r="V106" s="64"/>
      <c r="W106" s="505"/>
      <c r="X106" s="130" t="s">
        <v>1286</v>
      </c>
      <c r="Y106" s="167" t="e">
        <f t="shared" si="59"/>
        <v>#DIV/0!</v>
      </c>
      <c r="Z106" s="167" t="e">
        <f t="shared" si="58"/>
        <v>#DIV/0!</v>
      </c>
      <c r="AA106" s="167" t="e">
        <f t="shared" si="58"/>
        <v>#DIV/0!</v>
      </c>
      <c r="AB106" s="167" t="e">
        <f t="shared" si="58"/>
        <v>#DIV/0!</v>
      </c>
      <c r="AC106" s="167" t="e">
        <f t="shared" si="58"/>
        <v>#DIV/0!</v>
      </c>
      <c r="AD106" s="167" t="e">
        <f t="shared" si="58"/>
        <v>#DIV/0!</v>
      </c>
      <c r="AE106" s="167" t="e">
        <f t="shared" si="58"/>
        <v>#DIV/0!</v>
      </c>
      <c r="AF106" s="167" t="e">
        <f t="shared" si="58"/>
        <v>#DIV/0!</v>
      </c>
      <c r="AG106" s="167" t="e">
        <f t="shared" si="58"/>
        <v>#DIV/0!</v>
      </c>
      <c r="AH106" s="167" t="e">
        <f t="shared" si="58"/>
        <v>#DIV/0!</v>
      </c>
      <c r="AI106" s="167" t="e">
        <f t="shared" si="58"/>
        <v>#DIV/0!</v>
      </c>
      <c r="AJ106" s="167" t="e">
        <f t="shared" si="58"/>
        <v>#DIV/0!</v>
      </c>
      <c r="AK106" s="167" t="e">
        <f t="shared" si="58"/>
        <v>#DIV/0!</v>
      </c>
      <c r="AL106" s="167" t="e">
        <f t="shared" si="58"/>
        <v>#DIV/0!</v>
      </c>
      <c r="AM106" s="167" t="e">
        <f t="shared" si="58"/>
        <v>#DIV/0!</v>
      </c>
      <c r="AN106" s="167" t="e">
        <f t="shared" si="58"/>
        <v>#DIV/0!</v>
      </c>
      <c r="AO106" s="167" t="e">
        <f t="shared" si="58"/>
        <v>#DIV/0!</v>
      </c>
    </row>
    <row r="107" spans="2:41" x14ac:dyDescent="0.15">
      <c r="B107" s="503" t="s">
        <v>23</v>
      </c>
      <c r="C107" s="128" t="s">
        <v>947</v>
      </c>
      <c r="D107" s="94" cm="1">
        <f t="array" ref="D107">SUM(SUMIFS('caseload data'!E:E,'caseload data'!$D:$D,"PO",'caseload data'!$A:$A,"North West Region",'caseload data'!$B:$B,{"licence","community"}))</f>
        <v>0</v>
      </c>
      <c r="E107" s="94" cm="1">
        <f t="array" ref="E107">SUM(SUMIFS('caseload data'!F:F,'caseload data'!$D:$D,"PO",'caseload data'!$A:$A,"North West Region",'caseload data'!$B:$B,{"licence","community"}))</f>
        <v>0</v>
      </c>
      <c r="F107" s="94" cm="1">
        <f t="array" ref="F107">SUM(SUMIFS('caseload data'!G:G,'caseload data'!$D:$D,"PO",'caseload data'!$A:$A,"North West Region",'caseload data'!$B:$B,{"licence","community"}))</f>
        <v>0</v>
      </c>
      <c r="G107" s="94" cm="1">
        <f t="array" ref="G107">SUM(SUMIFS('caseload data'!H:H,'caseload data'!$D:$D,"PO",'caseload data'!$A:$A,"North West Region",'caseload data'!$B:$B,{"licence","community"}))</f>
        <v>0</v>
      </c>
      <c r="H107" s="94" cm="1">
        <f t="array" ref="H107">SUM(SUMIFS('caseload data'!I:I,'caseload data'!$D:$D,"PO",'caseload data'!$A:$A,"North West Region",'caseload data'!$B:$B,{"licence","community"}))</f>
        <v>0</v>
      </c>
      <c r="I107" s="94" cm="1">
        <f t="array" ref="I107">SUM(SUMIFS('caseload data'!J:J,'caseload data'!$D:$D,"PO",'caseload data'!$A:$A,"North West Region",'caseload data'!$B:$B,{"licence","community"}))</f>
        <v>0</v>
      </c>
      <c r="J107" s="94" cm="1">
        <f t="array" ref="J107">SUM(SUMIFS('caseload data'!K:K,'caseload data'!$D:$D,"PO",'caseload data'!$A:$A,"North West Region",'caseload data'!$B:$B,{"licence","community"}))</f>
        <v>0</v>
      </c>
      <c r="K107" s="94" cm="1">
        <f t="array" ref="K107">SUM(SUMIFS('caseload data'!L:L,'caseload data'!$D:$D,"PO",'caseload data'!$A:$A,"North West Region",'caseload data'!$B:$B,{"licence","community"}))</f>
        <v>0</v>
      </c>
      <c r="L107" s="94" cm="1">
        <f t="array" ref="L107">SUM(SUMIFS('caseload data'!M:M,'caseload data'!$D:$D,"PO",'caseload data'!$A:$A,"North West Region",'caseload data'!$B:$B,{"licence","community"}))</f>
        <v>0</v>
      </c>
      <c r="M107" s="94" cm="1">
        <f t="array" ref="M107">SUM(SUMIFS('caseload data'!N:N,'caseload data'!$D:$D,"PO",'caseload data'!$A:$A,"North West Region",'caseload data'!$B:$B,{"licence","community"}))</f>
        <v>0</v>
      </c>
      <c r="N107" s="94" cm="1">
        <f t="array" ref="N107">SUM(SUMIFS('caseload data'!O:O,'caseload data'!$D:$D,"PO",'caseload data'!$A:$A,"North West Region",'caseload data'!$B:$B,{"licence","community"}))</f>
        <v>0</v>
      </c>
      <c r="O107" s="94" cm="1">
        <f t="array" ref="O107">SUM(SUMIFS('caseload data'!P:P,'caseload data'!$D:$D,"PO",'caseload data'!$A:$A,"North West Region",'caseload data'!$B:$B,{"licence","community"}))</f>
        <v>0</v>
      </c>
      <c r="P107" s="94" cm="1">
        <f t="array" ref="P107">SUM(SUMIFS('caseload data'!Q:Q,'caseload data'!$D:$D,"PO",'caseload data'!$A:$A,"North West Region",'caseload data'!$B:$B,{"licence","community"}))</f>
        <v>0</v>
      </c>
      <c r="Q107" s="94" cm="1">
        <f t="array" ref="Q107">SUM(SUMIFS('caseload data'!R:R,'caseload data'!$D:$D,"PO",'caseload data'!$A:$A,"North West Region",'caseload data'!$B:$B,{"licence","community"}))</f>
        <v>0</v>
      </c>
      <c r="R107" s="94" cm="1">
        <f t="array" ref="R107">SUM(SUMIFS('caseload data'!S:S,'caseload data'!$D:$D,"PO",'caseload data'!$A:$A,"North West Region",'caseload data'!$B:$B,{"licence","community"}))</f>
        <v>0</v>
      </c>
      <c r="S107" s="94" cm="1">
        <f t="array" ref="S107">SUM(SUMIFS('caseload data'!T:T,'caseload data'!$D:$D,"PO",'caseload data'!$A:$A,"North West Region",'caseload data'!$B:$B,{"licence","community"}))</f>
        <v>0</v>
      </c>
      <c r="T107" s="94">
        <f>SUM(SUMIFS('caseload data'!V:V,'caseload data'!D:D,"PO",'caseload data'!A:A,B107,'caseload data'!B:B,{"licence","community"}))</f>
        <v>0</v>
      </c>
      <c r="U107" s="64"/>
      <c r="V107" s="64"/>
      <c r="W107" s="503" t="s">
        <v>23</v>
      </c>
      <c r="X107" s="128" t="s">
        <v>947</v>
      </c>
      <c r="Y107" s="167" t="e">
        <f>SUM(D107)/SUM(D$107:D$111)</f>
        <v>#DIV/0!</v>
      </c>
      <c r="Z107" s="167" t="e">
        <f t="shared" ref="Z107:AO111" si="60">SUM(E107)/SUM(E$107:E$111)</f>
        <v>#DIV/0!</v>
      </c>
      <c r="AA107" s="167" t="e">
        <f t="shared" si="60"/>
        <v>#DIV/0!</v>
      </c>
      <c r="AB107" s="167" t="e">
        <f t="shared" si="60"/>
        <v>#DIV/0!</v>
      </c>
      <c r="AC107" s="167" t="e">
        <f t="shared" si="60"/>
        <v>#DIV/0!</v>
      </c>
      <c r="AD107" s="167" t="e">
        <f t="shared" si="60"/>
        <v>#DIV/0!</v>
      </c>
      <c r="AE107" s="167" t="e">
        <f t="shared" si="60"/>
        <v>#DIV/0!</v>
      </c>
      <c r="AF107" s="167" t="e">
        <f t="shared" si="60"/>
        <v>#DIV/0!</v>
      </c>
      <c r="AG107" s="167" t="e">
        <f t="shared" si="60"/>
        <v>#DIV/0!</v>
      </c>
      <c r="AH107" s="167" t="e">
        <f t="shared" si="60"/>
        <v>#DIV/0!</v>
      </c>
      <c r="AI107" s="167" t="e">
        <f t="shared" si="60"/>
        <v>#DIV/0!</v>
      </c>
      <c r="AJ107" s="167" t="e">
        <f t="shared" si="60"/>
        <v>#DIV/0!</v>
      </c>
      <c r="AK107" s="167" t="e">
        <f t="shared" si="60"/>
        <v>#DIV/0!</v>
      </c>
      <c r="AL107" s="167" t="e">
        <f t="shared" si="60"/>
        <v>#DIV/0!</v>
      </c>
      <c r="AM107" s="167" t="e">
        <f t="shared" si="60"/>
        <v>#DIV/0!</v>
      </c>
      <c r="AN107" s="167" t="e">
        <f t="shared" si="60"/>
        <v>#DIV/0!</v>
      </c>
      <c r="AO107" s="167" t="e">
        <f t="shared" si="60"/>
        <v>#DIV/0!</v>
      </c>
    </row>
    <row r="108" spans="2:41" x14ac:dyDescent="0.15">
      <c r="B108" s="504"/>
      <c r="C108" s="129" t="s">
        <v>952</v>
      </c>
      <c r="D108" s="94" cm="1">
        <f t="array" ref="D108">SUM(SUMIFS('caseload data'!E:E,'caseload data'!$D:$D,"PSO",'caseload data'!$A:$A,"North West Region",'caseload data'!$B:$B,{"licence","community"}))</f>
        <v>0</v>
      </c>
      <c r="E108" s="94" cm="1">
        <f t="array" ref="E108">SUM(SUMIFS('caseload data'!F:F,'caseload data'!$D:$D,"PSO",'caseload data'!$A:$A,"North West Region",'caseload data'!$B:$B,{"licence","community"}))</f>
        <v>0</v>
      </c>
      <c r="F108" s="94" cm="1">
        <f t="array" ref="F108">SUM(SUMIFS('caseload data'!G:G,'caseload data'!$D:$D,"PSO",'caseload data'!$A:$A,"North West Region",'caseload data'!$B:$B,{"licence","community"}))</f>
        <v>0</v>
      </c>
      <c r="G108" s="94" cm="1">
        <f t="array" ref="G108">SUM(SUMIFS('caseload data'!H:H,'caseload data'!$D:$D,"PSO",'caseload data'!$A:$A,"North West Region",'caseload data'!$B:$B,{"licence","community"}))</f>
        <v>0</v>
      </c>
      <c r="H108" s="94" cm="1">
        <f t="array" ref="H108">SUM(SUMIFS('caseload data'!I:I,'caseload data'!$D:$D,"PSO",'caseload data'!$A:$A,"North West Region",'caseload data'!$B:$B,{"licence","community"}))</f>
        <v>0</v>
      </c>
      <c r="I108" s="94" cm="1">
        <f t="array" ref="I108">SUM(SUMIFS('caseload data'!J:J,'caseload data'!$D:$D,"PSO",'caseload data'!$A:$A,"North West Region",'caseload data'!$B:$B,{"licence","community"}))</f>
        <v>0</v>
      </c>
      <c r="J108" s="94" cm="1">
        <f t="array" ref="J108">SUM(SUMIFS('caseload data'!K:K,'caseload data'!$D:$D,"PSO",'caseload data'!$A:$A,"North West Region",'caseload data'!$B:$B,{"licence","community"}))</f>
        <v>0</v>
      </c>
      <c r="K108" s="94" cm="1">
        <f t="array" ref="K108">SUM(SUMIFS('caseload data'!L:L,'caseload data'!$D:$D,"PSO",'caseload data'!$A:$A,"North West Region",'caseload data'!$B:$B,{"licence","community"}))</f>
        <v>0</v>
      </c>
      <c r="L108" s="94" cm="1">
        <f t="array" ref="L108">SUM(SUMIFS('caseload data'!M:M,'caseload data'!$D:$D,"PSO",'caseload data'!$A:$A,"North West Region",'caseload data'!$B:$B,{"licence","community"}))</f>
        <v>0</v>
      </c>
      <c r="M108" s="94" cm="1">
        <f t="array" ref="M108">SUM(SUMIFS('caseload data'!N:N,'caseload data'!$D:$D,"PSO",'caseload data'!$A:$A,"North West Region",'caseload data'!$B:$B,{"licence","community"}))</f>
        <v>0</v>
      </c>
      <c r="N108" s="94" cm="1">
        <f t="array" ref="N108">SUM(SUMIFS('caseload data'!O:O,'caseload data'!$D:$D,"PSO",'caseload data'!$A:$A,"North West Region",'caseload data'!$B:$B,{"licence","community"}))</f>
        <v>0</v>
      </c>
      <c r="O108" s="94" cm="1">
        <f t="array" ref="O108">SUM(SUMIFS('caseload data'!P:P,'caseload data'!$D:$D,"PSO",'caseload data'!$A:$A,"North West Region",'caseload data'!$B:$B,{"licence","community"}))</f>
        <v>0</v>
      </c>
      <c r="P108" s="94" cm="1">
        <f t="array" ref="P108">SUM(SUMIFS('caseload data'!Q:Q,'caseload data'!$D:$D,"PSO",'caseload data'!$A:$A,"North West Region",'caseload data'!$B:$B,{"licence","community"}))</f>
        <v>0</v>
      </c>
      <c r="Q108" s="94" cm="1">
        <f t="array" ref="Q108">SUM(SUMIFS('caseload data'!R:R,'caseload data'!$D:$D,"PSO",'caseload data'!$A:$A,"North West Region",'caseload data'!$B:$B,{"licence","community"}))</f>
        <v>0</v>
      </c>
      <c r="R108" s="94" cm="1">
        <f t="array" ref="R108">SUM(SUMIFS('caseload data'!S:S,'caseload data'!$D:$D,"PSO",'caseload data'!$A:$A,"North West Region",'caseload data'!$B:$B,{"licence","community"}))</f>
        <v>0</v>
      </c>
      <c r="S108" s="94" cm="1">
        <f t="array" ref="S108">SUM(SUMIFS('caseload data'!T:T,'caseload data'!$D:$D,"PSO",'caseload data'!$A:$A,"North West Region",'caseload data'!$B:$B,{"licence","community"}))</f>
        <v>0</v>
      </c>
      <c r="T108" s="94" cm="1">
        <f t="array" ref="T108">SUM(SUMIFS('caseload data'!V:V,'caseload data'!D:D,"PSO",'caseload data'!A:A,"North West Region",'caseload data'!B:B,{"licence","community"}))</f>
        <v>0</v>
      </c>
      <c r="U108" s="64"/>
      <c r="V108" s="64"/>
      <c r="W108" s="504"/>
      <c r="X108" s="129" t="s">
        <v>952</v>
      </c>
      <c r="Y108" s="167" t="e">
        <f t="shared" ref="Y108:Y111" si="61">SUM(D108)/SUM(D$107:D$111)</f>
        <v>#DIV/0!</v>
      </c>
      <c r="Z108" s="167" t="e">
        <f t="shared" si="60"/>
        <v>#DIV/0!</v>
      </c>
      <c r="AA108" s="167" t="e">
        <f t="shared" si="60"/>
        <v>#DIV/0!</v>
      </c>
      <c r="AB108" s="167" t="e">
        <f t="shared" si="60"/>
        <v>#DIV/0!</v>
      </c>
      <c r="AC108" s="167" t="e">
        <f t="shared" si="60"/>
        <v>#DIV/0!</v>
      </c>
      <c r="AD108" s="167" t="e">
        <f t="shared" si="60"/>
        <v>#DIV/0!</v>
      </c>
      <c r="AE108" s="167" t="e">
        <f t="shared" si="60"/>
        <v>#DIV/0!</v>
      </c>
      <c r="AF108" s="167" t="e">
        <f t="shared" si="60"/>
        <v>#DIV/0!</v>
      </c>
      <c r="AG108" s="167" t="e">
        <f t="shared" si="60"/>
        <v>#DIV/0!</v>
      </c>
      <c r="AH108" s="167" t="e">
        <f t="shared" si="60"/>
        <v>#DIV/0!</v>
      </c>
      <c r="AI108" s="167" t="e">
        <f t="shared" si="60"/>
        <v>#DIV/0!</v>
      </c>
      <c r="AJ108" s="167" t="e">
        <f t="shared" si="60"/>
        <v>#DIV/0!</v>
      </c>
      <c r="AK108" s="167" t="e">
        <f t="shared" si="60"/>
        <v>#DIV/0!</v>
      </c>
      <c r="AL108" s="167" t="e">
        <f t="shared" si="60"/>
        <v>#DIV/0!</v>
      </c>
      <c r="AM108" s="167" t="e">
        <f t="shared" si="60"/>
        <v>#DIV/0!</v>
      </c>
      <c r="AN108" s="167" t="e">
        <f t="shared" si="60"/>
        <v>#DIV/0!</v>
      </c>
      <c r="AO108" s="167" t="e">
        <f t="shared" si="60"/>
        <v>#DIV/0!</v>
      </c>
    </row>
    <row r="109" spans="2:41" x14ac:dyDescent="0.15">
      <c r="B109" s="504"/>
      <c r="C109" s="129" t="s">
        <v>953</v>
      </c>
      <c r="D109" s="94" cm="1">
        <f t="array" ref="D109">SUM(SUMIFS('caseload data'!E:E,'caseload data'!$D:$D,"TPO",'caseload data'!$A:$A,"North West Region",'caseload data'!$B:$B,{"licence","community"}))</f>
        <v>0</v>
      </c>
      <c r="E109" s="94" cm="1">
        <f t="array" ref="E109">SUM(SUMIFS('caseload data'!F:F,'caseload data'!$D:$D,"TPO",'caseload data'!$A:$A,"North West Region",'caseload data'!$B:$B,{"licence","community"}))</f>
        <v>0</v>
      </c>
      <c r="F109" s="94" cm="1">
        <f t="array" ref="F109">SUM(SUMIFS('caseload data'!G:G,'caseload data'!$D:$D,"TPO",'caseload data'!$A:$A,"North West Region",'caseload data'!$B:$B,{"licence","community"}))</f>
        <v>0</v>
      </c>
      <c r="G109" s="94" cm="1">
        <f t="array" ref="G109">SUM(SUMIFS('caseload data'!H:H,'caseload data'!$D:$D,"TPO",'caseload data'!$A:$A,"North West Region",'caseload data'!$B:$B,{"licence","community"}))</f>
        <v>0</v>
      </c>
      <c r="H109" s="94" cm="1">
        <f t="array" ref="H109">SUM(SUMIFS('caseload data'!I:I,'caseload data'!$D:$D,"TPO",'caseload data'!$A:$A,"North West Region",'caseload data'!$B:$B,{"licence","community"}))</f>
        <v>0</v>
      </c>
      <c r="I109" s="94" cm="1">
        <f t="array" ref="I109">SUM(SUMIFS('caseload data'!J:J,'caseload data'!$D:$D,"TPO",'caseload data'!$A:$A,"North West Region",'caseload data'!$B:$B,{"licence","community"}))</f>
        <v>0</v>
      </c>
      <c r="J109" s="94" cm="1">
        <f t="array" ref="J109">SUM(SUMIFS('caseload data'!K:K,'caseload data'!$D:$D,"TPO",'caseload data'!$A:$A,"North West Region",'caseload data'!$B:$B,{"licence","community"}))</f>
        <v>0</v>
      </c>
      <c r="K109" s="94" cm="1">
        <f t="array" ref="K109">SUM(SUMIFS('caseload data'!L:L,'caseload data'!$D:$D,"TPO",'caseload data'!$A:$A,"North West Region",'caseload data'!$B:$B,{"licence","community"}))</f>
        <v>0</v>
      </c>
      <c r="L109" s="94" cm="1">
        <f t="array" ref="L109">SUM(SUMIFS('caseload data'!M:M,'caseload data'!$D:$D,"TPO",'caseload data'!$A:$A,"North West Region",'caseload data'!$B:$B,{"licence","community"}))</f>
        <v>0</v>
      </c>
      <c r="M109" s="94" cm="1">
        <f t="array" ref="M109">SUM(SUMIFS('caseload data'!N:N,'caseload data'!$D:$D,"TPO",'caseload data'!$A:$A,"North West Region",'caseload data'!$B:$B,{"licence","community"}))</f>
        <v>0</v>
      </c>
      <c r="N109" s="94" cm="1">
        <f t="array" ref="N109">SUM(SUMIFS('caseload data'!O:O,'caseload data'!$D:$D,"TPO",'caseload data'!$A:$A,"North West Region",'caseload data'!$B:$B,{"licence","community"}))</f>
        <v>0</v>
      </c>
      <c r="O109" s="94" cm="1">
        <f t="array" ref="O109">SUM(SUMIFS('caseload data'!P:P,'caseload data'!$D:$D,"TPO",'caseload data'!$A:$A,"North West Region",'caseload data'!$B:$B,{"licence","community"}))</f>
        <v>0</v>
      </c>
      <c r="P109" s="94" cm="1">
        <f t="array" ref="P109">SUM(SUMIFS('caseload data'!Q:Q,'caseload data'!$D:$D,"TPO",'caseload data'!$A:$A,"North West Region",'caseload data'!$B:$B,{"licence","community"}))</f>
        <v>0</v>
      </c>
      <c r="Q109" s="94" cm="1">
        <f t="array" ref="Q109">SUM(SUMIFS('caseload data'!R:R,'caseload data'!$D:$D,"TPO",'caseload data'!$A:$A,"North West Region",'caseload data'!$B:$B,{"licence","community"}))</f>
        <v>0</v>
      </c>
      <c r="R109" s="94" cm="1">
        <f t="array" ref="R109">SUM(SUMIFS('caseload data'!S:S,'caseload data'!$D:$D,"TPO",'caseload data'!$A:$A,"North West Region",'caseload data'!$B:$B,{"licence","community"}))</f>
        <v>0</v>
      </c>
      <c r="S109" s="94" cm="1">
        <f t="array" ref="S109">SUM(SUMIFS('caseload data'!T:T,'caseload data'!$D:$D,"TPO",'caseload data'!$A:$A,"North West Region",'caseload data'!$B:$B,{"licence","community"}))</f>
        <v>0</v>
      </c>
      <c r="T109" s="94" cm="1">
        <f t="array" ref="T109">SUM(SUMIFS('caseload data'!V:V,'caseload data'!D:D,"TPO",'caseload data'!A:A,"North West Region",'caseload data'!B:B,{"licence","community"}))</f>
        <v>0</v>
      </c>
      <c r="U109" s="64"/>
      <c r="V109" s="64"/>
      <c r="W109" s="504"/>
      <c r="X109" s="129" t="s">
        <v>953</v>
      </c>
      <c r="Y109" s="167" t="e">
        <f t="shared" si="61"/>
        <v>#DIV/0!</v>
      </c>
      <c r="Z109" s="167" t="e">
        <f t="shared" si="60"/>
        <v>#DIV/0!</v>
      </c>
      <c r="AA109" s="167" t="e">
        <f t="shared" si="60"/>
        <v>#DIV/0!</v>
      </c>
      <c r="AB109" s="167" t="e">
        <f t="shared" si="60"/>
        <v>#DIV/0!</v>
      </c>
      <c r="AC109" s="167" t="e">
        <f t="shared" si="60"/>
        <v>#DIV/0!</v>
      </c>
      <c r="AD109" s="167" t="e">
        <f t="shared" si="60"/>
        <v>#DIV/0!</v>
      </c>
      <c r="AE109" s="167" t="e">
        <f t="shared" si="60"/>
        <v>#DIV/0!</v>
      </c>
      <c r="AF109" s="167" t="e">
        <f t="shared" si="60"/>
        <v>#DIV/0!</v>
      </c>
      <c r="AG109" s="167" t="e">
        <f t="shared" si="60"/>
        <v>#DIV/0!</v>
      </c>
      <c r="AH109" s="167" t="e">
        <f t="shared" si="60"/>
        <v>#DIV/0!</v>
      </c>
      <c r="AI109" s="167" t="e">
        <f t="shared" si="60"/>
        <v>#DIV/0!</v>
      </c>
      <c r="AJ109" s="167" t="e">
        <f t="shared" si="60"/>
        <v>#DIV/0!</v>
      </c>
      <c r="AK109" s="167" t="e">
        <f t="shared" si="60"/>
        <v>#DIV/0!</v>
      </c>
      <c r="AL109" s="167" t="e">
        <f t="shared" si="60"/>
        <v>#DIV/0!</v>
      </c>
      <c r="AM109" s="167" t="e">
        <f t="shared" si="60"/>
        <v>#DIV/0!</v>
      </c>
      <c r="AN109" s="167" t="e">
        <f t="shared" si="60"/>
        <v>#DIV/0!</v>
      </c>
      <c r="AO109" s="167" t="e">
        <f t="shared" si="60"/>
        <v>#DIV/0!</v>
      </c>
    </row>
    <row r="110" spans="2:41" x14ac:dyDescent="0.15">
      <c r="B110" s="504"/>
      <c r="C110" s="129" t="s">
        <v>954</v>
      </c>
      <c r="D110" s="94">
        <f>SUMIFS('caseload data'!E:E,'caseload data'!$D:$D,"SPO",'caseload data'!$A:$A,"North West Region",'caseload data'!$B:$B,{"licence","community"})</f>
        <v>0</v>
      </c>
      <c r="E110" s="94">
        <f>SUMIFS('caseload data'!F:F,'caseload data'!$D:$D,"SPO",'caseload data'!$A:$A,"North West Region",'caseload data'!$B:$B,{"licence","community"})</f>
        <v>0</v>
      </c>
      <c r="F110" s="94">
        <f>SUMIFS('caseload data'!G:G,'caseload data'!$D:$D,"SPO",'caseload data'!$A:$A,"North West Region",'caseload data'!$B:$B,{"licence","community"})</f>
        <v>0</v>
      </c>
      <c r="G110" s="94">
        <f>SUMIFS('caseload data'!H:H,'caseload data'!$D:$D,"SPO",'caseload data'!$A:$A,"North West Region",'caseload data'!$B:$B,{"licence","community"})</f>
        <v>0</v>
      </c>
      <c r="H110" s="94" cm="1">
        <f t="array" ref="H110">SUM(SUMIFS('caseload data'!I:I,'caseload data'!$D:$D,"SPO",'caseload data'!$A:$A,"North West Region",'caseload data'!$B:$B,{"licence","community"}))</f>
        <v>0</v>
      </c>
      <c r="I110" s="94">
        <f>SUMIFS('caseload data'!J:J,'caseload data'!$D:$D,"SPO",'caseload data'!$A:$A,"North West Region",'caseload data'!$B:$B,{"licence","community"})</f>
        <v>0</v>
      </c>
      <c r="J110" s="94">
        <f>SUMIFS('caseload data'!K:K,'caseload data'!$D:$D,"SPO",'caseload data'!$A:$A,"North West Region",'caseload data'!$B:$B,{"licence","community"})</f>
        <v>0</v>
      </c>
      <c r="K110" s="94">
        <f>SUMIFS('caseload data'!L:L,'caseload data'!$D:$D,"SPO",'caseload data'!$A:$A,"North West Region",'caseload data'!$B:$B,{"licence","community"})</f>
        <v>0</v>
      </c>
      <c r="L110" s="94">
        <f>SUMIFS('caseload data'!M:M,'caseload data'!$D:$D,"SPO",'caseload data'!$A:$A,"North West Region",'caseload data'!$B:$B,{"licence","community"})</f>
        <v>0</v>
      </c>
      <c r="M110" s="94">
        <f>SUMIFS('caseload data'!N:N,'caseload data'!$D:$D,"SPO",'caseload data'!$A:$A,"North West Region",'caseload data'!$B:$B,{"licence","community"})</f>
        <v>0</v>
      </c>
      <c r="N110" s="94">
        <f>SUMIFS('caseload data'!O:O,'caseload data'!$D:$D,"SPO",'caseload data'!$A:$A,"North West Region",'caseload data'!$B:$B,{"licence","community"})</f>
        <v>0</v>
      </c>
      <c r="O110" s="94">
        <f>SUMIFS('caseload data'!P:P,'caseload data'!$D:$D,"SPO",'caseload data'!$A:$A,"North West Region",'caseload data'!$B:$B,{"licence","community"})</f>
        <v>0</v>
      </c>
      <c r="P110" s="94">
        <f>SUMIFS('caseload data'!Q:Q,'caseload data'!$D:$D,"SPO",'caseload data'!$A:$A,"North West Region",'caseload data'!$B:$B,{"licence","community"})</f>
        <v>0</v>
      </c>
      <c r="Q110" s="94">
        <f>SUMIFS('caseload data'!R:R,'caseload data'!$D:$D,"SPO",'caseload data'!$A:$A,"North West Region",'caseload data'!$B:$B,{"licence","community"})</f>
        <v>0</v>
      </c>
      <c r="R110" s="94">
        <f>SUMIFS('caseload data'!S:S,'caseload data'!$D:$D,"SPO",'caseload data'!$A:$A,"North West Region",'caseload data'!$B:$B,{"licence","community"})</f>
        <v>0</v>
      </c>
      <c r="S110" s="94">
        <f>SUMIFS('caseload data'!T:T,'caseload data'!$D:$D,"SPO",'caseload data'!$A:$A,"North West Region",'caseload data'!$B:$B,{"licence","community"})</f>
        <v>0</v>
      </c>
      <c r="T110" s="94" cm="1">
        <f t="array" ref="T110">SUM(SUMIFS('caseload data'!V:V,'caseload data'!$D:$D,"SPO",'caseload data'!$A:$A,"North West Region",'caseload data'!$B:$B,{"licence","community"}))</f>
        <v>0</v>
      </c>
      <c r="U110" s="64"/>
      <c r="V110" s="64"/>
      <c r="W110" s="504"/>
      <c r="X110" s="129" t="s">
        <v>954</v>
      </c>
      <c r="Y110" s="167" t="e">
        <f t="shared" si="61"/>
        <v>#DIV/0!</v>
      </c>
      <c r="Z110" s="167" t="e">
        <f t="shared" si="60"/>
        <v>#DIV/0!</v>
      </c>
      <c r="AA110" s="167" t="e">
        <f t="shared" si="60"/>
        <v>#DIV/0!</v>
      </c>
      <c r="AB110" s="167" t="e">
        <f t="shared" si="60"/>
        <v>#DIV/0!</v>
      </c>
      <c r="AC110" s="167" t="e">
        <f t="shared" si="60"/>
        <v>#DIV/0!</v>
      </c>
      <c r="AD110" s="167" t="e">
        <f t="shared" si="60"/>
        <v>#DIV/0!</v>
      </c>
      <c r="AE110" s="167" t="e">
        <f t="shared" si="60"/>
        <v>#DIV/0!</v>
      </c>
      <c r="AF110" s="167" t="e">
        <f t="shared" si="60"/>
        <v>#DIV/0!</v>
      </c>
      <c r="AG110" s="167" t="e">
        <f t="shared" si="60"/>
        <v>#DIV/0!</v>
      </c>
      <c r="AH110" s="167" t="e">
        <f t="shared" si="60"/>
        <v>#DIV/0!</v>
      </c>
      <c r="AI110" s="167" t="e">
        <f t="shared" si="60"/>
        <v>#DIV/0!</v>
      </c>
      <c r="AJ110" s="167" t="e">
        <f t="shared" si="60"/>
        <v>#DIV/0!</v>
      </c>
      <c r="AK110" s="167" t="e">
        <f t="shared" si="60"/>
        <v>#DIV/0!</v>
      </c>
      <c r="AL110" s="167" t="e">
        <f t="shared" si="60"/>
        <v>#DIV/0!</v>
      </c>
      <c r="AM110" s="167" t="e">
        <f t="shared" si="60"/>
        <v>#DIV/0!</v>
      </c>
      <c r="AN110" s="167" t="e">
        <f t="shared" si="60"/>
        <v>#DIV/0!</v>
      </c>
      <c r="AO110" s="167" t="e">
        <f t="shared" si="60"/>
        <v>#DIV/0!</v>
      </c>
    </row>
    <row r="111" spans="2:41" x14ac:dyDescent="0.15">
      <c r="B111" s="505"/>
      <c r="C111" s="130" t="s">
        <v>1286</v>
      </c>
      <c r="D111" s="94" cm="1">
        <f t="array" ref="D111">SUM(SUMIFS('caseload data'!E:E,'caseload data'!$D:$D,"DMY",'caseload data'!$A:$A,"North West Region",'caseload data'!$B:$B,{"licence","community"}))</f>
        <v>0</v>
      </c>
      <c r="E111" s="94" cm="1">
        <f t="array" ref="E111">SUM(SUMIFS('caseload data'!F:F,'caseload data'!$D:$D,"DMY",'caseload data'!$A:$A,"North West Region",'caseload data'!$B:$B,{"licence","community"}))</f>
        <v>0</v>
      </c>
      <c r="F111" s="94" cm="1">
        <f t="array" ref="F111">SUM(SUMIFS('caseload data'!G:G,'caseload data'!$D:$D,"DMY",'caseload data'!$A:$A,"North West Region",'caseload data'!$B:$B,{"licence","community"}))</f>
        <v>0</v>
      </c>
      <c r="G111" s="94" cm="1">
        <f t="array" ref="G111">SUM(SUMIFS('caseload data'!H:H,'caseload data'!$D:$D,"DMY",'caseload data'!$A:$A,"North West Region",'caseload data'!$B:$B,{"licence","community"}))</f>
        <v>0</v>
      </c>
      <c r="H111" s="94" cm="1">
        <f t="array" ref="H111">SUM(SUMIFS('caseload data'!I:I,'caseload data'!$D:$D,"DMY",'caseload data'!$A:$A,"North West Region",'caseload data'!$B:$B,{"licence","community"}))</f>
        <v>0</v>
      </c>
      <c r="I111" s="94" cm="1">
        <f t="array" ref="I111">SUM(SUMIFS('caseload data'!J:J,'caseload data'!$D:$D,"DMY",'caseload data'!$A:$A,"North West Region",'caseload data'!$B:$B,{"licence","community"}))</f>
        <v>0</v>
      </c>
      <c r="J111" s="94" cm="1">
        <f t="array" ref="J111">SUM(SUMIFS('caseload data'!K:K,'caseload data'!$D:$D,"DMY",'caseload data'!$A:$A,"North West Region",'caseload data'!$B:$B,{"licence","community"}))</f>
        <v>0</v>
      </c>
      <c r="K111" s="94" cm="1">
        <f t="array" ref="K111">SUM(SUMIFS('caseload data'!L:L,'caseload data'!$D:$D,"DMY",'caseload data'!$A:$A,"North West Region",'caseload data'!$B:$B,{"licence","community"}))</f>
        <v>0</v>
      </c>
      <c r="L111" s="94" cm="1">
        <f t="array" ref="L111">SUM(SUMIFS('caseload data'!M:M,'caseload data'!$D:$D,"DMY",'caseload data'!$A:$A,"North West Region",'caseload data'!$B:$B,{"licence","community"}))</f>
        <v>0</v>
      </c>
      <c r="M111" s="94" cm="1">
        <f t="array" ref="M111">SUM(SUMIFS('caseload data'!N:N,'caseload data'!$D:$D,"DMY",'caseload data'!$A:$A,"North West Region",'caseload data'!$B:$B,{"licence","community"}))</f>
        <v>0</v>
      </c>
      <c r="N111" s="94" cm="1">
        <f t="array" ref="N111">SUM(SUMIFS('caseload data'!O:O,'caseload data'!$D:$D,"DMY",'caseload data'!$A:$A,"North West Region",'caseload data'!$B:$B,{"licence","community"}))</f>
        <v>0</v>
      </c>
      <c r="O111" s="94" cm="1">
        <f t="array" ref="O111">SUM(SUMIFS('caseload data'!P:P,'caseload data'!$D:$D,"DMY",'caseload data'!$A:$A,"North West Region",'caseload data'!$B:$B,{"licence","community"}))</f>
        <v>0</v>
      </c>
      <c r="P111" s="94" cm="1">
        <f t="array" ref="P111">SUM(SUMIFS('caseload data'!Q:Q,'caseload data'!$D:$D,"DMY",'caseload data'!$A:$A,"North West Region",'caseload data'!$B:$B,{"licence","community"}))</f>
        <v>0</v>
      </c>
      <c r="Q111" s="94" cm="1">
        <f t="array" ref="Q111">SUM(SUMIFS('caseload data'!R:R,'caseload data'!$D:$D,"DMY",'caseload data'!$A:$A,"North West Region",'caseload data'!$B:$B,{"licence","community"}))</f>
        <v>0</v>
      </c>
      <c r="R111" s="94" cm="1">
        <f t="array" ref="R111">SUM(SUMIFS('caseload data'!S:S,'caseload data'!$D:$D,"DMY",'caseload data'!$A:$A,"North West Region",'caseload data'!$B:$B,{"licence","community"}))</f>
        <v>0</v>
      </c>
      <c r="S111" s="94" cm="1">
        <f t="array" ref="S111">SUM(SUMIFS('caseload data'!T:T,'caseload data'!$D:$D,"DMY",'caseload data'!$A:$A,"North West Region",'caseload data'!$B:$B,{"licence","community"}))</f>
        <v>0</v>
      </c>
      <c r="T111" s="94" cm="1">
        <f t="array" ref="T111">SUM(SUMIFS('caseload data'!V:V,'caseload data'!$D:$D,"DMY",'caseload data'!$A:$A,"North West Region",'caseload data'!$B:$B,{"licence","community"}))</f>
        <v>0</v>
      </c>
      <c r="U111" s="64"/>
      <c r="V111" s="64"/>
      <c r="W111" s="505"/>
      <c r="X111" s="130" t="s">
        <v>1286</v>
      </c>
      <c r="Y111" s="167" t="e">
        <f t="shared" si="61"/>
        <v>#DIV/0!</v>
      </c>
      <c r="Z111" s="167" t="e">
        <f t="shared" si="60"/>
        <v>#DIV/0!</v>
      </c>
      <c r="AA111" s="167" t="e">
        <f t="shared" si="60"/>
        <v>#DIV/0!</v>
      </c>
      <c r="AB111" s="167" t="e">
        <f t="shared" si="60"/>
        <v>#DIV/0!</v>
      </c>
      <c r="AC111" s="167" t="e">
        <f t="shared" si="60"/>
        <v>#DIV/0!</v>
      </c>
      <c r="AD111" s="167" t="e">
        <f t="shared" si="60"/>
        <v>#DIV/0!</v>
      </c>
      <c r="AE111" s="167" t="e">
        <f t="shared" si="60"/>
        <v>#DIV/0!</v>
      </c>
      <c r="AF111" s="167" t="e">
        <f t="shared" si="60"/>
        <v>#DIV/0!</v>
      </c>
      <c r="AG111" s="167" t="e">
        <f t="shared" si="60"/>
        <v>#DIV/0!</v>
      </c>
      <c r="AH111" s="167" t="e">
        <f t="shared" si="60"/>
        <v>#DIV/0!</v>
      </c>
      <c r="AI111" s="167" t="e">
        <f t="shared" si="60"/>
        <v>#DIV/0!</v>
      </c>
      <c r="AJ111" s="167" t="e">
        <f t="shared" si="60"/>
        <v>#DIV/0!</v>
      </c>
      <c r="AK111" s="167" t="e">
        <f t="shared" si="60"/>
        <v>#DIV/0!</v>
      </c>
      <c r="AL111" s="167" t="e">
        <f t="shared" si="60"/>
        <v>#DIV/0!</v>
      </c>
      <c r="AM111" s="167" t="e">
        <f t="shared" si="60"/>
        <v>#DIV/0!</v>
      </c>
      <c r="AN111" s="167" t="e">
        <f t="shared" si="60"/>
        <v>#DIV/0!</v>
      </c>
      <c r="AO111" s="167" t="e">
        <f t="shared" si="60"/>
        <v>#DIV/0!</v>
      </c>
    </row>
    <row r="112" spans="2:41" x14ac:dyDescent="0.15">
      <c r="B112" s="503" t="s">
        <v>24</v>
      </c>
      <c r="C112" s="128" t="s">
        <v>947</v>
      </c>
      <c r="D112" s="94" cm="1">
        <f t="array" ref="D112">SUM(SUMIFS('caseload data'!E:E,'caseload data'!$D:$D,"PO",'caseload data'!$A:$A,$B$112,'caseload data'!$B:$B,{"licence","community"}))</f>
        <v>0</v>
      </c>
      <c r="E112" s="94" cm="1">
        <f t="array" ref="E112">SUM(SUMIFS('caseload data'!F:F,'caseload data'!$D:$D,"PO",'caseload data'!$A:$A,$B$112,'caseload data'!$B:$B,{"licence","community"}))</f>
        <v>0</v>
      </c>
      <c r="F112" s="94" cm="1">
        <f t="array" ref="F112">SUM(SUMIFS('caseload data'!G:G,'caseload data'!$D:$D,"PO",'caseload data'!$A:$A,$B$112,'caseload data'!$B:$B,{"licence","community"}))</f>
        <v>0</v>
      </c>
      <c r="G112" s="94" cm="1">
        <f t="array" ref="G112">SUM(SUMIFS('caseload data'!H:H,'caseload data'!$D:$D,"PO",'caseload data'!$A:$A,$B$112,'caseload data'!$B:$B,{"licence","community"}))</f>
        <v>0</v>
      </c>
      <c r="H112" s="94" cm="1">
        <f t="array" ref="H112">SUM(SUMIFS('caseload data'!I:I,'caseload data'!$D:$D,"PO",'caseload data'!$A:$A,$B$112,'caseload data'!$B:$B,{"licence","community"}))</f>
        <v>0</v>
      </c>
      <c r="I112" s="94" cm="1">
        <f t="array" ref="I112">SUM(SUMIFS('caseload data'!J:J,'caseload data'!$D:$D,"PO",'caseload data'!$A:$A,$B$112,'caseload data'!$B:$B,{"licence","community"}))</f>
        <v>0</v>
      </c>
      <c r="J112" s="94" cm="1">
        <f t="array" ref="J112">SUM(SUMIFS('caseload data'!K:K,'caseload data'!$D:$D,"PO",'caseload data'!$A:$A,$B$112,'caseload data'!$B:$B,{"licence","community"}))</f>
        <v>0</v>
      </c>
      <c r="K112" s="94" cm="1">
        <f t="array" ref="K112">SUM(SUMIFS('caseload data'!L:L,'caseload data'!$D:$D,"PO",'caseload data'!$A:$A,$B$112,'caseload data'!$B:$B,{"licence","community"}))</f>
        <v>0</v>
      </c>
      <c r="L112" s="94" cm="1">
        <f t="array" ref="L112">SUM(SUMIFS('caseload data'!M:M,'caseload data'!$D:$D,"PO",'caseload data'!$A:$A,$B$112,'caseload data'!$B:$B,{"licence","community"}))</f>
        <v>0</v>
      </c>
      <c r="M112" s="94" cm="1">
        <f t="array" ref="M112">SUM(SUMIFS('caseload data'!N:N,'caseload data'!$D:$D,"PO",'caseload data'!$A:$A,$B$112,'caseload data'!$B:$B,{"licence","community"}))</f>
        <v>0</v>
      </c>
      <c r="N112" s="94" cm="1">
        <f t="array" ref="N112">SUM(SUMIFS('caseload data'!O:O,'caseload data'!$D:$D,"PO",'caseload data'!$A:$A,$B$112,'caseload data'!$B:$B,{"licence","community"}))</f>
        <v>0</v>
      </c>
      <c r="O112" s="94" cm="1">
        <f t="array" ref="O112">SUM(SUMIFS('caseload data'!P:P,'caseload data'!$D:$D,"PO",'caseload data'!$A:$A,$B$112,'caseload data'!$B:$B,{"licence","community"}))</f>
        <v>0</v>
      </c>
      <c r="P112" s="94" cm="1">
        <f t="array" ref="P112">SUM(SUMIFS('caseload data'!Q:Q,'caseload data'!$D:$D,"PO",'caseload data'!$A:$A,$B$112,'caseload data'!$B:$B,{"licence","community"}))</f>
        <v>0</v>
      </c>
      <c r="Q112" s="94" cm="1">
        <f t="array" ref="Q112">SUM(SUMIFS('caseload data'!R:R,'caseload data'!$D:$D,"PO",'caseload data'!$A:$A,$B$112,'caseload data'!$B:$B,{"licence","community"}))</f>
        <v>0</v>
      </c>
      <c r="R112" s="94" cm="1">
        <f t="array" ref="R112">SUM(SUMIFS('caseload data'!S:S,'caseload data'!$D:$D,"PO",'caseload data'!$A:$A,$B$112,'caseload data'!$B:$B,{"licence","community"}))</f>
        <v>0</v>
      </c>
      <c r="S112" s="94" cm="1">
        <f t="array" ref="S112">SUM(SUMIFS('caseload data'!T:T,'caseload data'!$D:$D,"PO",'caseload data'!$A:$A,$B$112,'caseload data'!$B:$B,{"licence","community"}))</f>
        <v>0</v>
      </c>
      <c r="T112" s="94">
        <f>SUM(SUMIFS('caseload data'!V:V,'caseload data'!D:D,"PO",'caseload data'!A:A,B112,'caseload data'!B:B,{"licence","community"}))</f>
        <v>0</v>
      </c>
      <c r="U112" s="64"/>
      <c r="V112" s="64"/>
      <c r="W112" s="503" t="s">
        <v>24</v>
      </c>
      <c r="X112" s="128" t="s">
        <v>947</v>
      </c>
      <c r="Y112" s="167" t="e">
        <f>SUM(D112)/SUM(D$112:D$116)</f>
        <v>#DIV/0!</v>
      </c>
      <c r="Z112" s="167" t="e">
        <f t="shared" ref="Z112:AO116" si="62">SUM(E112)/SUM(E$112:E$116)</f>
        <v>#DIV/0!</v>
      </c>
      <c r="AA112" s="167" t="e">
        <f t="shared" si="62"/>
        <v>#DIV/0!</v>
      </c>
      <c r="AB112" s="167" t="e">
        <f t="shared" si="62"/>
        <v>#DIV/0!</v>
      </c>
      <c r="AC112" s="167" t="e">
        <f t="shared" si="62"/>
        <v>#DIV/0!</v>
      </c>
      <c r="AD112" s="167" t="e">
        <f t="shared" si="62"/>
        <v>#DIV/0!</v>
      </c>
      <c r="AE112" s="167" t="e">
        <f t="shared" si="62"/>
        <v>#DIV/0!</v>
      </c>
      <c r="AF112" s="167" t="e">
        <f t="shared" si="62"/>
        <v>#DIV/0!</v>
      </c>
      <c r="AG112" s="167" t="e">
        <f t="shared" si="62"/>
        <v>#DIV/0!</v>
      </c>
      <c r="AH112" s="167" t="e">
        <f t="shared" si="62"/>
        <v>#DIV/0!</v>
      </c>
      <c r="AI112" s="167" t="e">
        <f t="shared" si="62"/>
        <v>#DIV/0!</v>
      </c>
      <c r="AJ112" s="167" t="e">
        <f t="shared" si="62"/>
        <v>#DIV/0!</v>
      </c>
      <c r="AK112" s="167" t="e">
        <f t="shared" si="62"/>
        <v>#DIV/0!</v>
      </c>
      <c r="AL112" s="167" t="e">
        <f t="shared" si="62"/>
        <v>#DIV/0!</v>
      </c>
      <c r="AM112" s="167" t="e">
        <f t="shared" si="62"/>
        <v>#DIV/0!</v>
      </c>
      <c r="AN112" s="167" t="e">
        <f t="shared" si="62"/>
        <v>#DIV/0!</v>
      </c>
      <c r="AO112" s="167" t="e">
        <f t="shared" si="62"/>
        <v>#DIV/0!</v>
      </c>
    </row>
    <row r="113" spans="2:41" x14ac:dyDescent="0.15">
      <c r="B113" s="504"/>
      <c r="C113" s="129" t="s">
        <v>952</v>
      </c>
      <c r="D113" s="94" cm="1">
        <f t="array" ref="D113">SUM(SUMIFS('caseload data'!E:E,'caseload data'!$D:$D,"PSO",'caseload data'!$A:$A,"South Central",'caseload data'!$B:$B,{"licence","community"}))</f>
        <v>0</v>
      </c>
      <c r="E113" s="94" cm="1">
        <f t="array" ref="E113">SUM(SUMIFS('caseload data'!F:F,'caseload data'!$D:$D,"PSO",'caseload data'!$A:$A,"South Central",'caseload data'!$B:$B,{"licence","community"}))</f>
        <v>0</v>
      </c>
      <c r="F113" s="94" cm="1">
        <f t="array" ref="F113">SUM(SUMIFS('caseload data'!G:G,'caseload data'!$D:$D,"PSO",'caseload data'!$A:$A,"South Central",'caseload data'!$B:$B,{"licence","community"}))</f>
        <v>0</v>
      </c>
      <c r="G113" s="94" cm="1">
        <f t="array" ref="G113">SUM(SUMIFS('caseload data'!H:H,'caseload data'!$D:$D,"PSO",'caseload data'!$A:$A,"South Central",'caseload data'!$B:$B,{"licence","community"}))</f>
        <v>0</v>
      </c>
      <c r="H113" s="94" cm="1">
        <f t="array" ref="H113">SUM(SUMIFS('caseload data'!I:I,'caseload data'!$D:$D,"PSO",'caseload data'!$A:$A,"South Central",'caseload data'!$B:$B,{"licence","community"}))</f>
        <v>0</v>
      </c>
      <c r="I113" s="94" cm="1">
        <f t="array" ref="I113">SUM(SUMIFS('caseload data'!J:J,'caseload data'!$D:$D,"PSO",'caseload data'!$A:$A,"South Central",'caseload data'!$B:$B,{"licence","community"}))</f>
        <v>0</v>
      </c>
      <c r="J113" s="94" cm="1">
        <f t="array" ref="J113">SUM(SUMIFS('caseload data'!K:K,'caseload data'!$D:$D,"PSO",'caseload data'!$A:$A,"South Central",'caseload data'!$B:$B,{"licence","community"}))</f>
        <v>0</v>
      </c>
      <c r="K113" s="94" cm="1">
        <f t="array" ref="K113">SUM(SUMIFS('caseload data'!L:L,'caseload data'!$D:$D,"PSO",'caseload data'!$A:$A,"South Central",'caseload data'!$B:$B,{"licence","community"}))</f>
        <v>0</v>
      </c>
      <c r="L113" s="94" cm="1">
        <f t="array" ref="L113">SUM(SUMIFS('caseload data'!M:M,'caseload data'!$D:$D,"PSO",'caseload data'!$A:$A,"South Central",'caseload data'!$B:$B,{"licence","community"}))</f>
        <v>0</v>
      </c>
      <c r="M113" s="94" cm="1">
        <f t="array" ref="M113">SUM(SUMIFS('caseload data'!N:N,'caseload data'!$D:$D,"PSO",'caseload data'!$A:$A,"South Central",'caseload data'!$B:$B,{"licence","community"}))</f>
        <v>0</v>
      </c>
      <c r="N113" s="94" cm="1">
        <f t="array" ref="N113">SUM(SUMIFS('caseload data'!O:O,'caseload data'!$D:$D,"PSO",'caseload data'!$A:$A,"South Central",'caseload data'!$B:$B,{"licence","community"}))</f>
        <v>0</v>
      </c>
      <c r="O113" s="94" cm="1">
        <f t="array" ref="O113">SUM(SUMIFS('caseload data'!P:P,'caseload data'!$D:$D,"PSO",'caseload data'!$A:$A,"South Central",'caseload data'!$B:$B,{"licence","community"}))</f>
        <v>0</v>
      </c>
      <c r="P113" s="94" cm="1">
        <f t="array" ref="P113">SUM(SUMIFS('caseload data'!Q:Q,'caseload data'!$D:$D,"PSO",'caseload data'!$A:$A,"South Central",'caseload data'!$B:$B,{"licence","community"}))</f>
        <v>0</v>
      </c>
      <c r="Q113" s="94" cm="1">
        <f t="array" ref="Q113">SUM(SUMIFS('caseload data'!R:R,'caseload data'!$D:$D,"PSO",'caseload data'!$A:$A,"South Central",'caseload data'!$B:$B,{"licence","community"}))</f>
        <v>0</v>
      </c>
      <c r="R113" s="94" cm="1">
        <f t="array" ref="R113">SUM(SUMIFS('caseload data'!S:S,'caseload data'!$D:$D,"PSO",'caseload data'!$A:$A,"South Central",'caseload data'!$B:$B,{"licence","community"}))</f>
        <v>0</v>
      </c>
      <c r="S113" s="94" cm="1">
        <f t="array" ref="S113">SUM(SUMIFS('caseload data'!T:T,'caseload data'!$D:$D,"PSO",'caseload data'!$A:$A,"South Central",'caseload data'!$B:$B,{"licence","community"}))</f>
        <v>0</v>
      </c>
      <c r="T113" s="94" cm="1">
        <f t="array" ref="T113">SUM(SUMIFS('caseload data'!V:V,'caseload data'!D:D,"PSO",'caseload data'!A:A,"South Central",'caseload data'!B:B,{"licence","community"}))</f>
        <v>0</v>
      </c>
      <c r="U113" s="64"/>
      <c r="V113" s="64"/>
      <c r="W113" s="504"/>
      <c r="X113" s="129" t="s">
        <v>952</v>
      </c>
      <c r="Y113" s="167" t="e">
        <f t="shared" ref="Y113:Y115" si="63">SUM(D113)/SUM(D$112:D$116)</f>
        <v>#DIV/0!</v>
      </c>
      <c r="Z113" s="167" t="e">
        <f t="shared" si="62"/>
        <v>#DIV/0!</v>
      </c>
      <c r="AA113" s="167" t="e">
        <f t="shared" si="62"/>
        <v>#DIV/0!</v>
      </c>
      <c r="AB113" s="167" t="e">
        <f t="shared" si="62"/>
        <v>#DIV/0!</v>
      </c>
      <c r="AC113" s="167" t="e">
        <f t="shared" si="62"/>
        <v>#DIV/0!</v>
      </c>
      <c r="AD113" s="167" t="e">
        <f t="shared" si="62"/>
        <v>#DIV/0!</v>
      </c>
      <c r="AE113" s="167" t="e">
        <f t="shared" si="62"/>
        <v>#DIV/0!</v>
      </c>
      <c r="AF113" s="167" t="e">
        <f t="shared" si="62"/>
        <v>#DIV/0!</v>
      </c>
      <c r="AG113" s="167" t="e">
        <f t="shared" si="62"/>
        <v>#DIV/0!</v>
      </c>
      <c r="AH113" s="167" t="e">
        <f t="shared" si="62"/>
        <v>#DIV/0!</v>
      </c>
      <c r="AI113" s="167" t="e">
        <f t="shared" si="62"/>
        <v>#DIV/0!</v>
      </c>
      <c r="AJ113" s="167" t="e">
        <f t="shared" si="62"/>
        <v>#DIV/0!</v>
      </c>
      <c r="AK113" s="167" t="e">
        <f t="shared" si="62"/>
        <v>#DIV/0!</v>
      </c>
      <c r="AL113" s="167" t="e">
        <f t="shared" si="62"/>
        <v>#DIV/0!</v>
      </c>
      <c r="AM113" s="167" t="e">
        <f t="shared" si="62"/>
        <v>#DIV/0!</v>
      </c>
      <c r="AN113" s="167" t="e">
        <f t="shared" si="62"/>
        <v>#DIV/0!</v>
      </c>
      <c r="AO113" s="167" t="e">
        <f t="shared" si="62"/>
        <v>#DIV/0!</v>
      </c>
    </row>
    <row r="114" spans="2:41" x14ac:dyDescent="0.15">
      <c r="B114" s="504"/>
      <c r="C114" s="129" t="s">
        <v>953</v>
      </c>
      <c r="D114" s="94" cm="1">
        <f t="array" ref="D114">SUM(SUMIFS('caseload data'!E:E,'caseload data'!$D:$D,"TPO",'caseload data'!$A:$A,"South Central",'caseload data'!$B:$B,{"licence","community"}))</f>
        <v>0</v>
      </c>
      <c r="E114" s="94" cm="1">
        <f t="array" ref="E114">SUM(SUMIFS('caseload data'!F:F,'caseload data'!$D:$D,"TPO",'caseload data'!$A:$A,"South Central",'caseload data'!$B:$B,{"licence","community"}))</f>
        <v>0</v>
      </c>
      <c r="F114" s="94" cm="1">
        <f t="array" ref="F114">SUM(SUMIFS('caseload data'!G:G,'caseload data'!$D:$D,"TPO",'caseload data'!$A:$A,"South Central",'caseload data'!$B:$B,{"licence","community"}))</f>
        <v>0</v>
      </c>
      <c r="G114" s="94" cm="1">
        <f t="array" ref="G114">SUM(SUMIFS('caseload data'!H:H,'caseload data'!$D:$D,"TPO",'caseload data'!$A:$A,"South Central",'caseload data'!$B:$B,{"licence","community"}))</f>
        <v>0</v>
      </c>
      <c r="H114" s="94" cm="1">
        <f t="array" ref="H114">SUM(SUMIFS('caseload data'!I:I,'caseload data'!$D:$D,"TPO",'caseload data'!$A:$A,"South Central",'caseload data'!$B:$B,{"licence","community"}))</f>
        <v>0</v>
      </c>
      <c r="I114" s="94" cm="1">
        <f t="array" ref="I114">SUM(SUMIFS('caseload data'!J:J,'caseload data'!$D:$D,"TPO",'caseload data'!$A:$A,"South Central",'caseload data'!$B:$B,{"licence","community"}))</f>
        <v>0</v>
      </c>
      <c r="J114" s="94" cm="1">
        <f t="array" ref="J114">SUM(SUMIFS('caseload data'!K:K,'caseload data'!$D:$D,"TPO",'caseload data'!$A:$A,"South Central",'caseload data'!$B:$B,{"licence","community"}))</f>
        <v>0</v>
      </c>
      <c r="K114" s="94" cm="1">
        <f t="array" ref="K114">SUM(SUMIFS('caseload data'!L:L,'caseload data'!$D:$D,"TPO",'caseload data'!$A:$A,"South Central",'caseload data'!$B:$B,{"licence","community"}))</f>
        <v>0</v>
      </c>
      <c r="L114" s="94" cm="1">
        <f t="array" ref="L114">SUM(SUMIFS('caseload data'!M:M,'caseload data'!$D:$D,"TPO",'caseload data'!$A:$A,"South Central",'caseload data'!$B:$B,{"licence","community"}))</f>
        <v>0</v>
      </c>
      <c r="M114" s="94" cm="1">
        <f t="array" ref="M114">SUM(SUMIFS('caseload data'!N:N,'caseload data'!$D:$D,"TPO",'caseload data'!$A:$A,"South Central",'caseload data'!$B:$B,{"licence","community"}))</f>
        <v>0</v>
      </c>
      <c r="N114" s="94" cm="1">
        <f t="array" ref="N114">SUM(SUMIFS('caseload data'!O:O,'caseload data'!$D:$D,"TPO",'caseload data'!$A:$A,"South Central",'caseload data'!$B:$B,{"licence","community"}))</f>
        <v>0</v>
      </c>
      <c r="O114" s="94" cm="1">
        <f t="array" ref="O114">SUM(SUMIFS('caseload data'!P:P,'caseload data'!$D:$D,"TPO",'caseload data'!$A:$A,"South Central",'caseload data'!$B:$B,{"licence","community"}))</f>
        <v>0</v>
      </c>
      <c r="P114" s="94" cm="1">
        <f t="array" ref="P114">SUM(SUMIFS('caseload data'!Q:Q,'caseload data'!$D:$D,"TPO",'caseload data'!$A:$A,"South Central",'caseload data'!$B:$B,{"licence","community"}))</f>
        <v>0</v>
      </c>
      <c r="Q114" s="94" cm="1">
        <f t="array" ref="Q114">SUM(SUMIFS('caseload data'!R:R,'caseload data'!$D:$D,"TPO",'caseload data'!$A:$A,"South Central",'caseload data'!$B:$B,{"licence","community"}))</f>
        <v>0</v>
      </c>
      <c r="R114" s="94" cm="1">
        <f t="array" ref="R114">SUM(SUMIFS('caseload data'!S:S,'caseload data'!$D:$D,"TPO",'caseload data'!$A:$A,"South Central",'caseload data'!$B:$B,{"licence","community"}))</f>
        <v>0</v>
      </c>
      <c r="S114" s="94" cm="1">
        <f t="array" ref="S114">SUM(SUMIFS('caseload data'!T:T,'caseload data'!$D:$D,"TPO",'caseload data'!$A:$A,"South Central",'caseload data'!$B:$B,{"licence","community"}))</f>
        <v>0</v>
      </c>
      <c r="T114" s="94" cm="1">
        <f t="array" ref="T114">SUM(SUMIFS('caseload data'!V:V,'caseload data'!D:D,"TPO",'caseload data'!A:A,"South Central",'caseload data'!B:B,{"licence","community"}))</f>
        <v>0</v>
      </c>
      <c r="U114" s="64"/>
      <c r="V114" s="64"/>
      <c r="W114" s="504"/>
      <c r="X114" s="129" t="s">
        <v>953</v>
      </c>
      <c r="Y114" s="167" t="e">
        <f t="shared" si="63"/>
        <v>#DIV/0!</v>
      </c>
      <c r="Z114" s="167" t="e">
        <f t="shared" si="62"/>
        <v>#DIV/0!</v>
      </c>
      <c r="AA114" s="167" t="e">
        <f t="shared" si="62"/>
        <v>#DIV/0!</v>
      </c>
      <c r="AB114" s="167" t="e">
        <f t="shared" si="62"/>
        <v>#DIV/0!</v>
      </c>
      <c r="AC114" s="167" t="e">
        <f t="shared" si="62"/>
        <v>#DIV/0!</v>
      </c>
      <c r="AD114" s="167" t="e">
        <f t="shared" si="62"/>
        <v>#DIV/0!</v>
      </c>
      <c r="AE114" s="167" t="e">
        <f t="shared" si="62"/>
        <v>#DIV/0!</v>
      </c>
      <c r="AF114" s="167" t="e">
        <f t="shared" si="62"/>
        <v>#DIV/0!</v>
      </c>
      <c r="AG114" s="167" t="e">
        <f t="shared" si="62"/>
        <v>#DIV/0!</v>
      </c>
      <c r="AH114" s="167" t="e">
        <f t="shared" si="62"/>
        <v>#DIV/0!</v>
      </c>
      <c r="AI114" s="167" t="e">
        <f t="shared" si="62"/>
        <v>#DIV/0!</v>
      </c>
      <c r="AJ114" s="167" t="e">
        <f t="shared" si="62"/>
        <v>#DIV/0!</v>
      </c>
      <c r="AK114" s="167" t="e">
        <f t="shared" si="62"/>
        <v>#DIV/0!</v>
      </c>
      <c r="AL114" s="167" t="e">
        <f t="shared" si="62"/>
        <v>#DIV/0!</v>
      </c>
      <c r="AM114" s="167" t="e">
        <f t="shared" si="62"/>
        <v>#DIV/0!</v>
      </c>
      <c r="AN114" s="167" t="e">
        <f t="shared" si="62"/>
        <v>#DIV/0!</v>
      </c>
      <c r="AO114" s="167" t="e">
        <f t="shared" si="62"/>
        <v>#DIV/0!</v>
      </c>
    </row>
    <row r="115" spans="2:41" x14ac:dyDescent="0.15">
      <c r="B115" s="504"/>
      <c r="C115" s="129" t="s">
        <v>954</v>
      </c>
      <c r="D115" s="94" cm="1">
        <f t="array" ref="D115">SUM(SUMIFS('caseload data'!E:E,'caseload data'!$D:$D,"SPO",'caseload data'!$A:$A,"South Central",'caseload data'!$B:$B,{"licence","community"}))</f>
        <v>0</v>
      </c>
      <c r="E115" s="94" cm="1">
        <f t="array" ref="E115">SUM(SUMIFS('caseload data'!F:F,'caseload data'!$D:$D,"SPO",'caseload data'!$A:$A,"South Central",'caseload data'!$B:$B,{"licence","community"}))</f>
        <v>0</v>
      </c>
      <c r="F115" s="94" cm="1">
        <f t="array" ref="F115">SUM(SUMIFS('caseload data'!G:G,'caseload data'!$D:$D,"SPO",'caseload data'!$A:$A,"South Central",'caseload data'!$B:$B,{"licence","community"}))</f>
        <v>0</v>
      </c>
      <c r="G115" s="94" cm="1">
        <f t="array" ref="G115">SUM(SUMIFS('caseload data'!H:H,'caseload data'!$D:$D,"SPO",'caseload data'!$A:$A,"South Central",'caseload data'!$B:$B,{"licence","community"}))</f>
        <v>0</v>
      </c>
      <c r="H115" s="94" cm="1">
        <f t="array" ref="H115">SUM(SUMIFS('caseload data'!I:I,'caseload data'!$D:$D,"SPO",'caseload data'!$A:$A,"South Central",'caseload data'!$B:$B,{"licence","community"}))</f>
        <v>0</v>
      </c>
      <c r="I115" s="94" cm="1">
        <f t="array" ref="I115">SUM(SUMIFS('caseload data'!J:J,'caseload data'!$D:$D,"SPO",'caseload data'!$A:$A,"South Central",'caseload data'!$B:$B,{"licence","community"}))</f>
        <v>0</v>
      </c>
      <c r="J115" s="94" cm="1">
        <f t="array" ref="J115">SUM(SUMIFS('caseload data'!K:K,'caseload data'!$D:$D,"SPO",'caseload data'!$A:$A,"South Central",'caseload data'!$B:$B,{"licence","community"}))</f>
        <v>0</v>
      </c>
      <c r="K115" s="94" cm="1">
        <f t="array" ref="K115">SUM(SUMIFS('caseload data'!L:L,'caseload data'!$D:$D,"SPO",'caseload data'!$A:$A,"South Central",'caseload data'!$B:$B,{"licence","community"}))</f>
        <v>0</v>
      </c>
      <c r="L115" s="94" cm="1">
        <f t="array" ref="L115">SUM(SUMIFS('caseload data'!M:M,'caseload data'!$D:$D,"SPO",'caseload data'!$A:$A,"South Central",'caseload data'!$B:$B,{"licence","community"}))</f>
        <v>0</v>
      </c>
      <c r="M115" s="94" cm="1">
        <f t="array" ref="M115">SUM(SUMIFS('caseload data'!N:N,'caseload data'!$D:$D,"SPO",'caseload data'!$A:$A,"South Central",'caseload data'!$B:$B,{"licence","community"}))</f>
        <v>0</v>
      </c>
      <c r="N115" s="94" cm="1">
        <f t="array" ref="N115">SUM(SUMIFS('caseload data'!O:O,'caseload data'!$D:$D,"SPO",'caseload data'!$A:$A,"South Central",'caseload data'!$B:$B,{"licence","community"}))</f>
        <v>0</v>
      </c>
      <c r="O115" s="94" cm="1">
        <f t="array" ref="O115">SUM(SUMIFS('caseload data'!P:P,'caseload data'!$D:$D,"SPO",'caseload data'!$A:$A,"South Central",'caseload data'!$B:$B,{"licence","community"}))</f>
        <v>0</v>
      </c>
      <c r="P115" s="94" cm="1">
        <f t="array" ref="P115">SUM(SUMIFS('caseload data'!Q:Q,'caseload data'!$D:$D,"SPO",'caseload data'!$A:$A,"South Central",'caseload data'!$B:$B,{"licence","community"}))</f>
        <v>0</v>
      </c>
      <c r="Q115" s="94" cm="1">
        <f t="array" ref="Q115">SUM(SUMIFS('caseload data'!R:R,'caseload data'!$D:$D,"SPO",'caseload data'!$A:$A,"South Central",'caseload data'!$B:$B,{"licence","community"}))</f>
        <v>0</v>
      </c>
      <c r="R115" s="94" cm="1">
        <f t="array" ref="R115">SUM(SUMIFS('caseload data'!S:S,'caseload data'!$D:$D,"SPO",'caseload data'!$A:$A,"South Central",'caseload data'!$B:$B,{"licence","community"}))</f>
        <v>0</v>
      </c>
      <c r="S115" s="94" cm="1">
        <f t="array" ref="S115">SUM(SUMIFS('caseload data'!T:T,'caseload data'!$D:$D,"SPO",'caseload data'!$A:$A,"South Central",'caseload data'!$B:$B,{"licence","community"}))</f>
        <v>0</v>
      </c>
      <c r="T115" s="94" cm="1">
        <f t="array" ref="T115">SUM(SUMIFS('caseload data'!V:V,'caseload data'!$D:$D,"SPO",'caseload data'!$A:$A,"South Central",'caseload data'!$B:$B,{"licence","community"}))</f>
        <v>0</v>
      </c>
      <c r="U115" s="64"/>
      <c r="V115" s="64"/>
      <c r="W115" s="504"/>
      <c r="X115" s="129" t="s">
        <v>954</v>
      </c>
      <c r="Y115" s="167" t="e">
        <f t="shared" si="63"/>
        <v>#DIV/0!</v>
      </c>
      <c r="Z115" s="167" t="e">
        <f t="shared" si="62"/>
        <v>#DIV/0!</v>
      </c>
      <c r="AA115" s="167" t="e">
        <f t="shared" si="62"/>
        <v>#DIV/0!</v>
      </c>
      <c r="AB115" s="167" t="e">
        <f t="shared" si="62"/>
        <v>#DIV/0!</v>
      </c>
      <c r="AC115" s="167" t="e">
        <f t="shared" si="62"/>
        <v>#DIV/0!</v>
      </c>
      <c r="AD115" s="167" t="e">
        <f t="shared" si="62"/>
        <v>#DIV/0!</v>
      </c>
      <c r="AE115" s="167" t="e">
        <f t="shared" si="62"/>
        <v>#DIV/0!</v>
      </c>
      <c r="AF115" s="167" t="e">
        <f t="shared" si="62"/>
        <v>#DIV/0!</v>
      </c>
      <c r="AG115" s="167" t="e">
        <f t="shared" si="62"/>
        <v>#DIV/0!</v>
      </c>
      <c r="AH115" s="167" t="e">
        <f t="shared" si="62"/>
        <v>#DIV/0!</v>
      </c>
      <c r="AI115" s="167" t="e">
        <f t="shared" si="62"/>
        <v>#DIV/0!</v>
      </c>
      <c r="AJ115" s="167" t="e">
        <f t="shared" si="62"/>
        <v>#DIV/0!</v>
      </c>
      <c r="AK115" s="167" t="e">
        <f t="shared" si="62"/>
        <v>#DIV/0!</v>
      </c>
      <c r="AL115" s="167" t="e">
        <f t="shared" si="62"/>
        <v>#DIV/0!</v>
      </c>
      <c r="AM115" s="167" t="e">
        <f t="shared" si="62"/>
        <v>#DIV/0!</v>
      </c>
      <c r="AN115" s="167" t="e">
        <f t="shared" si="62"/>
        <v>#DIV/0!</v>
      </c>
      <c r="AO115" s="167" t="e">
        <f t="shared" si="62"/>
        <v>#DIV/0!</v>
      </c>
    </row>
    <row r="116" spans="2:41" x14ac:dyDescent="0.15">
      <c r="B116" s="505"/>
      <c r="C116" s="130" t="s">
        <v>1286</v>
      </c>
      <c r="D116" s="94" cm="1">
        <f t="array" ref="D116">SUM(SUMIFS('caseload data'!E:E,'caseload data'!$D:$D,"DMY",'caseload data'!$A:$A,"South Central",'caseload data'!$B:$B,{"licence","community"}))</f>
        <v>0</v>
      </c>
      <c r="E116" s="94" cm="1">
        <f t="array" ref="E116">SUM(SUMIFS('caseload data'!F:F,'caseload data'!$D:$D,"DMY",'caseload data'!$A:$A,"South Central",'caseload data'!$B:$B,{"licence","community"}))</f>
        <v>0</v>
      </c>
      <c r="F116" s="94" cm="1">
        <f t="array" ref="F116">SUM(SUMIFS('caseload data'!G:G,'caseload data'!$D:$D,"DMY",'caseload data'!$A:$A,"South Central",'caseload data'!$B:$B,{"licence","community"}))</f>
        <v>0</v>
      </c>
      <c r="G116" s="94" cm="1">
        <f t="array" ref="G116">SUM(SUMIFS('caseload data'!H:H,'caseload data'!$D:$D,"DMY",'caseload data'!$A:$A,"South Central",'caseload data'!$B:$B,{"licence","community"}))</f>
        <v>0</v>
      </c>
      <c r="H116" s="94" cm="1">
        <f t="array" ref="H116">SUM(SUMIFS('caseload data'!I:I,'caseload data'!$D:$D,"DMY",'caseload data'!$A:$A,"South Central",'caseload data'!$B:$B,{"licence","community"}))</f>
        <v>0</v>
      </c>
      <c r="I116" s="94" cm="1">
        <f t="array" ref="I116">SUM(SUMIFS('caseload data'!J:J,'caseload data'!$D:$D,"DMY",'caseload data'!$A:$A,"South Central",'caseload data'!$B:$B,{"licence","community"}))</f>
        <v>0</v>
      </c>
      <c r="J116" s="94" cm="1">
        <f t="array" ref="J116">SUM(SUMIFS('caseload data'!K:K,'caseload data'!$D:$D,"DMY",'caseload data'!$A:$A,"South Central",'caseload data'!$B:$B,{"licence","community"}))</f>
        <v>0</v>
      </c>
      <c r="K116" s="94" cm="1">
        <f t="array" ref="K116">SUM(SUMIFS('caseload data'!L:L,'caseload data'!$D:$D,"DMY",'caseload data'!$A:$A,"South Central",'caseload data'!$B:$B,{"licence","community"}))</f>
        <v>0</v>
      </c>
      <c r="L116" s="94" cm="1">
        <f t="array" ref="L116">SUM(SUMIFS('caseload data'!M:M,'caseload data'!$D:$D,"DMY",'caseload data'!$A:$A,"South Central",'caseload data'!$B:$B,{"licence","community"}))</f>
        <v>0</v>
      </c>
      <c r="M116" s="94" cm="1">
        <f t="array" ref="M116">SUM(SUMIFS('caseload data'!N:N,'caseload data'!$D:$D,"DMY",'caseload data'!$A:$A,"South Central",'caseload data'!$B:$B,{"licence","community"}))</f>
        <v>0</v>
      </c>
      <c r="N116" s="94" cm="1">
        <f t="array" ref="N116">SUM(SUMIFS('caseload data'!O:O,'caseload data'!$D:$D,"DMY",'caseload data'!$A:$A,"South Central",'caseload data'!$B:$B,{"licence","community"}))</f>
        <v>0</v>
      </c>
      <c r="O116" s="94" cm="1">
        <f t="array" ref="O116">SUM(SUMIFS('caseload data'!P:P,'caseload data'!$D:$D,"DMY",'caseload data'!$A:$A,"South Central",'caseload data'!$B:$B,{"licence","community"}))</f>
        <v>0</v>
      </c>
      <c r="P116" s="94" cm="1">
        <f t="array" ref="P116">SUM(SUMIFS('caseload data'!Q:Q,'caseload data'!$D:$D,"DMY",'caseload data'!$A:$A,"South Central",'caseload data'!$B:$B,{"licence","community"}))</f>
        <v>0</v>
      </c>
      <c r="Q116" s="94" cm="1">
        <f t="array" ref="Q116">SUM(SUMIFS('caseload data'!R:R,'caseload data'!$D:$D,"DMY",'caseload data'!$A:$A,"South Central",'caseload data'!$B:$B,{"licence","community"}))</f>
        <v>0</v>
      </c>
      <c r="R116" s="94" cm="1">
        <f t="array" ref="R116">SUM(SUMIFS('caseload data'!S:S,'caseload data'!$D:$D,"DMY",'caseload data'!$A:$A,"South Central",'caseload data'!$B:$B,{"licence","community"}))</f>
        <v>0</v>
      </c>
      <c r="S116" s="94" cm="1">
        <f t="array" ref="S116">SUM(SUMIFS('caseload data'!T:T,'caseload data'!$D:$D,"DMY",'caseload data'!$A:$A,"South Central",'caseload data'!$B:$B,{"licence","community"}))</f>
        <v>0</v>
      </c>
      <c r="T116" s="94" cm="1">
        <f t="array" ref="T116">SUM(SUMIFS('caseload data'!V:V,'caseload data'!$D:$D,"DMY",'caseload data'!$A:$A,"South Central",'caseload data'!$B:$B,{"licence","community"}))</f>
        <v>0</v>
      </c>
      <c r="U116" s="64"/>
      <c r="V116" s="64"/>
      <c r="W116" s="505"/>
      <c r="X116" s="130" t="s">
        <v>1286</v>
      </c>
      <c r="Y116" s="167" t="e">
        <f>SUM(D116)/SUM(D$112:D$116)</f>
        <v>#DIV/0!</v>
      </c>
      <c r="Z116" s="167" t="e">
        <f t="shared" si="62"/>
        <v>#DIV/0!</v>
      </c>
      <c r="AA116" s="167" t="e">
        <f t="shared" si="62"/>
        <v>#DIV/0!</v>
      </c>
      <c r="AB116" s="167" t="e">
        <f t="shared" si="62"/>
        <v>#DIV/0!</v>
      </c>
      <c r="AC116" s="167" t="e">
        <f t="shared" si="62"/>
        <v>#DIV/0!</v>
      </c>
      <c r="AD116" s="167" t="e">
        <f t="shared" si="62"/>
        <v>#DIV/0!</v>
      </c>
      <c r="AE116" s="167" t="e">
        <f t="shared" si="62"/>
        <v>#DIV/0!</v>
      </c>
      <c r="AF116" s="167" t="e">
        <f t="shared" si="62"/>
        <v>#DIV/0!</v>
      </c>
      <c r="AG116" s="167" t="e">
        <f t="shared" si="62"/>
        <v>#DIV/0!</v>
      </c>
      <c r="AH116" s="167" t="e">
        <f t="shared" si="62"/>
        <v>#DIV/0!</v>
      </c>
      <c r="AI116" s="167" t="e">
        <f t="shared" si="62"/>
        <v>#DIV/0!</v>
      </c>
      <c r="AJ116" s="167" t="e">
        <f t="shared" si="62"/>
        <v>#DIV/0!</v>
      </c>
      <c r="AK116" s="167" t="e">
        <f t="shared" si="62"/>
        <v>#DIV/0!</v>
      </c>
      <c r="AL116" s="167" t="e">
        <f t="shared" si="62"/>
        <v>#DIV/0!</v>
      </c>
      <c r="AM116" s="167" t="e">
        <f t="shared" si="62"/>
        <v>#DIV/0!</v>
      </c>
      <c r="AN116" s="167" t="e">
        <f t="shared" si="62"/>
        <v>#DIV/0!</v>
      </c>
      <c r="AO116" s="167" t="e">
        <f t="shared" si="62"/>
        <v>#DIV/0!</v>
      </c>
    </row>
    <row r="117" spans="2:41" x14ac:dyDescent="0.15">
      <c r="B117" s="503" t="s">
        <v>25</v>
      </c>
      <c r="C117" s="128" t="s">
        <v>947</v>
      </c>
      <c r="D117" s="94" cm="1">
        <f t="array" ref="D117">SUM(SUMIFS('caseload data'!E:E,'caseload data'!$D:$D,"PO",'caseload data'!$A:$A,$B$117,'caseload data'!$B:$B,{"licence","community"}))</f>
        <v>0</v>
      </c>
      <c r="E117" s="94" cm="1">
        <f t="array" ref="E117">SUM(SUMIFS('caseload data'!F:F,'caseload data'!$D:$D,"PO",'caseload data'!$A:$A,$B$117,'caseload data'!$B:$B,{"licence","community"}))</f>
        <v>0</v>
      </c>
      <c r="F117" s="94" cm="1">
        <f t="array" ref="F117">SUM(SUMIFS('caseload data'!G:G,'caseload data'!$D:$D,"PO",'caseload data'!$A:$A,$B$117,'caseload data'!$B:$B,{"licence","community"}))</f>
        <v>0</v>
      </c>
      <c r="G117" s="94" cm="1">
        <f t="array" ref="G117">SUM(SUMIFS('caseload data'!H:H,'caseload data'!$D:$D,"PO",'caseload data'!$A:$A,$B$117,'caseload data'!$B:$B,{"licence","community"}))</f>
        <v>0</v>
      </c>
      <c r="H117" s="94" cm="1">
        <f t="array" ref="H117">SUM(SUMIFS('caseload data'!I:I,'caseload data'!$D:$D,"PO",'caseload data'!$A:$A,$B$117,'caseload data'!$B:$B,{"licence","community"}))</f>
        <v>0</v>
      </c>
      <c r="I117" s="94" cm="1">
        <f t="array" ref="I117">SUM(SUMIFS('caseload data'!J:J,'caseload data'!$D:$D,"PO",'caseload data'!$A:$A,$B$117,'caseload data'!$B:$B,{"licence","community"}))</f>
        <v>0</v>
      </c>
      <c r="J117" s="94" cm="1">
        <f t="array" ref="J117">SUM(SUMIFS('caseload data'!K:K,'caseload data'!$D:$D,"PO",'caseload data'!$A:$A,$B$117,'caseload data'!$B:$B,{"licence","community"}))</f>
        <v>0</v>
      </c>
      <c r="K117" s="94" cm="1">
        <f t="array" ref="K117">SUM(SUMIFS('caseload data'!L:L,'caseload data'!$D:$D,"PO",'caseload data'!$A:$A,$B$117,'caseload data'!$B:$B,{"licence","community"}))</f>
        <v>0</v>
      </c>
      <c r="L117" s="94" cm="1">
        <f t="array" ref="L117">SUM(SUMIFS('caseload data'!M:M,'caseload data'!$D:$D,"PO",'caseload data'!$A:$A,$B$117,'caseload data'!$B:$B,{"licence","community"}))</f>
        <v>0</v>
      </c>
      <c r="M117" s="94" cm="1">
        <f t="array" ref="M117">SUM(SUMIFS('caseload data'!N:N,'caseload data'!$D:$D,"PO",'caseload data'!$A:$A,$B$117,'caseload data'!$B:$B,{"licence","community"}))</f>
        <v>0</v>
      </c>
      <c r="N117" s="94" cm="1">
        <f t="array" ref="N117">SUM(SUMIFS('caseload data'!O:O,'caseload data'!$D:$D,"PO",'caseload data'!$A:$A,$B$117,'caseload data'!$B:$B,{"licence","community"}))</f>
        <v>0</v>
      </c>
      <c r="O117" s="94" cm="1">
        <f t="array" ref="O117">SUM(SUMIFS('caseload data'!P:P,'caseload data'!$D:$D,"PO",'caseload data'!$A:$A,$B$117,'caseload data'!$B:$B,{"licence","community"}))</f>
        <v>0</v>
      </c>
      <c r="P117" s="94" cm="1">
        <f t="array" ref="P117">SUM(SUMIFS('caseload data'!Q:Q,'caseload data'!$D:$D,"PO",'caseload data'!$A:$A,$B$117,'caseload data'!$B:$B,{"licence","community"}))</f>
        <v>0</v>
      </c>
      <c r="Q117" s="94" cm="1">
        <f t="array" ref="Q117">SUM(SUMIFS('caseload data'!R:R,'caseload data'!$D:$D,"PO",'caseload data'!$A:$A,$B$117,'caseload data'!$B:$B,{"licence","community"}))</f>
        <v>0</v>
      </c>
      <c r="R117" s="94" cm="1">
        <f t="array" ref="R117">SUM(SUMIFS('caseload data'!S:S,'caseload data'!$D:$D,"PO",'caseload data'!$A:$A,$B$117,'caseload data'!$B:$B,{"licence","community"}))</f>
        <v>0</v>
      </c>
      <c r="S117" s="94" cm="1">
        <f t="array" ref="S117">SUM(SUMIFS('caseload data'!T:T,'caseload data'!$D:$D,"PO",'caseload data'!$A:$A,$B$117,'caseload data'!$B:$B,{"licence","community"}))</f>
        <v>0</v>
      </c>
      <c r="T117" s="94">
        <f>SUM(SUMIFS('caseload data'!V:V,'caseload data'!D:D,"PO",'caseload data'!A:A,B117,'caseload data'!B:B,{"licence","community"}))</f>
        <v>0</v>
      </c>
      <c r="U117" s="64"/>
      <c r="V117" s="64"/>
      <c r="W117" s="503" t="s">
        <v>25</v>
      </c>
      <c r="X117" s="128" t="s">
        <v>947</v>
      </c>
      <c r="Y117" s="167" t="e">
        <f>SUM(D117)/SUM(D$117:D$121)</f>
        <v>#DIV/0!</v>
      </c>
      <c r="Z117" s="167" t="e">
        <f t="shared" ref="Z117:AO121" si="64">SUM(E117)/SUM(E$117:E$121)</f>
        <v>#DIV/0!</v>
      </c>
      <c r="AA117" s="167" t="e">
        <f t="shared" si="64"/>
        <v>#DIV/0!</v>
      </c>
      <c r="AB117" s="167" t="e">
        <f t="shared" si="64"/>
        <v>#DIV/0!</v>
      </c>
      <c r="AC117" s="167" t="e">
        <f t="shared" si="64"/>
        <v>#DIV/0!</v>
      </c>
      <c r="AD117" s="167" t="e">
        <f t="shared" si="64"/>
        <v>#DIV/0!</v>
      </c>
      <c r="AE117" s="167" t="e">
        <f t="shared" si="64"/>
        <v>#DIV/0!</v>
      </c>
      <c r="AF117" s="167" t="e">
        <f t="shared" si="64"/>
        <v>#DIV/0!</v>
      </c>
      <c r="AG117" s="167" t="e">
        <f t="shared" si="64"/>
        <v>#DIV/0!</v>
      </c>
      <c r="AH117" s="167" t="e">
        <f t="shared" si="64"/>
        <v>#DIV/0!</v>
      </c>
      <c r="AI117" s="167" t="e">
        <f t="shared" si="64"/>
        <v>#DIV/0!</v>
      </c>
      <c r="AJ117" s="167" t="e">
        <f t="shared" si="64"/>
        <v>#DIV/0!</v>
      </c>
      <c r="AK117" s="167" t="e">
        <f t="shared" si="64"/>
        <v>#DIV/0!</v>
      </c>
      <c r="AL117" s="167" t="e">
        <f t="shared" si="64"/>
        <v>#DIV/0!</v>
      </c>
      <c r="AM117" s="167" t="e">
        <f t="shared" si="64"/>
        <v>#DIV/0!</v>
      </c>
      <c r="AN117" s="167" t="e">
        <f t="shared" si="64"/>
        <v>#DIV/0!</v>
      </c>
      <c r="AO117" s="167" t="e">
        <f t="shared" si="64"/>
        <v>#DIV/0!</v>
      </c>
    </row>
    <row r="118" spans="2:41" x14ac:dyDescent="0.15">
      <c r="B118" s="504"/>
      <c r="C118" s="129" t="s">
        <v>952</v>
      </c>
      <c r="D118" s="94" cm="1">
        <f t="array" ref="D118">SUM(SUMIFS('caseload data'!E:E,'caseload data'!$D:$D,"PSO",'caseload data'!$A:$A,"South West",'caseload data'!$B:$B,{"licence","community"}))</f>
        <v>0</v>
      </c>
      <c r="E118" s="94" cm="1">
        <f t="array" ref="E118">SUM(SUMIFS('caseload data'!F:F,'caseload data'!$D:$D,"PSO",'caseload data'!$A:$A,"South West",'caseload data'!$B:$B,{"licence","community"}))</f>
        <v>0</v>
      </c>
      <c r="F118" s="94" cm="1">
        <f t="array" ref="F118">SUM(SUMIFS('caseload data'!G:G,'caseload data'!$D:$D,"PSO",'caseload data'!$A:$A,"South West",'caseload data'!$B:$B,{"licence","community"}))</f>
        <v>0</v>
      </c>
      <c r="G118" s="94" cm="1">
        <f t="array" ref="G118">SUM(SUMIFS('caseload data'!H:H,'caseload data'!$D:$D,"PSO",'caseload data'!$A:$A,"South West",'caseload data'!$B:$B,{"licence","community"}))</f>
        <v>0</v>
      </c>
      <c r="H118" s="94" cm="1">
        <f t="array" ref="H118">SUM(SUMIFS('caseload data'!I:I,'caseload data'!$D:$D,"PSO",'caseload data'!$A:$A,"South West",'caseload data'!$B:$B,{"licence","community"}))</f>
        <v>0</v>
      </c>
      <c r="I118" s="94" cm="1">
        <f t="array" ref="I118">SUM(SUMIFS('caseload data'!J:J,'caseload data'!$D:$D,"PSO",'caseload data'!$A:$A,"South West",'caseload data'!$B:$B,{"licence","community"}))</f>
        <v>0</v>
      </c>
      <c r="J118" s="94" cm="1">
        <f t="array" ref="J118">SUM(SUMIFS('caseload data'!K:K,'caseload data'!$D:$D,"PSO",'caseload data'!$A:$A,"South West",'caseload data'!$B:$B,{"licence","community"}))</f>
        <v>0</v>
      </c>
      <c r="K118" s="94" cm="1">
        <f t="array" ref="K118">SUM(SUMIFS('caseload data'!L:L,'caseload data'!$D:$D,"PSO",'caseload data'!$A:$A,"South West",'caseload data'!$B:$B,{"licence","community"}))</f>
        <v>0</v>
      </c>
      <c r="L118" s="94" cm="1">
        <f t="array" ref="L118">SUM(SUMIFS('caseload data'!M:M,'caseload data'!$D:$D,"PSO",'caseload data'!$A:$A,"South West",'caseload data'!$B:$B,{"licence","community"}))</f>
        <v>0</v>
      </c>
      <c r="M118" s="94" cm="1">
        <f t="array" ref="M118">SUM(SUMIFS('caseload data'!N:N,'caseload data'!$D:$D,"PSO",'caseload data'!$A:$A,"South West",'caseload data'!$B:$B,{"licence","community"}))</f>
        <v>0</v>
      </c>
      <c r="N118" s="94" cm="1">
        <f t="array" ref="N118">SUM(SUMIFS('caseload data'!O:O,'caseload data'!$D:$D,"PSO",'caseload data'!$A:$A,"South West",'caseload data'!$B:$B,{"licence","community"}))</f>
        <v>0</v>
      </c>
      <c r="O118" s="94" cm="1">
        <f t="array" ref="O118">SUM(SUMIFS('caseload data'!P:P,'caseload data'!$D:$D,"PSO",'caseload data'!$A:$A,"South West",'caseload data'!$B:$B,{"licence","community"}))</f>
        <v>0</v>
      </c>
      <c r="P118" s="94" cm="1">
        <f t="array" ref="P118">SUM(SUMIFS('caseload data'!Q:Q,'caseload data'!$D:$D,"PSO",'caseload data'!$A:$A,"South West",'caseload data'!$B:$B,{"licence","community"}))</f>
        <v>0</v>
      </c>
      <c r="Q118" s="94" cm="1">
        <f t="array" ref="Q118">SUM(SUMIFS('caseload data'!R:R,'caseload data'!$D:$D,"PSO",'caseload data'!$A:$A,"South West",'caseload data'!$B:$B,{"licence","community"}))</f>
        <v>0</v>
      </c>
      <c r="R118" s="94" cm="1">
        <f t="array" ref="R118">SUM(SUMIFS('caseload data'!S:S,'caseload data'!$D:$D,"PSO",'caseload data'!$A:$A,"South West",'caseload data'!$B:$B,{"licence","community"}))</f>
        <v>0</v>
      </c>
      <c r="S118" s="94" cm="1">
        <f t="array" ref="S118">SUM(SUMIFS('caseload data'!T:T,'caseload data'!$D:$D,"PSO",'caseload data'!$A:$A,"South West",'caseload data'!$B:$B,{"licence","community"}))</f>
        <v>0</v>
      </c>
      <c r="T118" s="94" cm="1">
        <f t="array" ref="T118">SUM(SUMIFS('caseload data'!V:V,'caseload data'!D:D,"PSO",'caseload data'!A:A,"South West",'caseload data'!B:B,{"licence","community"}))</f>
        <v>0</v>
      </c>
      <c r="U118" s="64"/>
      <c r="V118" s="64"/>
      <c r="W118" s="504"/>
      <c r="X118" s="129" t="s">
        <v>952</v>
      </c>
      <c r="Y118" s="167" t="e">
        <f t="shared" ref="Y118:Y121" si="65">SUM(D118)/SUM(D$117:D$121)</f>
        <v>#DIV/0!</v>
      </c>
      <c r="Z118" s="167" t="e">
        <f t="shared" si="64"/>
        <v>#DIV/0!</v>
      </c>
      <c r="AA118" s="167" t="e">
        <f t="shared" si="64"/>
        <v>#DIV/0!</v>
      </c>
      <c r="AB118" s="167" t="e">
        <f t="shared" si="64"/>
        <v>#DIV/0!</v>
      </c>
      <c r="AC118" s="167" t="e">
        <f t="shared" si="64"/>
        <v>#DIV/0!</v>
      </c>
      <c r="AD118" s="167" t="e">
        <f t="shared" si="64"/>
        <v>#DIV/0!</v>
      </c>
      <c r="AE118" s="167" t="e">
        <f t="shared" si="64"/>
        <v>#DIV/0!</v>
      </c>
      <c r="AF118" s="167" t="e">
        <f t="shared" si="64"/>
        <v>#DIV/0!</v>
      </c>
      <c r="AG118" s="167" t="e">
        <f t="shared" si="64"/>
        <v>#DIV/0!</v>
      </c>
      <c r="AH118" s="167" t="e">
        <f t="shared" si="64"/>
        <v>#DIV/0!</v>
      </c>
      <c r="AI118" s="167" t="e">
        <f t="shared" si="64"/>
        <v>#DIV/0!</v>
      </c>
      <c r="AJ118" s="167" t="e">
        <f t="shared" si="64"/>
        <v>#DIV/0!</v>
      </c>
      <c r="AK118" s="167" t="e">
        <f t="shared" si="64"/>
        <v>#DIV/0!</v>
      </c>
      <c r="AL118" s="167" t="e">
        <f t="shared" si="64"/>
        <v>#DIV/0!</v>
      </c>
      <c r="AM118" s="167" t="e">
        <f t="shared" si="64"/>
        <v>#DIV/0!</v>
      </c>
      <c r="AN118" s="167" t="e">
        <f t="shared" si="64"/>
        <v>#DIV/0!</v>
      </c>
      <c r="AO118" s="167" t="e">
        <f t="shared" si="64"/>
        <v>#DIV/0!</v>
      </c>
    </row>
    <row r="119" spans="2:41" x14ac:dyDescent="0.15">
      <c r="B119" s="504"/>
      <c r="C119" s="129" t="s">
        <v>953</v>
      </c>
      <c r="D119" s="94" cm="1">
        <f t="array" ref="D119">SUM(SUMIFS('caseload data'!E:E,'caseload data'!$D:$D,"TPO",'caseload data'!$A:$A,"South West",'caseload data'!$B:$B,{"licence","community"}))</f>
        <v>0</v>
      </c>
      <c r="E119" s="94" cm="1">
        <f t="array" ref="E119">SUM(SUMIFS('caseload data'!F:F,'caseload data'!$D:$D,"TPO",'caseload data'!$A:$A,"South West",'caseload data'!$B:$B,{"licence","community"}))</f>
        <v>0</v>
      </c>
      <c r="F119" s="94" cm="1">
        <f t="array" ref="F119">SUM(SUMIFS('caseload data'!G:G,'caseload data'!$D:$D,"TPO",'caseload data'!$A:$A,"South West",'caseload data'!$B:$B,{"licence","community"}))</f>
        <v>0</v>
      </c>
      <c r="G119" s="94" cm="1">
        <f t="array" ref="G119">SUM(SUMIFS('caseload data'!H:H,'caseload data'!$D:$D,"TPO",'caseload data'!$A:$A,"South West",'caseload data'!$B:$B,{"licence","community"}))</f>
        <v>0</v>
      </c>
      <c r="H119" s="94" cm="1">
        <f t="array" ref="H119">SUM(SUMIFS('caseload data'!I:I,'caseload data'!$D:$D,"TPO",'caseload data'!$A:$A,"South West",'caseload data'!$B:$B,{"licence","community"}))</f>
        <v>0</v>
      </c>
      <c r="I119" s="94" cm="1">
        <f t="array" ref="I119">SUM(SUMIFS('caseload data'!J:J,'caseload data'!$D:$D,"TPO",'caseload data'!$A:$A,"South West",'caseload data'!$B:$B,{"licence","community"}))</f>
        <v>0</v>
      </c>
      <c r="J119" s="94" cm="1">
        <f t="array" ref="J119">SUM(SUMIFS('caseload data'!K:K,'caseload data'!$D:$D,"TPO",'caseload data'!$A:$A,"South West",'caseload data'!$B:$B,{"licence","community"}))</f>
        <v>0</v>
      </c>
      <c r="K119" s="94" cm="1">
        <f t="array" ref="K119">SUM(SUMIFS('caseload data'!L:L,'caseload data'!$D:$D,"TPO",'caseload data'!$A:$A,"South West",'caseload data'!$B:$B,{"licence","community"}))</f>
        <v>0</v>
      </c>
      <c r="L119" s="94" cm="1">
        <f t="array" ref="L119">SUM(SUMIFS('caseload data'!M:M,'caseload data'!$D:$D,"TPO",'caseload data'!$A:$A,"South West",'caseload data'!$B:$B,{"licence","community"}))</f>
        <v>0</v>
      </c>
      <c r="M119" s="94" cm="1">
        <f t="array" ref="M119">SUM(SUMIFS('caseload data'!N:N,'caseload data'!$D:$D,"TPO",'caseload data'!$A:$A,"South West",'caseload data'!$B:$B,{"licence","community"}))</f>
        <v>0</v>
      </c>
      <c r="N119" s="94" cm="1">
        <f t="array" ref="N119">SUM(SUMIFS('caseload data'!O:O,'caseload data'!$D:$D,"TPO",'caseload data'!$A:$A,"South West",'caseload data'!$B:$B,{"licence","community"}))</f>
        <v>0</v>
      </c>
      <c r="O119" s="94" cm="1">
        <f t="array" ref="O119">SUM(SUMIFS('caseload data'!P:P,'caseload data'!$D:$D,"TPO",'caseload data'!$A:$A,"South West",'caseload data'!$B:$B,{"licence","community"}))</f>
        <v>0</v>
      </c>
      <c r="P119" s="94" cm="1">
        <f t="array" ref="P119">SUM(SUMIFS('caseload data'!Q:Q,'caseload data'!$D:$D,"TPO",'caseload data'!$A:$A,"South West",'caseload data'!$B:$B,{"licence","community"}))</f>
        <v>0</v>
      </c>
      <c r="Q119" s="94" cm="1">
        <f t="array" ref="Q119">SUM(SUMIFS('caseload data'!R:R,'caseload data'!$D:$D,"TPO",'caseload data'!$A:$A,"South West",'caseload data'!$B:$B,{"licence","community"}))</f>
        <v>0</v>
      </c>
      <c r="R119" s="94" cm="1">
        <f t="array" ref="R119">SUM(SUMIFS('caseload data'!S:S,'caseload data'!$D:$D,"TPO",'caseload data'!$A:$A,"South West",'caseload data'!$B:$B,{"licence","community"}))</f>
        <v>0</v>
      </c>
      <c r="S119" s="94" cm="1">
        <f t="array" ref="S119">SUM(SUMIFS('caseload data'!T:T,'caseload data'!$D:$D,"TPO",'caseload data'!$A:$A,"South West",'caseload data'!$B:$B,{"licence","community"}))</f>
        <v>0</v>
      </c>
      <c r="T119" s="94" cm="1">
        <f t="array" ref="T119">SUM(SUMIFS('caseload data'!V:V,'caseload data'!D:D,"TPO",'caseload data'!A:A,"South West",'caseload data'!B:B,{"licence","community"}))</f>
        <v>0</v>
      </c>
      <c r="U119" s="64"/>
      <c r="V119" s="64"/>
      <c r="W119" s="504"/>
      <c r="X119" s="129" t="s">
        <v>953</v>
      </c>
      <c r="Y119" s="167" t="e">
        <f t="shared" si="65"/>
        <v>#DIV/0!</v>
      </c>
      <c r="Z119" s="167" t="e">
        <f t="shared" si="64"/>
        <v>#DIV/0!</v>
      </c>
      <c r="AA119" s="167" t="e">
        <f t="shared" si="64"/>
        <v>#DIV/0!</v>
      </c>
      <c r="AB119" s="167" t="e">
        <f t="shared" si="64"/>
        <v>#DIV/0!</v>
      </c>
      <c r="AC119" s="167" t="e">
        <f t="shared" si="64"/>
        <v>#DIV/0!</v>
      </c>
      <c r="AD119" s="167" t="e">
        <f t="shared" si="64"/>
        <v>#DIV/0!</v>
      </c>
      <c r="AE119" s="167" t="e">
        <f t="shared" si="64"/>
        <v>#DIV/0!</v>
      </c>
      <c r="AF119" s="167" t="e">
        <f t="shared" si="64"/>
        <v>#DIV/0!</v>
      </c>
      <c r="AG119" s="167" t="e">
        <f t="shared" si="64"/>
        <v>#DIV/0!</v>
      </c>
      <c r="AH119" s="167" t="e">
        <f t="shared" si="64"/>
        <v>#DIV/0!</v>
      </c>
      <c r="AI119" s="167" t="e">
        <f t="shared" si="64"/>
        <v>#DIV/0!</v>
      </c>
      <c r="AJ119" s="167" t="e">
        <f t="shared" si="64"/>
        <v>#DIV/0!</v>
      </c>
      <c r="AK119" s="167" t="e">
        <f t="shared" si="64"/>
        <v>#DIV/0!</v>
      </c>
      <c r="AL119" s="167" t="e">
        <f t="shared" si="64"/>
        <v>#DIV/0!</v>
      </c>
      <c r="AM119" s="167" t="e">
        <f t="shared" si="64"/>
        <v>#DIV/0!</v>
      </c>
      <c r="AN119" s="167" t="e">
        <f t="shared" si="64"/>
        <v>#DIV/0!</v>
      </c>
      <c r="AO119" s="167" t="e">
        <f t="shared" si="64"/>
        <v>#DIV/0!</v>
      </c>
    </row>
    <row r="120" spans="2:41" x14ac:dyDescent="0.15">
      <c r="B120" s="504"/>
      <c r="C120" s="129" t="s">
        <v>954</v>
      </c>
      <c r="D120" s="94" cm="1">
        <f t="array" ref="D120">SUM(SUMIFS('caseload data'!E:E,'caseload data'!$D:$D,"SPO",'caseload data'!$A:$A,"South West",'caseload data'!$B:$B,{"licence","community"}))</f>
        <v>0</v>
      </c>
      <c r="E120" s="94" cm="1">
        <f t="array" ref="E120">SUM(SUMIFS('caseload data'!F:F,'caseload data'!$D:$D,"SPO",'caseload data'!$A:$A,"South West",'caseload data'!$B:$B,{"licence","community"}))</f>
        <v>0</v>
      </c>
      <c r="F120" s="94" cm="1">
        <f t="array" ref="F120">SUM(SUMIFS('caseload data'!G:G,'caseload data'!$D:$D,"SPO",'caseload data'!$A:$A,"South West",'caseload data'!$B:$B,{"licence","community"}))</f>
        <v>0</v>
      </c>
      <c r="G120" s="94" cm="1">
        <f t="array" ref="G120">SUM(SUMIFS('caseload data'!H:H,'caseload data'!$D:$D,"SPO",'caseload data'!$A:$A,"South West",'caseload data'!$B:$B,{"licence","community"}))</f>
        <v>0</v>
      </c>
      <c r="H120" s="94" cm="1">
        <f t="array" ref="H120">SUM(SUMIFS('caseload data'!I:I,'caseload data'!$D:$D,"SPO",'caseload data'!$A:$A,"South West",'caseload data'!$B:$B,{"licence","community"}))</f>
        <v>0</v>
      </c>
      <c r="I120" s="94" cm="1">
        <f t="array" ref="I120">SUM(SUMIFS('caseload data'!J:J,'caseload data'!$D:$D,"SPO",'caseload data'!$A:$A,"South West",'caseload data'!$B:$B,{"licence","community"}))</f>
        <v>0</v>
      </c>
      <c r="J120" s="94" cm="1">
        <f t="array" ref="J120">SUM(SUMIFS('caseload data'!K:K,'caseload data'!$D:$D,"SPO",'caseload data'!$A:$A,"South West",'caseload data'!$B:$B,{"licence","community"}))</f>
        <v>0</v>
      </c>
      <c r="K120" s="94" cm="1">
        <f t="array" ref="K120">SUM(SUMIFS('caseload data'!L:L,'caseload data'!$D:$D,"SPO",'caseload data'!$A:$A,"South West",'caseload data'!$B:$B,{"licence","community"}))</f>
        <v>0</v>
      </c>
      <c r="L120" s="94" cm="1">
        <f t="array" ref="L120">SUM(SUMIFS('caseload data'!M:M,'caseload data'!$D:$D,"SPO",'caseload data'!$A:$A,"South West",'caseload data'!$B:$B,{"licence","community"}))</f>
        <v>0</v>
      </c>
      <c r="M120" s="94" cm="1">
        <f t="array" ref="M120">SUM(SUMIFS('caseload data'!N:N,'caseload data'!$D:$D,"SPO",'caseload data'!$A:$A,"South West",'caseload data'!$B:$B,{"licence","community"}))</f>
        <v>0</v>
      </c>
      <c r="N120" s="94" cm="1">
        <f t="array" ref="N120">SUM(SUMIFS('caseload data'!O:O,'caseload data'!$D:$D,"SPO",'caseload data'!$A:$A,"South West",'caseload data'!$B:$B,{"licence","community"}))</f>
        <v>0</v>
      </c>
      <c r="O120" s="94" cm="1">
        <f t="array" ref="O120">SUM(SUMIFS('caseload data'!P:P,'caseload data'!$D:$D,"SPO",'caseload data'!$A:$A,"South West",'caseload data'!$B:$B,{"licence","community"}))</f>
        <v>0</v>
      </c>
      <c r="P120" s="94" cm="1">
        <f t="array" ref="P120">SUM(SUMIFS('caseload data'!Q:Q,'caseload data'!$D:$D,"SPO",'caseload data'!$A:$A,"South West",'caseload data'!$B:$B,{"licence","community"}))</f>
        <v>0</v>
      </c>
      <c r="Q120" s="94" cm="1">
        <f t="array" ref="Q120">SUM(SUMIFS('caseload data'!R:R,'caseload data'!$D:$D,"SPO",'caseload data'!$A:$A,"South West",'caseload data'!$B:$B,{"licence","community"}))</f>
        <v>0</v>
      </c>
      <c r="R120" s="94" cm="1">
        <f t="array" ref="R120">SUM(SUMIFS('caseload data'!S:S,'caseload data'!$D:$D,"SPO",'caseload data'!$A:$A,"South West",'caseload data'!$B:$B,{"licence","community"}))</f>
        <v>0</v>
      </c>
      <c r="S120" s="94" cm="1">
        <f t="array" ref="S120">SUM(SUMIFS('caseload data'!T:T,'caseload data'!$D:$D,"SPO",'caseload data'!$A:$A,"South West",'caseload data'!$B:$B,{"licence","community"}))</f>
        <v>0</v>
      </c>
      <c r="T120" s="94" cm="1">
        <f t="array" ref="T120">SUM(SUMIFS('caseload data'!V:V,'caseload data'!$D:$D,"SPO",'caseload data'!$A:$A,"South West",'caseload data'!$B:$B,{"licence","community"}))</f>
        <v>0</v>
      </c>
      <c r="U120" s="64"/>
      <c r="V120" s="64"/>
      <c r="W120" s="504"/>
      <c r="X120" s="129" t="s">
        <v>954</v>
      </c>
      <c r="Y120" s="167" t="e">
        <f t="shared" si="65"/>
        <v>#DIV/0!</v>
      </c>
      <c r="Z120" s="167" t="e">
        <f t="shared" si="64"/>
        <v>#DIV/0!</v>
      </c>
      <c r="AA120" s="167" t="e">
        <f t="shared" si="64"/>
        <v>#DIV/0!</v>
      </c>
      <c r="AB120" s="167" t="e">
        <f t="shared" si="64"/>
        <v>#DIV/0!</v>
      </c>
      <c r="AC120" s="167" t="e">
        <f t="shared" si="64"/>
        <v>#DIV/0!</v>
      </c>
      <c r="AD120" s="167" t="e">
        <f t="shared" si="64"/>
        <v>#DIV/0!</v>
      </c>
      <c r="AE120" s="167" t="e">
        <f t="shared" si="64"/>
        <v>#DIV/0!</v>
      </c>
      <c r="AF120" s="167" t="e">
        <f t="shared" si="64"/>
        <v>#DIV/0!</v>
      </c>
      <c r="AG120" s="167" t="e">
        <f t="shared" si="64"/>
        <v>#DIV/0!</v>
      </c>
      <c r="AH120" s="167" t="e">
        <f t="shared" si="64"/>
        <v>#DIV/0!</v>
      </c>
      <c r="AI120" s="167" t="e">
        <f t="shared" si="64"/>
        <v>#DIV/0!</v>
      </c>
      <c r="AJ120" s="167" t="e">
        <f t="shared" si="64"/>
        <v>#DIV/0!</v>
      </c>
      <c r="AK120" s="167" t="e">
        <f t="shared" si="64"/>
        <v>#DIV/0!</v>
      </c>
      <c r="AL120" s="167" t="e">
        <f t="shared" si="64"/>
        <v>#DIV/0!</v>
      </c>
      <c r="AM120" s="167" t="e">
        <f t="shared" si="64"/>
        <v>#DIV/0!</v>
      </c>
      <c r="AN120" s="167" t="e">
        <f t="shared" si="64"/>
        <v>#DIV/0!</v>
      </c>
      <c r="AO120" s="167" t="e">
        <f t="shared" si="64"/>
        <v>#DIV/0!</v>
      </c>
    </row>
    <row r="121" spans="2:41" x14ac:dyDescent="0.15">
      <c r="B121" s="505"/>
      <c r="C121" s="130" t="s">
        <v>1286</v>
      </c>
      <c r="D121" s="94" cm="1">
        <f t="array" ref="D121">SUM(SUMIFS('caseload data'!E:E,'caseload data'!$D:$D,"DMY",'caseload data'!$A:$A,"South West",'caseload data'!$B:$B,{"licence","community"}))</f>
        <v>0</v>
      </c>
      <c r="E121" s="94" cm="1">
        <f t="array" ref="E121">SUM(SUMIFS('caseload data'!F:F,'caseload data'!$D:$D,"DMY",'caseload data'!$A:$A,"South West",'caseload data'!$B:$B,{"licence","community"}))</f>
        <v>0</v>
      </c>
      <c r="F121" s="94" cm="1">
        <f t="array" ref="F121">SUM(SUMIFS('caseload data'!G:G,'caseload data'!$D:$D,"DMY",'caseload data'!$A:$A,"South West",'caseload data'!$B:$B,{"licence","community"}))</f>
        <v>0</v>
      </c>
      <c r="G121" s="94" cm="1">
        <f t="array" ref="G121">SUM(SUMIFS('caseload data'!H:H,'caseload data'!$D:$D,"DMY",'caseload data'!$A:$A,"South West",'caseload data'!$B:$B,{"licence","community"}))</f>
        <v>0</v>
      </c>
      <c r="H121" s="94" cm="1">
        <f t="array" ref="H121">SUM(SUMIFS('caseload data'!I:I,'caseload data'!$D:$D,"DMY",'caseload data'!$A:$A,"South West",'caseload data'!$B:$B,{"licence","community"}))</f>
        <v>0</v>
      </c>
      <c r="I121" s="94" cm="1">
        <f t="array" ref="I121">SUM(SUMIFS('caseload data'!J:J,'caseload data'!$D:$D,"DMY",'caseload data'!$A:$A,"South West",'caseload data'!$B:$B,{"licence","community"}))</f>
        <v>0</v>
      </c>
      <c r="J121" s="94" cm="1">
        <f t="array" ref="J121">SUM(SUMIFS('caseload data'!K:K,'caseload data'!$D:$D,"DMY",'caseload data'!$A:$A,"South West",'caseload data'!$B:$B,{"licence","community"}))</f>
        <v>0</v>
      </c>
      <c r="K121" s="94" cm="1">
        <f t="array" ref="K121">SUM(SUMIFS('caseload data'!L:L,'caseload data'!$D:$D,"DMY",'caseload data'!$A:$A,"South West",'caseload data'!$B:$B,{"licence","community"}))</f>
        <v>0</v>
      </c>
      <c r="L121" s="94" cm="1">
        <f t="array" ref="L121">SUM(SUMIFS('caseload data'!M:M,'caseload data'!$D:$D,"DMY",'caseload data'!$A:$A,"South West",'caseload data'!$B:$B,{"licence","community"}))</f>
        <v>0</v>
      </c>
      <c r="M121" s="94" cm="1">
        <f t="array" ref="M121">SUM(SUMIFS('caseload data'!N:N,'caseload data'!$D:$D,"DMY",'caseload data'!$A:$A,"South West",'caseload data'!$B:$B,{"licence","community"}))</f>
        <v>0</v>
      </c>
      <c r="N121" s="94" cm="1">
        <f t="array" ref="N121">SUM(SUMIFS('caseload data'!O:O,'caseload data'!$D:$D,"DMY",'caseload data'!$A:$A,"South West",'caseload data'!$B:$B,{"licence","community"}))</f>
        <v>0</v>
      </c>
      <c r="O121" s="94" cm="1">
        <f t="array" ref="O121">SUM(SUMIFS('caseload data'!P:P,'caseload data'!$D:$D,"DMY",'caseload data'!$A:$A,"South West",'caseload data'!$B:$B,{"licence","community"}))</f>
        <v>0</v>
      </c>
      <c r="P121" s="94" cm="1">
        <f t="array" ref="P121">SUM(SUMIFS('caseload data'!Q:Q,'caseload data'!$D:$D,"DMY",'caseload data'!$A:$A,"South West",'caseload data'!$B:$B,{"licence","community"}))</f>
        <v>0</v>
      </c>
      <c r="Q121" s="94" cm="1">
        <f t="array" ref="Q121">SUM(SUMIFS('caseload data'!R:R,'caseload data'!$D:$D,"DMY",'caseload data'!$A:$A,"South West",'caseload data'!$B:$B,{"licence","community"}))</f>
        <v>0</v>
      </c>
      <c r="R121" s="94" cm="1">
        <f t="array" ref="R121">SUM(SUMIFS('caseload data'!S:S,'caseload data'!$D:$D,"DMY",'caseload data'!$A:$A,"South West",'caseload data'!$B:$B,{"licence","community"}))</f>
        <v>0</v>
      </c>
      <c r="S121" s="94" cm="1">
        <f t="array" ref="S121">SUM(SUMIFS('caseload data'!T:T,'caseload data'!$D:$D,"DMY",'caseload data'!$A:$A,"South West",'caseload data'!$B:$B,{"licence","community"}))</f>
        <v>0</v>
      </c>
      <c r="T121" s="94" cm="1">
        <f t="array" ref="T121">SUM(SUMIFS('caseload data'!V:V,'caseload data'!$D:$D,"DMY",'caseload data'!$A:$A,"South West",'caseload data'!$B:$B,{"licence","community"}))</f>
        <v>0</v>
      </c>
      <c r="U121" s="64"/>
      <c r="V121" s="64"/>
      <c r="W121" s="505"/>
      <c r="X121" s="130" t="s">
        <v>1286</v>
      </c>
      <c r="Y121" s="167" t="e">
        <f t="shared" si="65"/>
        <v>#DIV/0!</v>
      </c>
      <c r="Z121" s="167" t="e">
        <f t="shared" si="64"/>
        <v>#DIV/0!</v>
      </c>
      <c r="AA121" s="167" t="e">
        <f t="shared" si="64"/>
        <v>#DIV/0!</v>
      </c>
      <c r="AB121" s="167" t="e">
        <f t="shared" si="64"/>
        <v>#DIV/0!</v>
      </c>
      <c r="AC121" s="167" t="e">
        <f t="shared" si="64"/>
        <v>#DIV/0!</v>
      </c>
      <c r="AD121" s="167" t="e">
        <f t="shared" si="64"/>
        <v>#DIV/0!</v>
      </c>
      <c r="AE121" s="167" t="e">
        <f t="shared" si="64"/>
        <v>#DIV/0!</v>
      </c>
      <c r="AF121" s="167" t="e">
        <f t="shared" si="64"/>
        <v>#DIV/0!</v>
      </c>
      <c r="AG121" s="167" t="e">
        <f t="shared" si="64"/>
        <v>#DIV/0!</v>
      </c>
      <c r="AH121" s="167" t="e">
        <f t="shared" si="64"/>
        <v>#DIV/0!</v>
      </c>
      <c r="AI121" s="167" t="e">
        <f t="shared" si="64"/>
        <v>#DIV/0!</v>
      </c>
      <c r="AJ121" s="167" t="e">
        <f t="shared" si="64"/>
        <v>#DIV/0!</v>
      </c>
      <c r="AK121" s="167" t="e">
        <f t="shared" si="64"/>
        <v>#DIV/0!</v>
      </c>
      <c r="AL121" s="167" t="e">
        <f t="shared" si="64"/>
        <v>#DIV/0!</v>
      </c>
      <c r="AM121" s="167" t="e">
        <f t="shared" si="64"/>
        <v>#DIV/0!</v>
      </c>
      <c r="AN121" s="167" t="e">
        <f t="shared" si="64"/>
        <v>#DIV/0!</v>
      </c>
      <c r="AO121" s="167" t="e">
        <f t="shared" si="64"/>
        <v>#DIV/0!</v>
      </c>
    </row>
    <row r="122" spans="2:41" x14ac:dyDescent="0.15">
      <c r="B122" s="503" t="s">
        <v>26</v>
      </c>
      <c r="C122" s="128" t="s">
        <v>947</v>
      </c>
      <c r="D122" s="94" cm="1">
        <f t="array" ref="D122">SUM(SUMIFS('caseload data'!E:E,'caseload data'!$D:$D,"PO",'caseload data'!$A:$A,$B$122,'caseload data'!$B:$B,{"licence","community"}))</f>
        <v>0</v>
      </c>
      <c r="E122" s="94" cm="1">
        <f t="array" ref="E122">SUM(SUMIFS('caseload data'!F:F,'caseload data'!$D:$D,"PO",'caseload data'!$A:$A,$B$122,'caseload data'!$B:$B,{"licence","community"}))</f>
        <v>0</v>
      </c>
      <c r="F122" s="94" cm="1">
        <f t="array" ref="F122">SUM(SUMIFS('caseload data'!G:G,'caseload data'!$D:$D,"PO",'caseload data'!$A:$A,$B$122,'caseload data'!$B:$B,{"licence","community"}))</f>
        <v>0</v>
      </c>
      <c r="G122" s="94" cm="1">
        <f t="array" ref="G122">SUM(SUMIFS('caseload data'!H:H,'caseload data'!$D:$D,"PO",'caseload data'!$A:$A,$B$122,'caseload data'!$B:$B,{"licence","community"}))</f>
        <v>0</v>
      </c>
      <c r="H122" s="94" cm="1">
        <f t="array" ref="H122">SUM(SUMIFS('caseload data'!I:I,'caseload data'!$D:$D,"PO",'caseload data'!$A:$A,$B$122,'caseload data'!$B:$B,{"licence","community"}))</f>
        <v>0</v>
      </c>
      <c r="I122" s="94" cm="1">
        <f t="array" ref="I122">SUM(SUMIFS('caseload data'!J:J,'caseload data'!$D:$D,"PO",'caseload data'!$A:$A,$B$122,'caseload data'!$B:$B,{"licence","community"}))</f>
        <v>0</v>
      </c>
      <c r="J122" s="94" cm="1">
        <f t="array" ref="J122">SUM(SUMIFS('caseload data'!K:K,'caseload data'!$D:$D,"PO",'caseload data'!$A:$A,$B$122,'caseload data'!$B:$B,{"licence","community"}))</f>
        <v>0</v>
      </c>
      <c r="K122" s="94" cm="1">
        <f t="array" ref="K122">SUM(SUMIFS('caseload data'!L:L,'caseload data'!$D:$D,"PO",'caseload data'!$A:$A,$B$122,'caseload data'!$B:$B,{"licence","community"}))</f>
        <v>0</v>
      </c>
      <c r="L122" s="94" cm="1">
        <f t="array" ref="L122">SUM(SUMIFS('caseload data'!M:M,'caseload data'!$D:$D,"PO",'caseload data'!$A:$A,$B$122,'caseload data'!$B:$B,{"licence","community"}))</f>
        <v>0</v>
      </c>
      <c r="M122" s="94" cm="1">
        <f t="array" ref="M122">SUM(SUMIFS('caseload data'!N:N,'caseload data'!$D:$D,"PO",'caseload data'!$A:$A,$B$122,'caseload data'!$B:$B,{"licence","community"}))</f>
        <v>0</v>
      </c>
      <c r="N122" s="94" cm="1">
        <f t="array" ref="N122">SUM(SUMIFS('caseload data'!O:O,'caseload data'!$D:$D,"PO",'caseload data'!$A:$A,$B$122,'caseload data'!$B:$B,{"licence","community"}))</f>
        <v>0</v>
      </c>
      <c r="O122" s="94" cm="1">
        <f t="array" ref="O122">SUM(SUMIFS('caseload data'!P:P,'caseload data'!$D:$D,"PO",'caseload data'!$A:$A,$B$122,'caseload data'!$B:$B,{"licence","community"}))</f>
        <v>0</v>
      </c>
      <c r="P122" s="94" cm="1">
        <f t="array" ref="P122">SUM(SUMIFS('caseload data'!Q:Q,'caseload data'!$D:$D,"PO",'caseload data'!$A:$A,$B$122,'caseload data'!$B:$B,{"licence","community"}))</f>
        <v>0</v>
      </c>
      <c r="Q122" s="94" cm="1">
        <f t="array" ref="Q122">SUM(SUMIFS('caseload data'!R:R,'caseload data'!$D:$D,"PO",'caseload data'!$A:$A,$B$122,'caseload data'!$B:$B,{"licence","community"}))</f>
        <v>0</v>
      </c>
      <c r="R122" s="94" cm="1">
        <f t="array" ref="R122">SUM(SUMIFS('caseload data'!S:S,'caseload data'!$D:$D,"PO",'caseload data'!$A:$A,$B$122,'caseload data'!$B:$B,{"licence","community"}))</f>
        <v>0</v>
      </c>
      <c r="S122" s="94" cm="1">
        <f t="array" ref="S122">SUM(SUMIFS('caseload data'!T:T,'caseload data'!$D:$D,"PO",'caseload data'!$A:$A,$B$122,'caseload data'!$B:$B,{"licence","community"}))</f>
        <v>0</v>
      </c>
      <c r="T122" s="94" cm="1">
        <f t="array" ref="T122">SUM(SUMIFS('caseload data'!V:V,'caseload data'!D:D,"PO",'caseload data'!A:A,B122,'caseload data'!B:B,{"licence","community"}))</f>
        <v>0</v>
      </c>
      <c r="U122" s="64"/>
      <c r="V122" s="64"/>
      <c r="W122" s="503" t="s">
        <v>26</v>
      </c>
      <c r="X122" s="128" t="s">
        <v>947</v>
      </c>
      <c r="Y122" s="167" t="e">
        <f>SUM(D122)/SUM(D$122:D$126)</f>
        <v>#DIV/0!</v>
      </c>
      <c r="Z122" s="167" t="e">
        <f t="shared" ref="Z122:AO126" si="66">SUM(E122)/SUM(E$122:E$126)</f>
        <v>#DIV/0!</v>
      </c>
      <c r="AA122" s="167" t="e">
        <f t="shared" si="66"/>
        <v>#DIV/0!</v>
      </c>
      <c r="AB122" s="167" t="e">
        <f t="shared" si="66"/>
        <v>#DIV/0!</v>
      </c>
      <c r="AC122" s="167" t="e">
        <f t="shared" si="66"/>
        <v>#DIV/0!</v>
      </c>
      <c r="AD122" s="167" t="e">
        <f t="shared" si="66"/>
        <v>#DIV/0!</v>
      </c>
      <c r="AE122" s="167" t="e">
        <f t="shared" si="66"/>
        <v>#DIV/0!</v>
      </c>
      <c r="AF122" s="167" t="e">
        <f t="shared" si="66"/>
        <v>#DIV/0!</v>
      </c>
      <c r="AG122" s="167" t="e">
        <f t="shared" si="66"/>
        <v>#DIV/0!</v>
      </c>
      <c r="AH122" s="167" t="e">
        <f t="shared" si="66"/>
        <v>#DIV/0!</v>
      </c>
      <c r="AI122" s="167" t="e">
        <f t="shared" si="66"/>
        <v>#DIV/0!</v>
      </c>
      <c r="AJ122" s="167" t="e">
        <f t="shared" si="66"/>
        <v>#DIV/0!</v>
      </c>
      <c r="AK122" s="167" t="e">
        <f t="shared" si="66"/>
        <v>#DIV/0!</v>
      </c>
      <c r="AL122" s="167" t="e">
        <f t="shared" si="66"/>
        <v>#DIV/0!</v>
      </c>
      <c r="AM122" s="167" t="e">
        <f t="shared" si="66"/>
        <v>#DIV/0!</v>
      </c>
      <c r="AN122" s="167" t="e">
        <f t="shared" si="66"/>
        <v>#DIV/0!</v>
      </c>
      <c r="AO122" s="167" t="e">
        <f t="shared" si="66"/>
        <v>#DIV/0!</v>
      </c>
    </row>
    <row r="123" spans="2:41" x14ac:dyDescent="0.15">
      <c r="B123" s="504"/>
      <c r="C123" s="129" t="s">
        <v>952</v>
      </c>
      <c r="D123" s="94" cm="1">
        <f t="array" ref="D123">SUM(SUMIFS('caseload data'!E:E,'caseload data'!$D:$D,"PSO",'caseload data'!$A:$A,"Wales",'caseload data'!$B:$B,{"licence","community"}))</f>
        <v>0</v>
      </c>
      <c r="E123" s="94" cm="1">
        <f t="array" ref="E123">SUM(SUMIFS('caseload data'!F:F,'caseload data'!$D:$D,"PSO",'caseload data'!$A:$A,"Wales",'caseload data'!$B:$B,{"licence","community"}))</f>
        <v>0</v>
      </c>
      <c r="F123" s="94" cm="1">
        <f t="array" ref="F123">SUM(SUMIFS('caseload data'!G:G,'caseload data'!$D:$D,"PSO",'caseload data'!$A:$A,"Wales",'caseload data'!$B:$B,{"licence","community"}))</f>
        <v>0</v>
      </c>
      <c r="G123" s="94" cm="1">
        <f t="array" ref="G123">SUM(SUMIFS('caseload data'!H:H,'caseload data'!$D:$D,"PSO",'caseload data'!$A:$A,"Wales",'caseload data'!$B:$B,{"licence","community"}))</f>
        <v>0</v>
      </c>
      <c r="H123" s="94" cm="1">
        <f t="array" ref="H123">SUM(SUMIFS('caseload data'!I:I,'caseload data'!$D:$D,"PSO",'caseload data'!$A:$A,"Wales",'caseload data'!$B:$B,{"licence","community"}))</f>
        <v>0</v>
      </c>
      <c r="I123" s="94" cm="1">
        <f t="array" ref="I123">SUM(SUMIFS('caseload data'!J:J,'caseload data'!$D:$D,"PSO",'caseload data'!$A:$A,"Wales",'caseload data'!$B:$B,{"licence","community"}))</f>
        <v>0</v>
      </c>
      <c r="J123" s="94" cm="1">
        <f t="array" ref="J123">SUM(SUMIFS('caseload data'!K:K,'caseload data'!$D:$D,"PSO",'caseload data'!$A:$A,"Wales",'caseload data'!$B:$B,{"licence","community"}))</f>
        <v>0</v>
      </c>
      <c r="K123" s="94" cm="1">
        <f t="array" ref="K123">SUM(SUMIFS('caseload data'!L:L,'caseload data'!$D:$D,"PSO",'caseload data'!$A:$A,"Wales",'caseload data'!$B:$B,{"licence","community"}))</f>
        <v>0</v>
      </c>
      <c r="L123" s="94" cm="1">
        <f t="array" ref="L123">SUM(SUMIFS('caseload data'!M:M,'caseload data'!$D:$D,"PSO",'caseload data'!$A:$A,"Wales",'caseload data'!$B:$B,{"licence","community"}))</f>
        <v>0</v>
      </c>
      <c r="M123" s="94" cm="1">
        <f t="array" ref="M123">SUM(SUMIFS('caseload data'!N:N,'caseload data'!$D:$D,"PSO",'caseload data'!$A:$A,"Wales",'caseload data'!$B:$B,{"licence","community"}))</f>
        <v>0</v>
      </c>
      <c r="N123" s="94" cm="1">
        <f t="array" ref="N123">SUM(SUMIFS('caseload data'!O:O,'caseload data'!$D:$D,"PSO",'caseload data'!$A:$A,"Wales",'caseload data'!$B:$B,{"licence","community"}))</f>
        <v>0</v>
      </c>
      <c r="O123" s="94" cm="1">
        <f t="array" ref="O123">SUM(SUMIFS('caseload data'!P:P,'caseload data'!$D:$D,"PSO",'caseload data'!$A:$A,"Wales",'caseload data'!$B:$B,{"licence","community"}))</f>
        <v>0</v>
      </c>
      <c r="P123" s="94" cm="1">
        <f t="array" ref="P123">SUM(SUMIFS('caseload data'!Q:Q,'caseload data'!$D:$D,"PSO",'caseload data'!$A:$A,"Wales",'caseload data'!$B:$B,{"licence","community"}))</f>
        <v>0</v>
      </c>
      <c r="Q123" s="94" cm="1">
        <f t="array" ref="Q123">SUM(SUMIFS('caseload data'!R:R,'caseload data'!$D:$D,"PSO",'caseload data'!$A:$A,"Wales",'caseload data'!$B:$B,{"licence","community"}))</f>
        <v>0</v>
      </c>
      <c r="R123" s="94" cm="1">
        <f t="array" ref="R123">SUM(SUMIFS('caseload data'!S:S,'caseload data'!$D:$D,"PSO",'caseload data'!$A:$A,"Wales",'caseload data'!$B:$B,{"licence","community"}))</f>
        <v>0</v>
      </c>
      <c r="S123" s="94" cm="1">
        <f t="array" ref="S123">SUM(SUMIFS('caseload data'!T:T,'caseload data'!$D:$D,"PSO",'caseload data'!$A:$A,"Wales",'caseload data'!$B:$B,{"licence","community"}))</f>
        <v>0</v>
      </c>
      <c r="T123" s="94" cm="1">
        <f t="array" ref="T123">SUM(SUMIFS('caseload data'!V:V,'caseload data'!$D:$D,"PSO",'caseload data'!$A:$A,"Wales",'caseload data'!$B:$B,{"licence","community"}))</f>
        <v>0</v>
      </c>
      <c r="U123" s="64"/>
      <c r="V123" s="64"/>
      <c r="W123" s="504"/>
      <c r="X123" s="129" t="s">
        <v>952</v>
      </c>
      <c r="Y123" s="167" t="e">
        <f t="shared" ref="Y123:Y126" si="67">SUM(D123)/SUM(D$122:D$126)</f>
        <v>#DIV/0!</v>
      </c>
      <c r="Z123" s="167" t="e">
        <f t="shared" si="66"/>
        <v>#DIV/0!</v>
      </c>
      <c r="AA123" s="167" t="e">
        <f t="shared" si="66"/>
        <v>#DIV/0!</v>
      </c>
      <c r="AB123" s="167" t="e">
        <f t="shared" si="66"/>
        <v>#DIV/0!</v>
      </c>
      <c r="AC123" s="167" t="e">
        <f t="shared" si="66"/>
        <v>#DIV/0!</v>
      </c>
      <c r="AD123" s="167" t="e">
        <f t="shared" si="66"/>
        <v>#DIV/0!</v>
      </c>
      <c r="AE123" s="167" t="e">
        <f t="shared" si="66"/>
        <v>#DIV/0!</v>
      </c>
      <c r="AF123" s="167" t="e">
        <f t="shared" si="66"/>
        <v>#DIV/0!</v>
      </c>
      <c r="AG123" s="167" t="e">
        <f t="shared" si="66"/>
        <v>#DIV/0!</v>
      </c>
      <c r="AH123" s="167" t="e">
        <f t="shared" si="66"/>
        <v>#DIV/0!</v>
      </c>
      <c r="AI123" s="167" t="e">
        <f t="shared" si="66"/>
        <v>#DIV/0!</v>
      </c>
      <c r="AJ123" s="167" t="e">
        <f t="shared" si="66"/>
        <v>#DIV/0!</v>
      </c>
      <c r="AK123" s="167" t="e">
        <f t="shared" si="66"/>
        <v>#DIV/0!</v>
      </c>
      <c r="AL123" s="167" t="e">
        <f t="shared" si="66"/>
        <v>#DIV/0!</v>
      </c>
      <c r="AM123" s="167" t="e">
        <f t="shared" si="66"/>
        <v>#DIV/0!</v>
      </c>
      <c r="AN123" s="167" t="e">
        <f t="shared" si="66"/>
        <v>#DIV/0!</v>
      </c>
      <c r="AO123" s="167" t="e">
        <f t="shared" si="66"/>
        <v>#DIV/0!</v>
      </c>
    </row>
    <row r="124" spans="2:41" x14ac:dyDescent="0.15">
      <c r="B124" s="504"/>
      <c r="C124" s="129" t="s">
        <v>953</v>
      </c>
      <c r="D124" s="94" cm="1">
        <f t="array" ref="D124">SUM(SUMIFS('caseload data'!E:E,'caseload data'!$D:$D,"TPO",'caseload data'!$A:$A,"Wales",'caseload data'!$B:$B,{"licence","community"}))</f>
        <v>0</v>
      </c>
      <c r="E124" s="94" cm="1">
        <f t="array" ref="E124">SUM(SUMIFS('caseload data'!F:F,'caseload data'!$D:$D,"TPO",'caseload data'!$A:$A,"Wales",'caseload data'!$B:$B,{"licence","community"}))</f>
        <v>0</v>
      </c>
      <c r="F124" s="94" cm="1">
        <f t="array" ref="F124">SUM(SUMIFS('caseload data'!G:G,'caseload data'!$D:$D,"TPO",'caseload data'!$A:$A,"Wales",'caseload data'!$B:$B,{"licence","community"}))</f>
        <v>0</v>
      </c>
      <c r="G124" s="94" cm="1">
        <f t="array" ref="G124">SUM(SUMIFS('caseload data'!H:H,'caseload data'!$D:$D,"TPO",'caseload data'!$A:$A,"Wales",'caseload data'!$B:$B,{"licence","community"}))</f>
        <v>0</v>
      </c>
      <c r="H124" s="94" cm="1">
        <f t="array" ref="H124">SUM(SUMIFS('caseload data'!I:I,'caseload data'!$D:$D,"TPO",'caseload data'!$A:$A,"Wales",'caseload data'!$B:$B,{"licence","community"}))</f>
        <v>0</v>
      </c>
      <c r="I124" s="94" cm="1">
        <f t="array" ref="I124">SUM(SUMIFS('caseload data'!J:J,'caseload data'!$D:$D,"TPO",'caseload data'!$A:$A,"Wales",'caseload data'!$B:$B,{"licence","community"}))</f>
        <v>0</v>
      </c>
      <c r="J124" s="94" cm="1">
        <f t="array" ref="J124">SUM(SUMIFS('caseload data'!K:K,'caseload data'!$D:$D,"TPO",'caseload data'!$A:$A,"Wales",'caseload data'!$B:$B,{"licence","community"}))</f>
        <v>0</v>
      </c>
      <c r="K124" s="94" cm="1">
        <f t="array" ref="K124">SUM(SUMIFS('caseload data'!L:L,'caseload data'!$D:$D,"TPO",'caseload data'!$A:$A,"Wales",'caseload data'!$B:$B,{"licence","community"}))</f>
        <v>0</v>
      </c>
      <c r="L124" s="94" cm="1">
        <f t="array" ref="L124">SUM(SUMIFS('caseload data'!M:M,'caseload data'!$D:$D,"TPO",'caseload data'!$A:$A,"Wales",'caseload data'!$B:$B,{"licence","community"}))</f>
        <v>0</v>
      </c>
      <c r="M124" s="94" cm="1">
        <f t="array" ref="M124">SUM(SUMIFS('caseload data'!N:N,'caseload data'!$D:$D,"TPO",'caseload data'!$A:$A,"Wales",'caseload data'!$B:$B,{"licence","community"}))</f>
        <v>0</v>
      </c>
      <c r="N124" s="94" cm="1">
        <f t="array" ref="N124">SUM(SUMIFS('caseload data'!O:O,'caseload data'!$D:$D,"TPO",'caseload data'!$A:$A,"Wales",'caseload data'!$B:$B,{"licence","community"}))</f>
        <v>0</v>
      </c>
      <c r="O124" s="94" cm="1">
        <f t="array" ref="O124">SUM(SUMIFS('caseload data'!P:P,'caseload data'!$D:$D,"TPO",'caseload data'!$A:$A,"Wales",'caseload data'!$B:$B,{"licence","community"}))</f>
        <v>0</v>
      </c>
      <c r="P124" s="94" cm="1">
        <f t="array" ref="P124">SUM(SUMIFS('caseload data'!Q:Q,'caseload data'!$D:$D,"TPO",'caseload data'!$A:$A,"Wales",'caseload data'!$B:$B,{"licence","community"}))</f>
        <v>0</v>
      </c>
      <c r="Q124" s="94" cm="1">
        <f t="array" ref="Q124">SUM(SUMIFS('caseload data'!R:R,'caseload data'!$D:$D,"TPO",'caseload data'!$A:$A,"Wales",'caseload data'!$B:$B,{"licence","community"}))</f>
        <v>0</v>
      </c>
      <c r="R124" s="94" cm="1">
        <f t="array" ref="R124">SUM(SUMIFS('caseload data'!S:S,'caseload data'!$D:$D,"TPO",'caseload data'!$A:$A,"Wales",'caseload data'!$B:$B,{"licence","community"}))</f>
        <v>0</v>
      </c>
      <c r="S124" s="94" cm="1">
        <f t="array" ref="S124">SUM(SUMIFS('caseload data'!T:T,'caseload data'!$D:$D,"TPO",'caseload data'!$A:$A,"Wales",'caseload data'!$B:$B,{"licence","community"}))</f>
        <v>0</v>
      </c>
      <c r="T124" s="94" cm="1">
        <f t="array" ref="T124">SUM(SUMIFS('caseload data'!V:V,'caseload data'!D:D,"TPO",'caseload data'!A:A,"Wales",'caseload data'!B:B,{"licence","community"}))</f>
        <v>0</v>
      </c>
      <c r="U124" s="64"/>
      <c r="V124" s="64"/>
      <c r="W124" s="504"/>
      <c r="X124" s="129" t="s">
        <v>953</v>
      </c>
      <c r="Y124" s="167" t="e">
        <f t="shared" si="67"/>
        <v>#DIV/0!</v>
      </c>
      <c r="Z124" s="167" t="e">
        <f t="shared" si="66"/>
        <v>#DIV/0!</v>
      </c>
      <c r="AA124" s="167" t="e">
        <f t="shared" si="66"/>
        <v>#DIV/0!</v>
      </c>
      <c r="AB124" s="167" t="e">
        <f t="shared" si="66"/>
        <v>#DIV/0!</v>
      </c>
      <c r="AC124" s="167" t="e">
        <f t="shared" si="66"/>
        <v>#DIV/0!</v>
      </c>
      <c r="AD124" s="167" t="e">
        <f t="shared" si="66"/>
        <v>#DIV/0!</v>
      </c>
      <c r="AE124" s="167" t="e">
        <f t="shared" si="66"/>
        <v>#DIV/0!</v>
      </c>
      <c r="AF124" s="167" t="e">
        <f t="shared" si="66"/>
        <v>#DIV/0!</v>
      </c>
      <c r="AG124" s="167" t="e">
        <f t="shared" si="66"/>
        <v>#DIV/0!</v>
      </c>
      <c r="AH124" s="167" t="e">
        <f t="shared" si="66"/>
        <v>#DIV/0!</v>
      </c>
      <c r="AI124" s="167" t="e">
        <f t="shared" si="66"/>
        <v>#DIV/0!</v>
      </c>
      <c r="AJ124" s="167" t="e">
        <f t="shared" si="66"/>
        <v>#DIV/0!</v>
      </c>
      <c r="AK124" s="167" t="e">
        <f t="shared" si="66"/>
        <v>#DIV/0!</v>
      </c>
      <c r="AL124" s="167" t="e">
        <f t="shared" si="66"/>
        <v>#DIV/0!</v>
      </c>
      <c r="AM124" s="167" t="e">
        <f t="shared" si="66"/>
        <v>#DIV/0!</v>
      </c>
      <c r="AN124" s="167" t="e">
        <f t="shared" si="66"/>
        <v>#DIV/0!</v>
      </c>
      <c r="AO124" s="167" t="e">
        <f t="shared" si="66"/>
        <v>#DIV/0!</v>
      </c>
    </row>
    <row r="125" spans="2:41" x14ac:dyDescent="0.15">
      <c r="B125" s="504"/>
      <c r="C125" s="129" t="s">
        <v>954</v>
      </c>
      <c r="D125" s="94" cm="1">
        <f t="array" ref="D125">SUM(SUMIFS('caseload data'!E:E,'caseload data'!$D:$D,"SPO",'caseload data'!$A:$A,"Wales",'caseload data'!$B:$B,{"licence","community"}))</f>
        <v>0</v>
      </c>
      <c r="E125" s="94" cm="1">
        <f t="array" ref="E125">SUM(SUMIFS('caseload data'!F:F,'caseload data'!$D:$D,"SPO",'caseload data'!$A:$A,"Wales",'caseload data'!$B:$B,{"licence","community"}))</f>
        <v>0</v>
      </c>
      <c r="F125" s="94" cm="1">
        <f t="array" ref="F125">SUM(SUMIFS('caseload data'!G:G,'caseload data'!$D:$D,"SPO",'caseload data'!$A:$A,"Wales",'caseload data'!$B:$B,{"licence","community"}))</f>
        <v>0</v>
      </c>
      <c r="G125" s="94" cm="1">
        <f t="array" ref="G125">SUM(SUMIFS('caseload data'!H:H,'caseload data'!$D:$D,"SPO",'caseload data'!$A:$A,"Wales",'caseload data'!$B:$B,{"licence","community"}))</f>
        <v>0</v>
      </c>
      <c r="H125" s="94" cm="1">
        <f t="array" ref="H125">SUM(SUMIFS('caseload data'!I:I,'caseload data'!$D:$D,"SPO",'caseload data'!$A:$A,"Wales",'caseload data'!$B:$B,{"licence","community"}))</f>
        <v>0</v>
      </c>
      <c r="I125" s="94" cm="1">
        <f t="array" ref="I125">SUM(SUMIFS('caseload data'!J:J,'caseload data'!$D:$D,"SPO",'caseload data'!$A:$A,"Wales",'caseload data'!$B:$B,{"licence","community"}))</f>
        <v>0</v>
      </c>
      <c r="J125" s="94" cm="1">
        <f t="array" ref="J125">SUM(SUMIFS('caseload data'!K:K,'caseload data'!$D:$D,"SPO",'caseload data'!$A:$A,"Wales",'caseload data'!$B:$B,{"licence","community"}))</f>
        <v>0</v>
      </c>
      <c r="K125" s="94" cm="1">
        <f t="array" ref="K125">SUM(SUMIFS('caseload data'!L:L,'caseload data'!$D:$D,"SPO",'caseload data'!$A:$A,"Wales",'caseload data'!$B:$B,{"licence","community"}))</f>
        <v>0</v>
      </c>
      <c r="L125" s="94" cm="1">
        <f t="array" ref="L125">SUM(SUMIFS('caseload data'!M:M,'caseload data'!$D:$D,"SPO",'caseload data'!$A:$A,"Wales",'caseload data'!$B:$B,{"licence","community"}))</f>
        <v>0</v>
      </c>
      <c r="M125" s="94" cm="1">
        <f t="array" ref="M125">SUM(SUMIFS('caseload data'!N:N,'caseload data'!$D:$D,"SPO",'caseload data'!$A:$A,"Wales",'caseload data'!$B:$B,{"licence","community"}))</f>
        <v>0</v>
      </c>
      <c r="N125" s="94" cm="1">
        <f t="array" ref="N125">SUM(SUMIFS('caseload data'!O:O,'caseload data'!$D:$D,"SPO",'caseload data'!$A:$A,"Wales",'caseload data'!$B:$B,{"licence","community"}))</f>
        <v>0</v>
      </c>
      <c r="O125" s="94" cm="1">
        <f t="array" ref="O125">SUM(SUMIFS('caseload data'!P:P,'caseload data'!$D:$D,"SPO",'caseload data'!$A:$A,"Wales",'caseload data'!$B:$B,{"licence","community"}))</f>
        <v>0</v>
      </c>
      <c r="P125" s="94" cm="1">
        <f t="array" ref="P125">SUM(SUMIFS('caseload data'!Q:Q,'caseload data'!$D:$D,"SPO",'caseload data'!$A:$A,"Wales",'caseload data'!$B:$B,{"licence","community"}))</f>
        <v>0</v>
      </c>
      <c r="Q125" s="94" cm="1">
        <f t="array" ref="Q125">SUM(SUMIFS('caseload data'!R:R,'caseload data'!$D:$D,"SPO",'caseload data'!$A:$A,"Wales",'caseload data'!$B:$B,{"licence","community"}))</f>
        <v>0</v>
      </c>
      <c r="R125" s="94" cm="1">
        <f t="array" ref="R125">SUM(SUMIFS('caseload data'!S:S,'caseload data'!$D:$D,"SPO",'caseload data'!$A:$A,"Wales",'caseload data'!$B:$B,{"licence","community"}))</f>
        <v>0</v>
      </c>
      <c r="S125" s="94" cm="1">
        <f t="array" ref="S125">SUM(SUMIFS('caseload data'!T:T,'caseload data'!$D:$D,"SPO",'caseload data'!$A:$A,"Wales",'caseload data'!$B:$B,{"licence","community"}))</f>
        <v>0</v>
      </c>
      <c r="T125" s="94" cm="1">
        <f t="array" ref="T125">SUM(SUMIFS('caseload data'!V:V,'caseload data'!$D:$D,"SPO",'caseload data'!$A:$A,"Wales",'caseload data'!$B:$B,{"licence","community"}))</f>
        <v>0</v>
      </c>
      <c r="U125" s="64"/>
      <c r="V125" s="64"/>
      <c r="W125" s="504"/>
      <c r="X125" s="129" t="s">
        <v>954</v>
      </c>
      <c r="Y125" s="167" t="e">
        <f t="shared" si="67"/>
        <v>#DIV/0!</v>
      </c>
      <c r="Z125" s="167" t="e">
        <f t="shared" si="66"/>
        <v>#DIV/0!</v>
      </c>
      <c r="AA125" s="167" t="e">
        <f t="shared" si="66"/>
        <v>#DIV/0!</v>
      </c>
      <c r="AB125" s="167" t="e">
        <f t="shared" si="66"/>
        <v>#DIV/0!</v>
      </c>
      <c r="AC125" s="167" t="e">
        <f t="shared" si="66"/>
        <v>#DIV/0!</v>
      </c>
      <c r="AD125" s="167" t="e">
        <f t="shared" si="66"/>
        <v>#DIV/0!</v>
      </c>
      <c r="AE125" s="167" t="e">
        <f t="shared" si="66"/>
        <v>#DIV/0!</v>
      </c>
      <c r="AF125" s="167" t="e">
        <f t="shared" si="66"/>
        <v>#DIV/0!</v>
      </c>
      <c r="AG125" s="167" t="e">
        <f t="shared" si="66"/>
        <v>#DIV/0!</v>
      </c>
      <c r="AH125" s="167" t="e">
        <f t="shared" si="66"/>
        <v>#DIV/0!</v>
      </c>
      <c r="AI125" s="167" t="e">
        <f t="shared" si="66"/>
        <v>#DIV/0!</v>
      </c>
      <c r="AJ125" s="167" t="e">
        <f t="shared" si="66"/>
        <v>#DIV/0!</v>
      </c>
      <c r="AK125" s="167" t="e">
        <f t="shared" si="66"/>
        <v>#DIV/0!</v>
      </c>
      <c r="AL125" s="167" t="e">
        <f t="shared" si="66"/>
        <v>#DIV/0!</v>
      </c>
      <c r="AM125" s="167" t="e">
        <f t="shared" si="66"/>
        <v>#DIV/0!</v>
      </c>
      <c r="AN125" s="167" t="e">
        <f t="shared" si="66"/>
        <v>#DIV/0!</v>
      </c>
      <c r="AO125" s="167" t="e">
        <f t="shared" si="66"/>
        <v>#DIV/0!</v>
      </c>
    </row>
    <row r="126" spans="2:41" x14ac:dyDescent="0.15">
      <c r="B126" s="505"/>
      <c r="C126" s="130" t="s">
        <v>1286</v>
      </c>
      <c r="D126" s="94" cm="1">
        <f t="array" ref="D126">SUM(SUMIFS('caseload data'!E:E,'caseload data'!$D:$D,"DMY",'caseload data'!$A:$A,"Wales",'caseload data'!$B:$B,{"licence","community"}))</f>
        <v>0</v>
      </c>
      <c r="E126" s="94" cm="1">
        <f t="array" ref="E126">SUM(SUMIFS('caseload data'!F:F,'caseload data'!$D:$D,"DMY",'caseload data'!$A:$A,"Wales",'caseload data'!$B:$B,{"licence","community"}))</f>
        <v>0</v>
      </c>
      <c r="F126" s="94" cm="1">
        <f t="array" ref="F126">SUM(SUMIFS('caseload data'!G:G,'caseload data'!$D:$D,"DMY",'caseload data'!$A:$A,"Wales",'caseload data'!$B:$B,{"licence","community"}))</f>
        <v>0</v>
      </c>
      <c r="G126" s="94" cm="1">
        <f t="array" ref="G126">SUM(SUMIFS('caseload data'!H:H,'caseload data'!$D:$D,"DMY",'caseload data'!$A:$A,"Wales",'caseload data'!$B:$B,{"licence","community"}))</f>
        <v>0</v>
      </c>
      <c r="H126" s="94" cm="1">
        <f t="array" ref="H126">SUM(SUMIFS('caseload data'!I:I,'caseload data'!$D:$D,"DMY",'caseload data'!$A:$A,"Wales",'caseload data'!$B:$B,{"licence","community"}))</f>
        <v>0</v>
      </c>
      <c r="I126" s="94" cm="1">
        <f t="array" ref="I126">SUM(SUMIFS('caseload data'!J:J,'caseload data'!$D:$D,"DMY",'caseload data'!$A:$A,"Wales",'caseload data'!$B:$B,{"licence","community"}))</f>
        <v>0</v>
      </c>
      <c r="J126" s="94" cm="1">
        <f t="array" ref="J126">SUM(SUMIFS('caseload data'!K:K,'caseload data'!$D:$D,"DMY",'caseload data'!$A:$A,"Wales",'caseload data'!$B:$B,{"licence","community"}))</f>
        <v>0</v>
      </c>
      <c r="K126" s="94" cm="1">
        <f t="array" ref="K126">SUM(SUMIFS('caseload data'!L:L,'caseload data'!$D:$D,"DMY",'caseload data'!$A:$A,"Wales",'caseload data'!$B:$B,{"licence","community"}))</f>
        <v>0</v>
      </c>
      <c r="L126" s="94" cm="1">
        <f t="array" ref="L126">SUM(SUMIFS('caseload data'!M:M,'caseload data'!$D:$D,"DMY",'caseload data'!$A:$A,"Wales",'caseload data'!$B:$B,{"licence","community"}))</f>
        <v>0</v>
      </c>
      <c r="M126" s="94" cm="1">
        <f t="array" ref="M126">SUM(SUMIFS('caseload data'!N:N,'caseload data'!$D:$D,"DMY",'caseload data'!$A:$A,"Wales",'caseload data'!$B:$B,{"licence","community"}))</f>
        <v>0</v>
      </c>
      <c r="N126" s="94" cm="1">
        <f t="array" ref="N126">SUM(SUMIFS('caseload data'!O:O,'caseload data'!$D:$D,"DMY",'caseload data'!$A:$A,"Wales",'caseload data'!$B:$B,{"licence","community"}))</f>
        <v>0</v>
      </c>
      <c r="O126" s="94" cm="1">
        <f t="array" ref="O126">SUM(SUMIFS('caseload data'!P:P,'caseload data'!$D:$D,"DMY",'caseload data'!$A:$A,"Wales",'caseload data'!$B:$B,{"licence","community"}))</f>
        <v>0</v>
      </c>
      <c r="P126" s="94" cm="1">
        <f t="array" ref="P126">SUM(SUMIFS('caseload data'!Q:Q,'caseload data'!$D:$D,"DMY",'caseload data'!$A:$A,"Wales",'caseload data'!$B:$B,{"licence","community"}))</f>
        <v>0</v>
      </c>
      <c r="Q126" s="94" cm="1">
        <f t="array" ref="Q126">SUM(SUMIFS('caseload data'!R:R,'caseload data'!$D:$D,"DMY",'caseload data'!$A:$A,"Wales",'caseload data'!$B:$B,{"licence","community"}))</f>
        <v>0</v>
      </c>
      <c r="R126" s="94" cm="1">
        <f t="array" ref="R126">SUM(SUMIFS('caseload data'!S:S,'caseload data'!$D:$D,"DMY",'caseload data'!$A:$A,"Wales",'caseload data'!$B:$B,{"licence","community"}))</f>
        <v>0</v>
      </c>
      <c r="S126" s="94" cm="1">
        <f t="array" ref="S126">SUM(SUMIFS('caseload data'!T:T,'caseload data'!$D:$D,"DMY",'caseload data'!$A:$A,"Wales",'caseload data'!$B:$B,{"licence","community"}))</f>
        <v>0</v>
      </c>
      <c r="T126" s="94" cm="1">
        <f t="array" ref="T126">SUM(SUMIFS('caseload data'!V:V,'caseload data'!$D:$D,"DMY",'caseload data'!$A:$A,"Wales",'caseload data'!$B:$B,{"licence","community"}))</f>
        <v>0</v>
      </c>
      <c r="U126" s="64"/>
      <c r="V126" s="64"/>
      <c r="W126" s="505"/>
      <c r="X126" s="130" t="s">
        <v>1286</v>
      </c>
      <c r="Y126" s="167" t="e">
        <f t="shared" si="67"/>
        <v>#DIV/0!</v>
      </c>
      <c r="Z126" s="167" t="e">
        <f t="shared" si="66"/>
        <v>#DIV/0!</v>
      </c>
      <c r="AA126" s="167" t="e">
        <f t="shared" si="66"/>
        <v>#DIV/0!</v>
      </c>
      <c r="AB126" s="167" t="e">
        <f t="shared" si="66"/>
        <v>#DIV/0!</v>
      </c>
      <c r="AC126" s="167" t="e">
        <f t="shared" si="66"/>
        <v>#DIV/0!</v>
      </c>
      <c r="AD126" s="167" t="e">
        <f t="shared" si="66"/>
        <v>#DIV/0!</v>
      </c>
      <c r="AE126" s="167" t="e">
        <f t="shared" si="66"/>
        <v>#DIV/0!</v>
      </c>
      <c r="AF126" s="167" t="e">
        <f t="shared" si="66"/>
        <v>#DIV/0!</v>
      </c>
      <c r="AG126" s="167" t="e">
        <f t="shared" si="66"/>
        <v>#DIV/0!</v>
      </c>
      <c r="AH126" s="167" t="e">
        <f t="shared" si="66"/>
        <v>#DIV/0!</v>
      </c>
      <c r="AI126" s="167" t="e">
        <f t="shared" si="66"/>
        <v>#DIV/0!</v>
      </c>
      <c r="AJ126" s="167" t="e">
        <f t="shared" si="66"/>
        <v>#DIV/0!</v>
      </c>
      <c r="AK126" s="167" t="e">
        <f t="shared" si="66"/>
        <v>#DIV/0!</v>
      </c>
      <c r="AL126" s="167" t="e">
        <f t="shared" si="66"/>
        <v>#DIV/0!</v>
      </c>
      <c r="AM126" s="167" t="e">
        <f t="shared" si="66"/>
        <v>#DIV/0!</v>
      </c>
      <c r="AN126" s="167" t="e">
        <f t="shared" si="66"/>
        <v>#DIV/0!</v>
      </c>
      <c r="AO126" s="167" t="e">
        <f t="shared" si="66"/>
        <v>#DIV/0!</v>
      </c>
    </row>
    <row r="127" spans="2:41" x14ac:dyDescent="0.15">
      <c r="B127" s="503" t="s">
        <v>27</v>
      </c>
      <c r="C127" s="128" t="s">
        <v>947</v>
      </c>
      <c r="D127" s="94" cm="1">
        <f t="array" ref="D127">SUM(SUMIFS('caseload data'!E:E,'caseload data'!$D:$D,"PO",'caseload data'!$A:$A,$B$127,'caseload data'!$B:$B,{"licence","community"}))</f>
        <v>0</v>
      </c>
      <c r="E127" s="94" cm="1">
        <f t="array" ref="E127">SUM(SUMIFS('caseload data'!F:F,'caseload data'!$D:$D,"PO",'caseload data'!$A:$A,$B$127,'caseload data'!$B:$B,{"licence","community"}))</f>
        <v>0</v>
      </c>
      <c r="F127" s="94" cm="1">
        <f t="array" ref="F127">SUM(SUMIFS('caseload data'!G:G,'caseload data'!$D:$D,"PO",'caseload data'!$A:$A,$B$127,'caseload data'!$B:$B,{"licence","community"}))</f>
        <v>0</v>
      </c>
      <c r="G127" s="94" cm="1">
        <f t="array" ref="G127">SUM(SUMIFS('caseload data'!H:H,'caseload data'!$D:$D,"PO",'caseload data'!$A:$A,$B$127,'caseload data'!$B:$B,{"licence","community"}))</f>
        <v>0</v>
      </c>
      <c r="H127" s="94" cm="1">
        <f t="array" ref="H127">SUM(SUMIFS('caseload data'!I:I,'caseload data'!$D:$D,"PO",'caseload data'!$A:$A,$B$127,'caseload data'!$B:$B,{"licence","community"}))</f>
        <v>0</v>
      </c>
      <c r="I127" s="94" cm="1">
        <f t="array" ref="I127">SUM(SUMIFS('caseload data'!J:J,'caseload data'!$D:$D,"PO",'caseload data'!$A:$A,$B$127,'caseload data'!$B:$B,{"licence","community"}))</f>
        <v>0</v>
      </c>
      <c r="J127" s="94" cm="1">
        <f t="array" ref="J127">SUM(SUMIFS('caseload data'!K:K,'caseload data'!$D:$D,"PO",'caseload data'!$A:$A,$B$127,'caseload data'!$B:$B,{"licence","community"}))</f>
        <v>0</v>
      </c>
      <c r="K127" s="94" cm="1">
        <f t="array" ref="K127">SUM(SUMIFS('caseload data'!L:L,'caseload data'!$D:$D,"PO",'caseload data'!$A:$A,$B$127,'caseload data'!$B:$B,{"licence","community"}))</f>
        <v>0</v>
      </c>
      <c r="L127" s="94" cm="1">
        <f t="array" ref="L127">SUM(SUMIFS('caseload data'!M:M,'caseload data'!$D:$D,"PO",'caseload data'!$A:$A,$B$127,'caseload data'!$B:$B,{"licence","community"}))</f>
        <v>0</v>
      </c>
      <c r="M127" s="94" cm="1">
        <f t="array" ref="M127">SUM(SUMIFS('caseload data'!N:N,'caseload data'!$D:$D,"PO",'caseload data'!$A:$A,$B$127,'caseload data'!$B:$B,{"licence","community"}))</f>
        <v>0</v>
      </c>
      <c r="N127" s="94" cm="1">
        <f t="array" ref="N127">SUM(SUMIFS('caseload data'!O:O,'caseload data'!$D:$D,"PO",'caseload data'!$A:$A,$B$127,'caseload data'!$B:$B,{"licence","community"}))</f>
        <v>0</v>
      </c>
      <c r="O127" s="94" cm="1">
        <f t="array" ref="O127">SUM(SUMIFS('caseload data'!P:P,'caseload data'!$D:$D,"PO",'caseload data'!$A:$A,$B$127,'caseload data'!$B:$B,{"licence","community"}))</f>
        <v>0</v>
      </c>
      <c r="P127" s="94" cm="1">
        <f t="array" ref="P127">SUM(SUMIFS('caseload data'!Q:Q,'caseload data'!$D:$D,"PO",'caseload data'!$A:$A,$B$127,'caseload data'!$B:$B,{"licence","community"}))</f>
        <v>0</v>
      </c>
      <c r="Q127" s="94" cm="1">
        <f t="array" ref="Q127">SUM(SUMIFS('caseload data'!R:R,'caseload data'!$D:$D,"PO",'caseload data'!$A:$A,$B$127,'caseload data'!$B:$B,{"licence","community"}))</f>
        <v>0</v>
      </c>
      <c r="R127" s="94" cm="1">
        <f t="array" ref="R127">SUM(SUMIFS('caseload data'!S:S,'caseload data'!$D:$D,"PO",'caseload data'!$A:$A,$B$127,'caseload data'!$B:$B,{"licence","community"}))</f>
        <v>0</v>
      </c>
      <c r="S127" s="94" cm="1">
        <f t="array" ref="S127">SUM(SUMIFS('caseload data'!T:T,'caseload data'!$D:$D,"PO",'caseload data'!$A:$A,$B$127,'caseload data'!$B:$B,{"licence","community"}))</f>
        <v>0</v>
      </c>
      <c r="T127" s="94">
        <f>SUM(SUMIFS('caseload data'!V:V,'caseload data'!D:D,"PO",'caseload data'!A:A,B127,'caseload data'!B:B,{"licence","community"}))</f>
        <v>0</v>
      </c>
      <c r="U127" s="64"/>
      <c r="V127" s="64"/>
      <c r="W127" s="503" t="s">
        <v>27</v>
      </c>
      <c r="X127" s="128" t="s">
        <v>947</v>
      </c>
      <c r="Y127" s="167" t="e">
        <f>SUM(D127)/SUM(D$13:D$127)</f>
        <v>#DIV/0!</v>
      </c>
      <c r="Z127" s="167" t="e">
        <f t="shared" ref="Z127:AO131" si="68">SUM(E127)/SUM(E$13:E$127)</f>
        <v>#DIV/0!</v>
      </c>
      <c r="AA127" s="167" t="e">
        <f t="shared" si="68"/>
        <v>#DIV/0!</v>
      </c>
      <c r="AB127" s="167" t="e">
        <f t="shared" si="68"/>
        <v>#DIV/0!</v>
      </c>
      <c r="AC127" s="167" t="e">
        <f t="shared" si="68"/>
        <v>#DIV/0!</v>
      </c>
      <c r="AD127" s="167" t="e">
        <f t="shared" si="68"/>
        <v>#DIV/0!</v>
      </c>
      <c r="AE127" s="167" t="e">
        <f t="shared" si="68"/>
        <v>#DIV/0!</v>
      </c>
      <c r="AF127" s="167" t="e">
        <f t="shared" si="68"/>
        <v>#DIV/0!</v>
      </c>
      <c r="AG127" s="167" t="e">
        <f t="shared" si="68"/>
        <v>#DIV/0!</v>
      </c>
      <c r="AH127" s="167" t="e">
        <f t="shared" si="68"/>
        <v>#DIV/0!</v>
      </c>
      <c r="AI127" s="167" t="e">
        <f t="shared" si="68"/>
        <v>#DIV/0!</v>
      </c>
      <c r="AJ127" s="167" t="e">
        <f t="shared" si="68"/>
        <v>#DIV/0!</v>
      </c>
      <c r="AK127" s="167" t="e">
        <f t="shared" si="68"/>
        <v>#DIV/0!</v>
      </c>
      <c r="AL127" s="167" t="e">
        <f t="shared" si="68"/>
        <v>#DIV/0!</v>
      </c>
      <c r="AM127" s="167" t="e">
        <f t="shared" si="68"/>
        <v>#DIV/0!</v>
      </c>
      <c r="AN127" s="167" t="e">
        <f t="shared" si="68"/>
        <v>#DIV/0!</v>
      </c>
      <c r="AO127" s="167" t="e">
        <f t="shared" si="68"/>
        <v>#DIV/0!</v>
      </c>
    </row>
    <row r="128" spans="2:41" x14ac:dyDescent="0.15">
      <c r="B128" s="504"/>
      <c r="C128" s="129" t="s">
        <v>952</v>
      </c>
      <c r="D128" s="94" cm="1">
        <f t="array" ref="D128">SUM(SUMIFS('caseload data'!E:E,'caseload data'!$D:$D,"PSO",'caseload data'!$A:$A,"West Midlands Region",'caseload data'!$B:$B,{"licence","community"}))</f>
        <v>0</v>
      </c>
      <c r="E128" s="94" cm="1">
        <f t="array" ref="E128">SUM(SUMIFS('caseload data'!F:F,'caseload data'!$D:$D,"PSO",'caseload data'!$A:$A,"West Midlands Region",'caseload data'!$B:$B,{"licence","community"}))</f>
        <v>0</v>
      </c>
      <c r="F128" s="94" cm="1">
        <f t="array" ref="F128">SUM(SUMIFS('caseload data'!G:G,'caseload data'!$D:$D,"PSO",'caseload data'!$A:$A,"West Midlands Region",'caseload data'!$B:$B,{"licence","community"}))</f>
        <v>0</v>
      </c>
      <c r="G128" s="94" cm="1">
        <f t="array" ref="G128">SUM(SUMIFS('caseload data'!H:H,'caseload data'!$D:$D,"PSO",'caseload data'!$A:$A,"West Midlands Region",'caseload data'!$B:$B,{"licence","community"}))</f>
        <v>0</v>
      </c>
      <c r="H128" s="94" cm="1">
        <f t="array" ref="H128">SUM(SUMIFS('caseload data'!I:I,'caseload data'!$D:$D,"PSO",'caseload data'!$A:$A,"West Midlands Region",'caseload data'!$B:$B,{"licence","community"}))</f>
        <v>0</v>
      </c>
      <c r="I128" s="94" cm="1">
        <f t="array" ref="I128">SUM(SUMIFS('caseload data'!J:J,'caseload data'!$D:$D,"PSO",'caseload data'!$A:$A,"West Midlands Region",'caseload data'!$B:$B,{"licence","community"}))</f>
        <v>0</v>
      </c>
      <c r="J128" s="94" cm="1">
        <f t="array" ref="J128">SUM(SUMIFS('caseload data'!K:K,'caseload data'!$D:$D,"PSO",'caseload data'!$A:$A,"West Midlands Region",'caseload data'!$B:$B,{"licence","community"}))</f>
        <v>0</v>
      </c>
      <c r="K128" s="94" cm="1">
        <f t="array" ref="K128">SUM(SUMIFS('caseload data'!L:L,'caseload data'!$D:$D,"PSO",'caseload data'!$A:$A,"West Midlands Region",'caseload data'!$B:$B,{"licence","community"}))</f>
        <v>0</v>
      </c>
      <c r="L128" s="94" cm="1">
        <f t="array" ref="L128">SUM(SUMIFS('caseload data'!M:M,'caseload data'!$D:$D,"PSO",'caseload data'!$A:$A,"West Midlands Region",'caseload data'!$B:$B,{"licence","community"}))</f>
        <v>0</v>
      </c>
      <c r="M128" s="94" cm="1">
        <f t="array" ref="M128">SUM(SUMIFS('caseload data'!N:N,'caseload data'!$D:$D,"PSO",'caseload data'!$A:$A,"West Midlands Region",'caseload data'!$B:$B,{"licence","community"}))</f>
        <v>0</v>
      </c>
      <c r="N128" s="94" cm="1">
        <f t="array" ref="N128">SUM(SUMIFS('caseload data'!O:O,'caseload data'!$D:$D,"PSO",'caseload data'!$A:$A,"West Midlands Region",'caseload data'!$B:$B,{"licence","community"}))</f>
        <v>0</v>
      </c>
      <c r="O128" s="94" cm="1">
        <f t="array" ref="O128">SUM(SUMIFS('caseload data'!P:P,'caseload data'!$D:$D,"PSO",'caseload data'!$A:$A,"West Midlands Region",'caseload data'!$B:$B,{"licence","community"}))</f>
        <v>0</v>
      </c>
      <c r="P128" s="94" cm="1">
        <f t="array" ref="P128">SUM(SUMIFS('caseload data'!Q:Q,'caseload data'!$D:$D,"PSO",'caseload data'!$A:$A,"West Midlands Region",'caseload data'!$B:$B,{"licence","community"}))</f>
        <v>0</v>
      </c>
      <c r="Q128" s="94" cm="1">
        <f t="array" ref="Q128">SUM(SUMIFS('caseload data'!R:R,'caseload data'!$D:$D,"PSO",'caseload data'!$A:$A,"West Midlands Region",'caseload data'!$B:$B,{"licence","community"}))</f>
        <v>0</v>
      </c>
      <c r="R128" s="94" cm="1">
        <f t="array" ref="R128">SUM(SUMIFS('caseload data'!S:S,'caseload data'!$D:$D,"PSO",'caseload data'!$A:$A,"West Midlands Region",'caseload data'!$B:$B,{"licence","community"}))</f>
        <v>0</v>
      </c>
      <c r="S128" s="94" cm="1">
        <f t="array" ref="S128">SUM(SUMIFS('caseload data'!T:T,'caseload data'!$D:$D,"PSO",'caseload data'!$A:$A,"West Midlands Region",'caseload data'!$B:$B,{"licence","community"}))</f>
        <v>0</v>
      </c>
      <c r="T128" s="94" cm="1">
        <f t="array" ref="T128">SUM(SUMIFS('caseload data'!V:V,'caseload data'!$D:$D,"PSO",'caseload data'!$A:$A,"West Midlands Region",'caseload data'!$B:$B,{"licence","community"}))</f>
        <v>0</v>
      </c>
      <c r="U128" s="64"/>
      <c r="V128" s="64"/>
      <c r="W128" s="504"/>
      <c r="X128" s="129" t="s">
        <v>952</v>
      </c>
      <c r="Y128" s="167" t="e">
        <f t="shared" ref="Y128:Y131" si="69">SUM(D128)/SUM(D$13:D$127)</f>
        <v>#DIV/0!</v>
      </c>
      <c r="Z128" s="167" t="e">
        <f t="shared" si="68"/>
        <v>#DIV/0!</v>
      </c>
      <c r="AA128" s="167" t="e">
        <f t="shared" si="68"/>
        <v>#DIV/0!</v>
      </c>
      <c r="AB128" s="167" t="e">
        <f t="shared" si="68"/>
        <v>#DIV/0!</v>
      </c>
      <c r="AC128" s="167" t="e">
        <f t="shared" si="68"/>
        <v>#DIV/0!</v>
      </c>
      <c r="AD128" s="167" t="e">
        <f t="shared" si="68"/>
        <v>#DIV/0!</v>
      </c>
      <c r="AE128" s="167" t="e">
        <f t="shared" si="68"/>
        <v>#DIV/0!</v>
      </c>
      <c r="AF128" s="167" t="e">
        <f t="shared" si="68"/>
        <v>#DIV/0!</v>
      </c>
      <c r="AG128" s="167" t="e">
        <f t="shared" si="68"/>
        <v>#DIV/0!</v>
      </c>
      <c r="AH128" s="167" t="e">
        <f t="shared" si="68"/>
        <v>#DIV/0!</v>
      </c>
      <c r="AI128" s="167" t="e">
        <f t="shared" si="68"/>
        <v>#DIV/0!</v>
      </c>
      <c r="AJ128" s="167" t="e">
        <f t="shared" si="68"/>
        <v>#DIV/0!</v>
      </c>
      <c r="AK128" s="167" t="e">
        <f t="shared" si="68"/>
        <v>#DIV/0!</v>
      </c>
      <c r="AL128" s="167" t="e">
        <f t="shared" si="68"/>
        <v>#DIV/0!</v>
      </c>
      <c r="AM128" s="167" t="e">
        <f t="shared" si="68"/>
        <v>#DIV/0!</v>
      </c>
      <c r="AN128" s="167" t="e">
        <f t="shared" si="68"/>
        <v>#DIV/0!</v>
      </c>
      <c r="AO128" s="167" t="e">
        <f t="shared" si="68"/>
        <v>#DIV/0!</v>
      </c>
    </row>
    <row r="129" spans="2:41" x14ac:dyDescent="0.15">
      <c r="B129" s="504"/>
      <c r="C129" s="129" t="s">
        <v>953</v>
      </c>
      <c r="D129" s="94" cm="1">
        <f t="array" ref="D129">SUM(SUMIFS('caseload data'!E:E,'caseload data'!$D:$D,"TPO",'caseload data'!$A:$A,"West Midlands Region",'caseload data'!$B:$B,{"licence","community"}))</f>
        <v>0</v>
      </c>
      <c r="E129" s="94" cm="1">
        <f t="array" ref="E129">SUM(SUMIFS('caseload data'!F:F,'caseload data'!$D:$D,"TPO",'caseload data'!$A:$A,"West Midlands Region",'caseload data'!$B:$B,{"licence","community"}))</f>
        <v>0</v>
      </c>
      <c r="F129" s="94" cm="1">
        <f t="array" ref="F129">SUM(SUMIFS('caseload data'!G:G,'caseload data'!$D:$D,"TPO",'caseload data'!$A:$A,"West Midlands Region",'caseload data'!$B:$B,{"licence","community"}))</f>
        <v>0</v>
      </c>
      <c r="G129" s="94" cm="1">
        <f t="array" ref="G129">SUM(SUMIFS('caseload data'!H:H,'caseload data'!$D:$D,"TPO",'caseload data'!$A:$A,"West Midlands Region",'caseload data'!$B:$B,{"licence","community"}))</f>
        <v>0</v>
      </c>
      <c r="H129" s="94" cm="1">
        <f t="array" ref="H129">SUM(SUMIFS('caseload data'!I:I,'caseload data'!$D:$D,"TPO",'caseload data'!$A:$A,"West Midlands Region",'caseload data'!$B:$B,{"licence","community"}))</f>
        <v>0</v>
      </c>
      <c r="I129" s="94" cm="1">
        <f t="array" ref="I129">SUM(SUMIFS('caseload data'!J:J,'caseload data'!$D:$D,"TPO",'caseload data'!$A:$A,"West Midlands Region",'caseload data'!$B:$B,{"licence","community"}))</f>
        <v>0</v>
      </c>
      <c r="J129" s="94" cm="1">
        <f t="array" ref="J129">SUM(SUMIFS('caseload data'!K:K,'caseload data'!$D:$D,"TPO",'caseload data'!$A:$A,"West Midlands Region",'caseload data'!$B:$B,{"licence","community"}))</f>
        <v>0</v>
      </c>
      <c r="K129" s="94" cm="1">
        <f t="array" ref="K129">SUM(SUMIFS('caseload data'!L:L,'caseload data'!$D:$D,"TPO",'caseload data'!$A:$A,"West Midlands Region",'caseload data'!$B:$B,{"licence","community"}))</f>
        <v>0</v>
      </c>
      <c r="L129" s="94" cm="1">
        <f t="array" ref="L129">SUM(SUMIFS('caseload data'!M:M,'caseload data'!$D:$D,"TPO",'caseload data'!$A:$A,"West Midlands Region",'caseload data'!$B:$B,{"licence","community"}))</f>
        <v>0</v>
      </c>
      <c r="M129" s="94" cm="1">
        <f t="array" ref="M129">SUM(SUMIFS('caseload data'!N:N,'caseload data'!$D:$D,"TPO",'caseload data'!$A:$A,"West Midlands Region",'caseload data'!$B:$B,{"licence","community"}))</f>
        <v>0</v>
      </c>
      <c r="N129" s="94" cm="1">
        <f t="array" ref="N129">SUM(SUMIFS('caseload data'!O:O,'caseload data'!$D:$D,"TPO",'caseload data'!$A:$A,"West Midlands Region",'caseload data'!$B:$B,{"licence","community"}))</f>
        <v>0</v>
      </c>
      <c r="O129" s="94" cm="1">
        <f t="array" ref="O129">SUM(SUMIFS('caseload data'!P:P,'caseload data'!$D:$D,"TPO",'caseload data'!$A:$A,"West Midlands Region",'caseload data'!$B:$B,{"licence","community"}))</f>
        <v>0</v>
      </c>
      <c r="P129" s="94" cm="1">
        <f t="array" ref="P129">SUM(SUMIFS('caseload data'!Q:Q,'caseload data'!$D:$D,"TPO",'caseload data'!$A:$A,"West Midlands Region",'caseload data'!$B:$B,{"licence","community"}))</f>
        <v>0</v>
      </c>
      <c r="Q129" s="94" cm="1">
        <f t="array" ref="Q129">SUM(SUMIFS('caseload data'!R:R,'caseload data'!$D:$D,"TPO",'caseload data'!$A:$A,"West Midlands Region",'caseload data'!$B:$B,{"licence","community"}))</f>
        <v>0</v>
      </c>
      <c r="R129" s="94" cm="1">
        <f t="array" ref="R129">SUM(SUMIFS('caseload data'!S:S,'caseload data'!$D:$D,"TPO",'caseload data'!$A:$A,"West Midlands Region",'caseload data'!$B:$B,{"licence","community"}))</f>
        <v>0</v>
      </c>
      <c r="S129" s="94" cm="1">
        <f t="array" ref="S129">SUM(SUMIFS('caseload data'!T:T,'caseload data'!$D:$D,"TPO",'caseload data'!$A:$A,"West Midlands Region",'caseload data'!$B:$B,{"licence","community"}))</f>
        <v>0</v>
      </c>
      <c r="T129" s="94" cm="1">
        <f t="array" ref="T129">SUM(SUMIFS('caseload data'!V:V,'caseload data'!D:D,"TPO",'caseload data'!A:A,"West Midlands Region",'caseload data'!B:B,{"licence","community"}))</f>
        <v>0</v>
      </c>
      <c r="U129" s="64"/>
      <c r="V129" s="64"/>
      <c r="W129" s="504"/>
      <c r="X129" s="129" t="s">
        <v>953</v>
      </c>
      <c r="Y129" s="167" t="e">
        <f t="shared" si="69"/>
        <v>#DIV/0!</v>
      </c>
      <c r="Z129" s="167" t="e">
        <f t="shared" si="68"/>
        <v>#DIV/0!</v>
      </c>
      <c r="AA129" s="167" t="e">
        <f t="shared" si="68"/>
        <v>#DIV/0!</v>
      </c>
      <c r="AB129" s="167" t="e">
        <f t="shared" si="68"/>
        <v>#DIV/0!</v>
      </c>
      <c r="AC129" s="167" t="e">
        <f t="shared" si="68"/>
        <v>#DIV/0!</v>
      </c>
      <c r="AD129" s="167" t="e">
        <f t="shared" si="68"/>
        <v>#DIV/0!</v>
      </c>
      <c r="AE129" s="167" t="e">
        <f t="shared" si="68"/>
        <v>#DIV/0!</v>
      </c>
      <c r="AF129" s="167" t="e">
        <f t="shared" si="68"/>
        <v>#DIV/0!</v>
      </c>
      <c r="AG129" s="167" t="e">
        <f t="shared" si="68"/>
        <v>#DIV/0!</v>
      </c>
      <c r="AH129" s="167" t="e">
        <f t="shared" si="68"/>
        <v>#DIV/0!</v>
      </c>
      <c r="AI129" s="167" t="e">
        <f t="shared" si="68"/>
        <v>#DIV/0!</v>
      </c>
      <c r="AJ129" s="167" t="e">
        <f t="shared" si="68"/>
        <v>#DIV/0!</v>
      </c>
      <c r="AK129" s="167" t="e">
        <f t="shared" si="68"/>
        <v>#DIV/0!</v>
      </c>
      <c r="AL129" s="167" t="e">
        <f t="shared" si="68"/>
        <v>#DIV/0!</v>
      </c>
      <c r="AM129" s="167" t="e">
        <f t="shared" si="68"/>
        <v>#DIV/0!</v>
      </c>
      <c r="AN129" s="167" t="e">
        <f t="shared" si="68"/>
        <v>#DIV/0!</v>
      </c>
      <c r="AO129" s="167" t="e">
        <f t="shared" si="68"/>
        <v>#DIV/0!</v>
      </c>
    </row>
    <row r="130" spans="2:41" x14ac:dyDescent="0.15">
      <c r="B130" s="504"/>
      <c r="C130" s="129" t="s">
        <v>954</v>
      </c>
      <c r="D130" s="94" cm="1">
        <f t="array" ref="D130">SUM(SUMIFS('caseload data'!E:E,'caseload data'!$D:$D,"SPO",'caseload data'!$A:$A,"West Midlands Region",'caseload data'!$B:$B,{"licence","community"}))</f>
        <v>0</v>
      </c>
      <c r="E130" s="94" cm="1">
        <f t="array" ref="E130">SUM(SUMIFS('caseload data'!F:F,'caseload data'!$D:$D,"SPO",'caseload data'!$A:$A,"West Midlands Region",'caseload data'!$B:$B,{"licence","community"}))</f>
        <v>0</v>
      </c>
      <c r="F130" s="94" cm="1">
        <f t="array" ref="F130">SUM(SUMIFS('caseload data'!G:G,'caseload data'!$D:$D,"SPO",'caseload data'!$A:$A,"West Midlands Region",'caseload data'!$B:$B,{"licence","community"}))</f>
        <v>0</v>
      </c>
      <c r="G130" s="94" cm="1">
        <f t="array" ref="G130">SUM(SUMIFS('caseload data'!H:H,'caseload data'!$D:$D,"SPO",'caseload data'!$A:$A,"West Midlands Region",'caseload data'!$B:$B,{"licence","community"}))</f>
        <v>0</v>
      </c>
      <c r="H130" s="94" cm="1">
        <f t="array" ref="H130">SUM(SUMIFS('caseload data'!I:I,'caseload data'!$D:$D,"SPO",'caseload data'!$A:$A,"West Midlands Region",'caseload data'!$B:$B,{"licence","community"}))</f>
        <v>0</v>
      </c>
      <c r="I130" s="94" cm="1">
        <f t="array" ref="I130">SUM(SUMIFS('caseload data'!J:J,'caseload data'!$D:$D,"SPO",'caseload data'!$A:$A,"West Midlands Region",'caseload data'!$B:$B,{"licence","community"}))</f>
        <v>0</v>
      </c>
      <c r="J130" s="94" cm="1">
        <f t="array" ref="J130">SUM(SUMIFS('caseload data'!K:K,'caseload data'!$D:$D,"SPO",'caseload data'!$A:$A,"West Midlands Region",'caseload data'!$B:$B,{"licence","community"}))</f>
        <v>0</v>
      </c>
      <c r="K130" s="94" cm="1">
        <f t="array" ref="K130">SUM(SUMIFS('caseload data'!L:L,'caseload data'!$D:$D,"SPO",'caseload data'!$A:$A,"West Midlands Region",'caseload data'!$B:$B,{"licence","community"}))</f>
        <v>0</v>
      </c>
      <c r="L130" s="94" cm="1">
        <f t="array" ref="L130">SUM(SUMIFS('caseload data'!M:M,'caseload data'!$D:$D,"SPO",'caseload data'!$A:$A,"West Midlands Region",'caseload data'!$B:$B,{"licence","community"}))</f>
        <v>0</v>
      </c>
      <c r="M130" s="94" cm="1">
        <f t="array" ref="M130">SUM(SUMIFS('caseload data'!N:N,'caseload data'!$D:$D,"SPO",'caseload data'!$A:$A,"West Midlands Region",'caseload data'!$B:$B,{"licence","community"}))</f>
        <v>0</v>
      </c>
      <c r="N130" s="94" cm="1">
        <f t="array" ref="N130">SUM(SUMIFS('caseload data'!O:O,'caseload data'!$D:$D,"SPO",'caseload data'!$A:$A,"West Midlands Region",'caseload data'!$B:$B,{"licence","community"}))</f>
        <v>0</v>
      </c>
      <c r="O130" s="94" cm="1">
        <f t="array" ref="O130">SUM(SUMIFS('caseload data'!P:P,'caseload data'!$D:$D,"SPO",'caseload data'!$A:$A,"West Midlands Region",'caseload data'!$B:$B,{"licence","community"}))</f>
        <v>0</v>
      </c>
      <c r="P130" s="94" cm="1">
        <f t="array" ref="P130">SUM(SUMIFS('caseload data'!Q:Q,'caseload data'!$D:$D,"SPO",'caseload data'!$A:$A,"West Midlands Region",'caseload data'!$B:$B,{"licence","community"}))</f>
        <v>0</v>
      </c>
      <c r="Q130" s="94" cm="1">
        <f t="array" ref="Q130">SUM(SUMIFS('caseload data'!R:R,'caseload data'!$D:$D,"SPO",'caseload data'!$A:$A,"West Midlands Region",'caseload data'!$B:$B,{"licence","community"}))</f>
        <v>0</v>
      </c>
      <c r="R130" s="94" cm="1">
        <f t="array" ref="R130">SUM(SUMIFS('caseload data'!S:S,'caseload data'!$D:$D,"SPO",'caseload data'!$A:$A,"West Midlands Region",'caseload data'!$B:$B,{"licence","community"}))</f>
        <v>0</v>
      </c>
      <c r="S130" s="94" cm="1">
        <f t="array" ref="S130">SUM(SUMIFS('caseload data'!T:T,'caseload data'!$D:$D,"SPO",'caseload data'!$A:$A,"West Midlands Region",'caseload data'!$B:$B,{"licence","community"}))</f>
        <v>0</v>
      </c>
      <c r="T130" s="94" cm="1">
        <f t="array" ref="T130">SUM(SUMIFS('caseload data'!V:V,'caseload data'!$D:$D,"SPO",'caseload data'!$A:$A,"West Midlands Region",'caseload data'!$B:$B,{"licence","community"}))</f>
        <v>0</v>
      </c>
      <c r="U130" s="64"/>
      <c r="V130" s="64"/>
      <c r="W130" s="504"/>
      <c r="X130" s="129" t="s">
        <v>954</v>
      </c>
      <c r="Y130" s="167" t="e">
        <f t="shared" si="69"/>
        <v>#DIV/0!</v>
      </c>
      <c r="Z130" s="167" t="e">
        <f t="shared" si="68"/>
        <v>#DIV/0!</v>
      </c>
      <c r="AA130" s="167" t="e">
        <f t="shared" si="68"/>
        <v>#DIV/0!</v>
      </c>
      <c r="AB130" s="167" t="e">
        <f t="shared" si="68"/>
        <v>#DIV/0!</v>
      </c>
      <c r="AC130" s="167" t="e">
        <f t="shared" si="68"/>
        <v>#DIV/0!</v>
      </c>
      <c r="AD130" s="167" t="e">
        <f t="shared" si="68"/>
        <v>#DIV/0!</v>
      </c>
      <c r="AE130" s="167" t="e">
        <f t="shared" si="68"/>
        <v>#DIV/0!</v>
      </c>
      <c r="AF130" s="167" t="e">
        <f t="shared" si="68"/>
        <v>#DIV/0!</v>
      </c>
      <c r="AG130" s="167" t="e">
        <f t="shared" si="68"/>
        <v>#DIV/0!</v>
      </c>
      <c r="AH130" s="167" t="e">
        <f t="shared" si="68"/>
        <v>#DIV/0!</v>
      </c>
      <c r="AI130" s="167" t="e">
        <f t="shared" si="68"/>
        <v>#DIV/0!</v>
      </c>
      <c r="AJ130" s="167" t="e">
        <f t="shared" si="68"/>
        <v>#DIV/0!</v>
      </c>
      <c r="AK130" s="167" t="e">
        <f t="shared" si="68"/>
        <v>#DIV/0!</v>
      </c>
      <c r="AL130" s="167" t="e">
        <f t="shared" si="68"/>
        <v>#DIV/0!</v>
      </c>
      <c r="AM130" s="167" t="e">
        <f t="shared" si="68"/>
        <v>#DIV/0!</v>
      </c>
      <c r="AN130" s="167" t="e">
        <f t="shared" si="68"/>
        <v>#DIV/0!</v>
      </c>
      <c r="AO130" s="167" t="e">
        <f t="shared" si="68"/>
        <v>#DIV/0!</v>
      </c>
    </row>
    <row r="131" spans="2:41" x14ac:dyDescent="0.15">
      <c r="B131" s="505"/>
      <c r="C131" s="130" t="s">
        <v>1286</v>
      </c>
      <c r="D131" s="94" cm="1">
        <f t="array" ref="D131">SUM(SUMIFS('caseload data'!E:E,'caseload data'!$D:$D,"DMY",'caseload data'!$A:$A,"West Midlands Region",'caseload data'!$B:$B,{"licence","community"}))</f>
        <v>0</v>
      </c>
      <c r="E131" s="94" cm="1">
        <f t="array" ref="E131">SUM(SUMIFS('caseload data'!F:F,'caseload data'!$D:$D,"DMY",'caseload data'!$A:$A,"West Midlands Region",'caseload data'!$B:$B,{"licence","community"}))</f>
        <v>0</v>
      </c>
      <c r="F131" s="94" cm="1">
        <f t="array" ref="F131">SUM(SUMIFS('caseload data'!G:G,'caseload data'!$D:$D,"DMY",'caseload data'!$A:$A,"West Midlands Region",'caseload data'!$B:$B,{"licence","community"}))</f>
        <v>0</v>
      </c>
      <c r="G131" s="94" cm="1">
        <f t="array" ref="G131">SUM(SUMIFS('caseload data'!H:H,'caseload data'!$D:$D,"DMY",'caseload data'!$A:$A,"West Midlands Region",'caseload data'!$B:$B,{"licence","community"}))</f>
        <v>0</v>
      </c>
      <c r="H131" s="94" cm="1">
        <f t="array" ref="H131">SUM(SUMIFS('caseload data'!I:I,'caseload data'!$D:$D,"DMY",'caseload data'!$A:$A,"West Midlands Region",'caseload data'!$B:$B,{"licence","community"}))</f>
        <v>0</v>
      </c>
      <c r="I131" s="94" cm="1">
        <f t="array" ref="I131">SUM(SUMIFS('caseload data'!J:J,'caseload data'!$D:$D,"DMY",'caseload data'!$A:$A,"West Midlands Region",'caseload data'!$B:$B,{"licence","community"}))</f>
        <v>0</v>
      </c>
      <c r="J131" s="94" cm="1">
        <f t="array" ref="J131">SUM(SUMIFS('caseload data'!K:K,'caseload data'!$D:$D,"DMY",'caseload data'!$A:$A,"West Midlands Region",'caseload data'!$B:$B,{"licence","community"}))</f>
        <v>0</v>
      </c>
      <c r="K131" s="94" cm="1">
        <f t="array" ref="K131">SUM(SUMIFS('caseload data'!L:L,'caseload data'!$D:$D,"DMY",'caseload data'!$A:$A,"West Midlands Region",'caseload data'!$B:$B,{"licence","community"}))</f>
        <v>0</v>
      </c>
      <c r="L131" s="94" cm="1">
        <f t="array" ref="L131">SUM(SUMIFS('caseload data'!M:M,'caseload data'!$D:$D,"DMY",'caseload data'!$A:$A,"West Midlands Region",'caseload data'!$B:$B,{"licence","community"}))</f>
        <v>0</v>
      </c>
      <c r="M131" s="94" cm="1">
        <f t="array" ref="M131">SUM(SUMIFS('caseload data'!N:N,'caseload data'!$D:$D,"DMY",'caseload data'!$A:$A,"West Midlands Region",'caseload data'!$B:$B,{"licence","community"}))</f>
        <v>0</v>
      </c>
      <c r="N131" s="94" cm="1">
        <f t="array" ref="N131">SUM(SUMIFS('caseload data'!O:O,'caseload data'!$D:$D,"DMY",'caseload data'!$A:$A,"West Midlands Region",'caseload data'!$B:$B,{"licence","community"}))</f>
        <v>0</v>
      </c>
      <c r="O131" s="94" cm="1">
        <f t="array" ref="O131">SUM(SUMIFS('caseload data'!P:P,'caseload data'!$D:$D,"DMY",'caseload data'!$A:$A,"West Midlands Region",'caseload data'!$B:$B,{"licence","community"}))</f>
        <v>0</v>
      </c>
      <c r="P131" s="94" cm="1">
        <f t="array" ref="P131">SUM(SUMIFS('caseload data'!Q:Q,'caseload data'!$D:$D,"DMY",'caseload data'!$A:$A,"West Midlands Region",'caseload data'!$B:$B,{"licence","community"}))</f>
        <v>0</v>
      </c>
      <c r="Q131" s="94" cm="1">
        <f t="array" ref="Q131">SUM(SUMIFS('caseload data'!R:R,'caseload data'!$D:$D,"DMY",'caseload data'!$A:$A,"West Midlands Region",'caseload data'!$B:$B,{"licence","community"}))</f>
        <v>0</v>
      </c>
      <c r="R131" s="94" cm="1">
        <f t="array" ref="R131">SUM(SUMIFS('caseload data'!S:S,'caseload data'!$D:$D,"DMY",'caseload data'!$A:$A,"West Midlands Region",'caseload data'!$B:$B,{"licence","community"}))</f>
        <v>0</v>
      </c>
      <c r="S131" s="94" cm="1">
        <f t="array" ref="S131">SUM(SUMIFS('caseload data'!T:T,'caseload data'!$D:$D,"DMY",'caseload data'!$A:$A,"West Midlands Region",'caseload data'!$B:$B,{"licence","community"}))</f>
        <v>0</v>
      </c>
      <c r="T131" s="94" cm="1">
        <f t="array" ref="T131">SUM(SUMIFS('caseload data'!V:V,'caseload data'!$D:$D,"DMY",'caseload data'!$A:$A,"West Midlands Region",'caseload data'!$B:$B,{"licence","community"}))</f>
        <v>0</v>
      </c>
      <c r="U131" s="64"/>
      <c r="V131" s="64"/>
      <c r="W131" s="505"/>
      <c r="X131" s="130" t="s">
        <v>1286</v>
      </c>
      <c r="Y131" s="167" t="e">
        <f t="shared" si="69"/>
        <v>#DIV/0!</v>
      </c>
      <c r="Z131" s="167" t="e">
        <f t="shared" si="68"/>
        <v>#DIV/0!</v>
      </c>
      <c r="AA131" s="167" t="e">
        <f t="shared" si="68"/>
        <v>#DIV/0!</v>
      </c>
      <c r="AB131" s="167" t="e">
        <f t="shared" si="68"/>
        <v>#DIV/0!</v>
      </c>
      <c r="AC131" s="167" t="e">
        <f t="shared" si="68"/>
        <v>#DIV/0!</v>
      </c>
      <c r="AD131" s="167" t="e">
        <f t="shared" si="68"/>
        <v>#DIV/0!</v>
      </c>
      <c r="AE131" s="167" t="e">
        <f t="shared" si="68"/>
        <v>#DIV/0!</v>
      </c>
      <c r="AF131" s="167" t="e">
        <f t="shared" si="68"/>
        <v>#DIV/0!</v>
      </c>
      <c r="AG131" s="167" t="e">
        <f t="shared" si="68"/>
        <v>#DIV/0!</v>
      </c>
      <c r="AH131" s="167" t="e">
        <f t="shared" si="68"/>
        <v>#DIV/0!</v>
      </c>
      <c r="AI131" s="167" t="e">
        <f t="shared" si="68"/>
        <v>#DIV/0!</v>
      </c>
      <c r="AJ131" s="167" t="e">
        <f t="shared" si="68"/>
        <v>#DIV/0!</v>
      </c>
      <c r="AK131" s="167" t="e">
        <f t="shared" si="68"/>
        <v>#DIV/0!</v>
      </c>
      <c r="AL131" s="167" t="e">
        <f t="shared" si="68"/>
        <v>#DIV/0!</v>
      </c>
      <c r="AM131" s="167" t="e">
        <f t="shared" si="68"/>
        <v>#DIV/0!</v>
      </c>
      <c r="AN131" s="167" t="e">
        <f t="shared" si="68"/>
        <v>#DIV/0!</v>
      </c>
      <c r="AO131" s="167" t="e">
        <f t="shared" si="68"/>
        <v>#DIV/0!</v>
      </c>
    </row>
    <row r="132" spans="2:41" x14ac:dyDescent="0.15">
      <c r="B132" s="503" t="s">
        <v>28</v>
      </c>
      <c r="C132" s="128" t="s">
        <v>947</v>
      </c>
      <c r="D132" s="94" cm="1">
        <f t="array" ref="D132">SUM(SUMIFS('caseload data'!E:E,'caseload data'!$D:$D,"PO",'caseload data'!$A:$A,$B$132,'caseload data'!$B:$B,{"licence","community"}))</f>
        <v>0</v>
      </c>
      <c r="E132" s="94" cm="1">
        <f t="array" ref="E132">SUM(SUMIFS('caseload data'!F:F,'caseload data'!$D:$D,"PO",'caseload data'!$A:$A,$B$132,'caseload data'!$B:$B,{"licence","community"}))</f>
        <v>0</v>
      </c>
      <c r="F132" s="94" cm="1">
        <f t="array" ref="F132">SUM(SUMIFS('caseload data'!G:G,'caseload data'!$D:$D,"PO",'caseload data'!$A:$A,$B$132,'caseload data'!$B:$B,{"licence","community"}))</f>
        <v>0</v>
      </c>
      <c r="G132" s="94" cm="1">
        <f t="array" ref="G132">SUM(SUMIFS('caseload data'!H:H,'caseload data'!$D:$D,"PO",'caseload data'!$A:$A,$B$132,'caseload data'!$B:$B,{"licence","community"}))</f>
        <v>0</v>
      </c>
      <c r="H132" s="94" cm="1">
        <f t="array" ref="H132">SUM(SUMIFS('caseload data'!I:I,'caseload data'!$D:$D,"PO",'caseload data'!$A:$A,$B$132,'caseload data'!$B:$B,{"licence","community"}))</f>
        <v>0</v>
      </c>
      <c r="I132" s="94" cm="1">
        <f t="array" ref="I132">SUM(SUMIFS('caseload data'!J:J,'caseload data'!$D:$D,"PO",'caseload data'!$A:$A,$B$132,'caseload data'!$B:$B,{"licence","community"}))</f>
        <v>0</v>
      </c>
      <c r="J132" s="94" cm="1">
        <f t="array" ref="J132">SUM(SUMIFS('caseload data'!K:K,'caseload data'!$D:$D,"PO",'caseload data'!$A:$A,$B$132,'caseload data'!$B:$B,{"licence","community"}))</f>
        <v>0</v>
      </c>
      <c r="K132" s="94" cm="1">
        <f t="array" ref="K132">SUM(SUMIFS('caseload data'!L:L,'caseload data'!$D:$D,"PO",'caseload data'!$A:$A,$B$132,'caseload data'!$B:$B,{"licence","community"}))</f>
        <v>0</v>
      </c>
      <c r="L132" s="94" cm="1">
        <f t="array" ref="L132">SUM(SUMIFS('caseload data'!M:M,'caseload data'!$D:$D,"PO",'caseload data'!$A:$A,$B$132,'caseload data'!$B:$B,{"licence","community"}))</f>
        <v>0</v>
      </c>
      <c r="M132" s="94" cm="1">
        <f t="array" ref="M132">SUM(SUMIFS('caseload data'!N:N,'caseload data'!$D:$D,"PO",'caseload data'!$A:$A,$B$132,'caseload data'!$B:$B,{"licence","community"}))</f>
        <v>0</v>
      </c>
      <c r="N132" s="94" cm="1">
        <f t="array" ref="N132">SUM(SUMIFS('caseload data'!O:O,'caseload data'!$D:$D,"PO",'caseload data'!$A:$A,$B$132,'caseload data'!$B:$B,{"licence","community"}))</f>
        <v>0</v>
      </c>
      <c r="O132" s="94" cm="1">
        <f t="array" ref="O132">SUM(SUMIFS('caseload data'!P:P,'caseload data'!$D:$D,"PO",'caseload data'!$A:$A,$B$132,'caseload data'!$B:$B,{"licence","community"}))</f>
        <v>0</v>
      </c>
      <c r="P132" s="94" cm="1">
        <f t="array" ref="P132">SUM(SUMIFS('caseload data'!Q:Q,'caseload data'!$D:$D,"PO",'caseload data'!$A:$A,$B$132,'caseload data'!$B:$B,{"licence","community"}))</f>
        <v>0</v>
      </c>
      <c r="Q132" s="94" cm="1">
        <f t="array" ref="Q132">SUM(SUMIFS('caseload data'!R:R,'caseload data'!$D:$D,"PO",'caseload data'!$A:$A,$B$132,'caseload data'!$B:$B,{"licence","community"}))</f>
        <v>0</v>
      </c>
      <c r="R132" s="94" cm="1">
        <f t="array" ref="R132">SUM(SUMIFS('caseload data'!S:S,'caseload data'!$D:$D,"PO",'caseload data'!$A:$A,$B$132,'caseload data'!$B:$B,{"licence","community"}))</f>
        <v>0</v>
      </c>
      <c r="S132" s="94" cm="1">
        <f t="array" ref="S132">SUM(SUMIFS('caseload data'!T:T,'caseload data'!$D:$D,"PO",'caseload data'!$A:$A,$B$132,'caseload data'!$B:$B,{"licence","community"}))</f>
        <v>0</v>
      </c>
      <c r="T132" s="94">
        <f>SUM(SUMIFS('caseload data'!V:V,'caseload data'!D:D,"PO",'caseload data'!A:A,B132,'caseload data'!B:B,{"licence","community"}))</f>
        <v>0</v>
      </c>
      <c r="U132" s="64"/>
      <c r="V132" s="64"/>
      <c r="W132" s="503" t="s">
        <v>28</v>
      </c>
      <c r="X132" s="128" t="s">
        <v>947</v>
      </c>
      <c r="Y132" s="167" t="e">
        <f>SUM(D132)/SUM(D$132:D$136)</f>
        <v>#DIV/0!</v>
      </c>
      <c r="Z132" s="167" t="e">
        <f t="shared" ref="Z132:AO136" si="70">SUM(E132)/SUM(E$132:E$136)</f>
        <v>#DIV/0!</v>
      </c>
      <c r="AA132" s="167" t="e">
        <f t="shared" si="70"/>
        <v>#DIV/0!</v>
      </c>
      <c r="AB132" s="167" t="e">
        <f t="shared" si="70"/>
        <v>#DIV/0!</v>
      </c>
      <c r="AC132" s="167" t="e">
        <f t="shared" si="70"/>
        <v>#DIV/0!</v>
      </c>
      <c r="AD132" s="167" t="e">
        <f t="shared" si="70"/>
        <v>#DIV/0!</v>
      </c>
      <c r="AE132" s="167" t="e">
        <f t="shared" si="70"/>
        <v>#DIV/0!</v>
      </c>
      <c r="AF132" s="167" t="e">
        <f t="shared" si="70"/>
        <v>#DIV/0!</v>
      </c>
      <c r="AG132" s="167" t="e">
        <f t="shared" si="70"/>
        <v>#DIV/0!</v>
      </c>
      <c r="AH132" s="167" t="e">
        <f t="shared" si="70"/>
        <v>#DIV/0!</v>
      </c>
      <c r="AI132" s="167" t="e">
        <f t="shared" si="70"/>
        <v>#DIV/0!</v>
      </c>
      <c r="AJ132" s="167" t="e">
        <f t="shared" si="70"/>
        <v>#DIV/0!</v>
      </c>
      <c r="AK132" s="167" t="e">
        <f t="shared" si="70"/>
        <v>#DIV/0!</v>
      </c>
      <c r="AL132" s="167" t="e">
        <f t="shared" si="70"/>
        <v>#DIV/0!</v>
      </c>
      <c r="AM132" s="167" t="e">
        <f t="shared" si="70"/>
        <v>#DIV/0!</v>
      </c>
      <c r="AN132" s="167" t="e">
        <f t="shared" si="70"/>
        <v>#DIV/0!</v>
      </c>
      <c r="AO132" s="167" t="e">
        <f t="shared" si="70"/>
        <v>#DIV/0!</v>
      </c>
    </row>
    <row r="133" spans="2:41" x14ac:dyDescent="0.15">
      <c r="B133" s="504"/>
      <c r="C133" s="129" t="s">
        <v>952</v>
      </c>
      <c r="D133" s="94" cm="1">
        <f t="array" ref="D133">SUM(SUMIFS('caseload data'!E:E,'caseload data'!$D:$D,"PSO",'caseload data'!$A:$A,"Yorkshire and The Humber",'caseload data'!$B:$B,{"licence","community"}))</f>
        <v>0</v>
      </c>
      <c r="E133" s="94" cm="1">
        <f t="array" ref="E133">SUM(SUMIFS('caseload data'!F:F,'caseload data'!$D:$D,"PSO",'caseload data'!$A:$A,"Yorkshire and The Humber",'caseload data'!$B:$B,{"licence","community"}))</f>
        <v>0</v>
      </c>
      <c r="F133" s="94" cm="1">
        <f t="array" ref="F133">SUM(SUMIFS('caseload data'!G:G,'caseload data'!$D:$D,"PSO",'caseload data'!$A:$A,"Yorkshire and The Humber",'caseload data'!$B:$B,{"licence","community"}))</f>
        <v>0</v>
      </c>
      <c r="G133" s="94" cm="1">
        <f t="array" ref="G133">SUM(SUMIFS('caseload data'!H:H,'caseload data'!$D:$D,"PSO",'caseload data'!$A:$A,"Yorkshire and The Humber",'caseload data'!$B:$B,{"licence","community"}))</f>
        <v>0</v>
      </c>
      <c r="H133" s="94" cm="1">
        <f t="array" ref="H133">SUM(SUMIFS('caseload data'!I:I,'caseload data'!$D:$D,"PSO",'caseload data'!$A:$A,"Yorkshire and The Humber",'caseload data'!$B:$B,{"licence","community"}))</f>
        <v>0</v>
      </c>
      <c r="I133" s="94" cm="1">
        <f t="array" ref="I133">SUM(SUMIFS('caseload data'!J:J,'caseload data'!$D:$D,"PSO",'caseload data'!$A:$A,"Yorkshire and The Humber",'caseload data'!$B:$B,{"licence","community"}))</f>
        <v>0</v>
      </c>
      <c r="J133" s="94" cm="1">
        <f t="array" ref="J133">SUM(SUMIFS('caseload data'!K:K,'caseload data'!$D:$D,"PSO",'caseload data'!$A:$A,"Yorkshire and The Humber",'caseload data'!$B:$B,{"licence","community"}))</f>
        <v>0</v>
      </c>
      <c r="K133" s="94" cm="1">
        <f t="array" ref="K133">SUM(SUMIFS('caseload data'!L:L,'caseload data'!$D:$D,"PSO",'caseload data'!$A:$A,"Yorkshire and The Humber",'caseload data'!$B:$B,{"licence","community"}))</f>
        <v>0</v>
      </c>
      <c r="L133" s="94" cm="1">
        <f t="array" ref="L133">SUM(SUMIFS('caseload data'!M:M,'caseload data'!$D:$D,"PSO",'caseload data'!$A:$A,"Yorkshire and The Humber",'caseload data'!$B:$B,{"licence","community"}))</f>
        <v>0</v>
      </c>
      <c r="M133" s="94" cm="1">
        <f t="array" ref="M133">SUM(SUMIFS('caseload data'!N:N,'caseload data'!$D:$D,"PSO",'caseload data'!$A:$A,"Yorkshire and The Humber",'caseload data'!$B:$B,{"licence","community"}))</f>
        <v>0</v>
      </c>
      <c r="N133" s="94" cm="1">
        <f t="array" ref="N133">SUM(SUMIFS('caseload data'!O:O,'caseload data'!$D:$D,"PSO",'caseload data'!$A:$A,"Yorkshire and The Humber",'caseload data'!$B:$B,{"licence","community"}))</f>
        <v>0</v>
      </c>
      <c r="O133" s="94" cm="1">
        <f t="array" ref="O133">SUM(SUMIFS('caseload data'!P:P,'caseload data'!$D:$D,"PSO",'caseload data'!$A:$A,"Yorkshire and The Humber",'caseload data'!$B:$B,{"licence","community"}))</f>
        <v>0</v>
      </c>
      <c r="P133" s="94" cm="1">
        <f t="array" ref="P133">SUM(SUMIFS('caseload data'!Q:Q,'caseload data'!$D:$D,"PSO",'caseload data'!$A:$A,"Yorkshire and The Humber",'caseload data'!$B:$B,{"licence","community"}))</f>
        <v>0</v>
      </c>
      <c r="Q133" s="94" cm="1">
        <f t="array" ref="Q133">SUM(SUMIFS('caseload data'!R:R,'caseload data'!$D:$D,"PSO",'caseload data'!$A:$A,"Yorkshire and The Humber",'caseload data'!$B:$B,{"licence","community"}))</f>
        <v>0</v>
      </c>
      <c r="R133" s="94" cm="1">
        <f t="array" ref="R133">SUM(SUMIFS('caseload data'!S:S,'caseload data'!$D:$D,"PSO",'caseload data'!$A:$A,"Yorkshire and The Humber",'caseload data'!$B:$B,{"licence","community"}))</f>
        <v>0</v>
      </c>
      <c r="S133" s="94" cm="1">
        <f t="array" ref="S133">SUM(SUMIFS('caseload data'!T:T,'caseload data'!$D:$D,"PSO",'caseload data'!$A:$A,"Yorkshire and The Humber",'caseload data'!$B:$B,{"licence","community"}))</f>
        <v>0</v>
      </c>
      <c r="T133" s="94" cm="1">
        <f t="array" ref="T133">SUM(SUMIFS('caseload data'!V:V,'caseload data'!$D:$D,"PSO",'caseload data'!$A:$A,"Yorkshire and The Humber",'caseload data'!$B:$B,{"licence","community"}))</f>
        <v>0</v>
      </c>
      <c r="U133" s="64"/>
      <c r="V133" s="64"/>
      <c r="W133" s="504"/>
      <c r="X133" s="129" t="s">
        <v>952</v>
      </c>
      <c r="Y133" s="167" t="e">
        <f t="shared" ref="Y133:Y136" si="71">SUM(D133)/SUM(D$132:D$136)</f>
        <v>#DIV/0!</v>
      </c>
      <c r="Z133" s="167" t="e">
        <f t="shared" si="70"/>
        <v>#DIV/0!</v>
      </c>
      <c r="AA133" s="167" t="e">
        <f t="shared" si="70"/>
        <v>#DIV/0!</v>
      </c>
      <c r="AB133" s="167" t="e">
        <f t="shared" si="70"/>
        <v>#DIV/0!</v>
      </c>
      <c r="AC133" s="167" t="e">
        <f t="shared" si="70"/>
        <v>#DIV/0!</v>
      </c>
      <c r="AD133" s="167" t="e">
        <f t="shared" si="70"/>
        <v>#DIV/0!</v>
      </c>
      <c r="AE133" s="167" t="e">
        <f t="shared" si="70"/>
        <v>#DIV/0!</v>
      </c>
      <c r="AF133" s="167" t="e">
        <f t="shared" si="70"/>
        <v>#DIV/0!</v>
      </c>
      <c r="AG133" s="167" t="e">
        <f t="shared" si="70"/>
        <v>#DIV/0!</v>
      </c>
      <c r="AH133" s="167" t="e">
        <f t="shared" si="70"/>
        <v>#DIV/0!</v>
      </c>
      <c r="AI133" s="167" t="e">
        <f t="shared" si="70"/>
        <v>#DIV/0!</v>
      </c>
      <c r="AJ133" s="167" t="e">
        <f t="shared" si="70"/>
        <v>#DIV/0!</v>
      </c>
      <c r="AK133" s="167" t="e">
        <f t="shared" si="70"/>
        <v>#DIV/0!</v>
      </c>
      <c r="AL133" s="167" t="e">
        <f t="shared" si="70"/>
        <v>#DIV/0!</v>
      </c>
      <c r="AM133" s="167" t="e">
        <f t="shared" si="70"/>
        <v>#DIV/0!</v>
      </c>
      <c r="AN133" s="167" t="e">
        <f t="shared" si="70"/>
        <v>#DIV/0!</v>
      </c>
      <c r="AO133" s="167" t="e">
        <f t="shared" si="70"/>
        <v>#DIV/0!</v>
      </c>
    </row>
    <row r="134" spans="2:41" x14ac:dyDescent="0.15">
      <c r="B134" s="504"/>
      <c r="C134" s="129" t="s">
        <v>953</v>
      </c>
      <c r="D134" s="94" cm="1">
        <f t="array" ref="D134">SUM(SUMIFS('caseload data'!E:E,'caseload data'!$D:$D,"TPO",'caseload data'!$A:$A,"Yorkshire and The Humber",'caseload data'!$B:$B,{"licence","community"}))</f>
        <v>0</v>
      </c>
      <c r="E134" s="94" cm="1">
        <f t="array" ref="E134">SUM(SUMIFS('caseload data'!F:F,'caseload data'!$D:$D,"TPO",'caseload data'!$A:$A,"Yorkshire and The Humber",'caseload data'!$B:$B,{"licence","community"}))</f>
        <v>0</v>
      </c>
      <c r="F134" s="94" cm="1">
        <f t="array" ref="F134">SUM(SUMIFS('caseload data'!G:G,'caseload data'!$D:$D,"TPO",'caseload data'!$A:$A,"Yorkshire and The Humber",'caseload data'!$B:$B,{"licence","community"}))</f>
        <v>0</v>
      </c>
      <c r="G134" s="94" cm="1">
        <f t="array" ref="G134">SUM(SUMIFS('caseload data'!H:H,'caseload data'!$D:$D,"TPO",'caseload data'!$A:$A,"Yorkshire and The Humber",'caseload data'!$B:$B,{"licence","community"}))</f>
        <v>0</v>
      </c>
      <c r="H134" s="94" cm="1">
        <f t="array" ref="H134">SUM(SUMIFS('caseload data'!I:I,'caseload data'!$D:$D,"TPO",'caseload data'!$A:$A,"Yorkshire and The Humber",'caseload data'!$B:$B,{"licence","community"}))</f>
        <v>0</v>
      </c>
      <c r="I134" s="94" cm="1">
        <f t="array" ref="I134">SUM(SUMIFS('caseload data'!J:J,'caseload data'!$D:$D,"TPO",'caseload data'!$A:$A,"Yorkshire and The Humber",'caseload data'!$B:$B,{"licence","community"}))</f>
        <v>0</v>
      </c>
      <c r="J134" s="94" cm="1">
        <f t="array" ref="J134">SUM(SUMIFS('caseload data'!K:K,'caseload data'!$D:$D,"TPO",'caseload data'!$A:$A,"Yorkshire and The Humber",'caseload data'!$B:$B,{"licence","community"}))</f>
        <v>0</v>
      </c>
      <c r="K134" s="94" cm="1">
        <f t="array" ref="K134">SUM(SUMIFS('caseload data'!L:L,'caseload data'!$D:$D,"TPO",'caseload data'!$A:$A,"Yorkshire and The Humber",'caseload data'!$B:$B,{"licence","community"}))</f>
        <v>0</v>
      </c>
      <c r="L134" s="94" cm="1">
        <f t="array" ref="L134">SUM(SUMIFS('caseload data'!M:M,'caseload data'!$D:$D,"TPO",'caseload data'!$A:$A,"Yorkshire and The Humber",'caseload data'!$B:$B,{"licence","community"}))</f>
        <v>0</v>
      </c>
      <c r="M134" s="94" cm="1">
        <f t="array" ref="M134">SUM(SUMIFS('caseload data'!N:N,'caseload data'!$D:$D,"TPO",'caseload data'!$A:$A,"Yorkshire and The Humber",'caseload data'!$B:$B,{"licence","community"}))</f>
        <v>0</v>
      </c>
      <c r="N134" s="94" cm="1">
        <f t="array" ref="N134">SUM(SUMIFS('caseload data'!O:O,'caseload data'!$D:$D,"TPO",'caseload data'!$A:$A,"Yorkshire and The Humber",'caseload data'!$B:$B,{"licence","community"}))</f>
        <v>0</v>
      </c>
      <c r="O134" s="94" cm="1">
        <f t="array" ref="O134">SUM(SUMIFS('caseload data'!P:P,'caseload data'!$D:$D,"TPO",'caseload data'!$A:$A,"Yorkshire and The Humber",'caseload data'!$B:$B,{"licence","community"}))</f>
        <v>0</v>
      </c>
      <c r="P134" s="94" cm="1">
        <f t="array" ref="P134">SUM(SUMIFS('caseload data'!Q:Q,'caseload data'!$D:$D,"TPO",'caseload data'!$A:$A,"Yorkshire and The Humber",'caseload data'!$B:$B,{"licence","community"}))</f>
        <v>0</v>
      </c>
      <c r="Q134" s="94" cm="1">
        <f t="array" ref="Q134">SUM(SUMIFS('caseload data'!R:R,'caseload data'!$D:$D,"TPO",'caseload data'!$A:$A,"Yorkshire and The Humber",'caseload data'!$B:$B,{"licence","community"}))</f>
        <v>0</v>
      </c>
      <c r="R134" s="94" cm="1">
        <f t="array" ref="R134">SUM(SUMIFS('caseload data'!S:S,'caseload data'!$D:$D,"TPO",'caseload data'!$A:$A,"Yorkshire and The Humber",'caseload data'!$B:$B,{"licence","community"}))</f>
        <v>0</v>
      </c>
      <c r="S134" s="94" cm="1">
        <f t="array" ref="S134">SUM(SUMIFS('caseload data'!T:T,'caseload data'!$D:$D,"TPO",'caseload data'!$A:$A,"Yorkshire and The Humber",'caseload data'!$B:$B,{"licence","community"}))</f>
        <v>0</v>
      </c>
      <c r="T134" s="94" cm="1">
        <f t="array" ref="T134">SUM(SUMIFS('caseload data'!V:V,'caseload data'!D:D,"TPO",'caseload data'!A:A,"Yorkshire and The Humber",'caseload data'!B:B,{"licence","community"}))</f>
        <v>0</v>
      </c>
      <c r="U134" s="64"/>
      <c r="V134" s="64"/>
      <c r="W134" s="504"/>
      <c r="X134" s="129" t="s">
        <v>953</v>
      </c>
      <c r="Y134" s="167" t="e">
        <f t="shared" si="71"/>
        <v>#DIV/0!</v>
      </c>
      <c r="Z134" s="167" t="e">
        <f t="shared" si="70"/>
        <v>#DIV/0!</v>
      </c>
      <c r="AA134" s="167" t="e">
        <f t="shared" si="70"/>
        <v>#DIV/0!</v>
      </c>
      <c r="AB134" s="167" t="e">
        <f t="shared" si="70"/>
        <v>#DIV/0!</v>
      </c>
      <c r="AC134" s="167" t="e">
        <f t="shared" si="70"/>
        <v>#DIV/0!</v>
      </c>
      <c r="AD134" s="167" t="e">
        <f t="shared" si="70"/>
        <v>#DIV/0!</v>
      </c>
      <c r="AE134" s="167" t="e">
        <f t="shared" si="70"/>
        <v>#DIV/0!</v>
      </c>
      <c r="AF134" s="167" t="e">
        <f t="shared" si="70"/>
        <v>#DIV/0!</v>
      </c>
      <c r="AG134" s="167" t="e">
        <f t="shared" si="70"/>
        <v>#DIV/0!</v>
      </c>
      <c r="AH134" s="167" t="e">
        <f t="shared" si="70"/>
        <v>#DIV/0!</v>
      </c>
      <c r="AI134" s="167" t="e">
        <f t="shared" si="70"/>
        <v>#DIV/0!</v>
      </c>
      <c r="AJ134" s="167" t="e">
        <f t="shared" si="70"/>
        <v>#DIV/0!</v>
      </c>
      <c r="AK134" s="167" t="e">
        <f t="shared" si="70"/>
        <v>#DIV/0!</v>
      </c>
      <c r="AL134" s="167" t="e">
        <f t="shared" si="70"/>
        <v>#DIV/0!</v>
      </c>
      <c r="AM134" s="167" t="e">
        <f t="shared" si="70"/>
        <v>#DIV/0!</v>
      </c>
      <c r="AN134" s="167" t="e">
        <f t="shared" si="70"/>
        <v>#DIV/0!</v>
      </c>
      <c r="AO134" s="167" t="e">
        <f t="shared" si="70"/>
        <v>#DIV/0!</v>
      </c>
    </row>
    <row r="135" spans="2:41" x14ac:dyDescent="0.15">
      <c r="B135" s="504"/>
      <c r="C135" s="129" t="s">
        <v>954</v>
      </c>
      <c r="D135" s="94" cm="1">
        <f t="array" ref="D135">SUM(SUMIFS('caseload data'!E:E,'caseload data'!$D:$D,"SPO",'caseload data'!$A:$A,"Yorkshire and The Humber",'caseload data'!$B:$B,{"licence","community"}))</f>
        <v>0</v>
      </c>
      <c r="E135" s="94" cm="1">
        <f t="array" ref="E135">SUM(SUMIFS('caseload data'!F:F,'caseload data'!$D:$D,"SPO",'caseload data'!$A:$A,"Yorkshire and The Humber",'caseload data'!$B:$B,{"licence","community"}))</f>
        <v>0</v>
      </c>
      <c r="F135" s="94" cm="1">
        <f t="array" ref="F135">SUM(SUMIFS('caseload data'!G:G,'caseload data'!$D:$D,"SPO",'caseload data'!$A:$A,"Yorkshire and The Humber",'caseload data'!$B:$B,{"licence","community"}))</f>
        <v>0</v>
      </c>
      <c r="G135" s="94" cm="1">
        <f t="array" ref="G135">SUM(SUMIFS('caseload data'!H:H,'caseload data'!$D:$D,"SPO",'caseload data'!$A:$A,"Yorkshire and The Humber",'caseload data'!$B:$B,{"licence","community"}))</f>
        <v>0</v>
      </c>
      <c r="H135" s="94" cm="1">
        <f t="array" ref="H135">SUM(SUMIFS('caseload data'!I:I,'caseload data'!$D:$D,"SPO",'caseload data'!$A:$A,"Yorkshire and The Humber",'caseload data'!$B:$B,{"licence","community"}))</f>
        <v>0</v>
      </c>
      <c r="I135" s="94" cm="1">
        <f t="array" ref="I135">SUM(SUMIFS('caseload data'!J:J,'caseload data'!$D:$D,"SPO",'caseload data'!$A:$A,"Yorkshire and The Humber",'caseload data'!$B:$B,{"licence","community"}))</f>
        <v>0</v>
      </c>
      <c r="J135" s="94" cm="1">
        <f t="array" ref="J135">SUM(SUMIFS('caseload data'!K:K,'caseload data'!$D:$D,"SPO",'caseload data'!$A:$A,"Yorkshire and The Humber",'caseload data'!$B:$B,{"licence","community"}))</f>
        <v>0</v>
      </c>
      <c r="K135" s="94" cm="1">
        <f t="array" ref="K135">SUM(SUMIFS('caseload data'!L:L,'caseload data'!$D:$D,"SPO",'caseload data'!$A:$A,"Yorkshire and The Humber",'caseload data'!$B:$B,{"licence","community"}))</f>
        <v>0</v>
      </c>
      <c r="L135" s="94" cm="1">
        <f t="array" ref="L135">SUM(SUMIFS('caseload data'!M:M,'caseload data'!$D:$D,"SPO",'caseload data'!$A:$A,"Yorkshire and The Humber",'caseload data'!$B:$B,{"licence","community"}))</f>
        <v>0</v>
      </c>
      <c r="M135" s="94" cm="1">
        <f t="array" ref="M135">SUM(SUMIFS('caseload data'!N:N,'caseload data'!$D:$D,"SPO",'caseload data'!$A:$A,"Yorkshire and The Humber",'caseload data'!$B:$B,{"licence","community"}))</f>
        <v>0</v>
      </c>
      <c r="N135" s="94" cm="1">
        <f t="array" ref="N135">SUM(SUMIFS('caseload data'!O:O,'caseload data'!$D:$D,"SPO",'caseload data'!$A:$A,"Yorkshire and The Humber",'caseload data'!$B:$B,{"licence","community"}))</f>
        <v>0</v>
      </c>
      <c r="O135" s="94" cm="1">
        <f t="array" ref="O135">SUM(SUMIFS('caseload data'!P:P,'caseload data'!$D:$D,"SPO",'caseload data'!$A:$A,"Yorkshire and The Humber",'caseload data'!$B:$B,{"licence","community"}))</f>
        <v>0</v>
      </c>
      <c r="P135" s="94" cm="1">
        <f t="array" ref="P135">SUM(SUMIFS('caseload data'!Q:Q,'caseload data'!$D:$D,"SPO",'caseload data'!$A:$A,"Yorkshire and The Humber",'caseload data'!$B:$B,{"licence","community"}))</f>
        <v>0</v>
      </c>
      <c r="Q135" s="94" cm="1">
        <f t="array" ref="Q135">SUM(SUMIFS('caseload data'!R:R,'caseload data'!$D:$D,"SPO",'caseload data'!$A:$A,"Yorkshire and The Humber",'caseload data'!$B:$B,{"licence","community"}))</f>
        <v>0</v>
      </c>
      <c r="R135" s="94" cm="1">
        <f t="array" ref="R135">SUM(SUMIFS('caseload data'!S:S,'caseload data'!$D:$D,"SPO",'caseload data'!$A:$A,"Yorkshire and The Humber",'caseload data'!$B:$B,{"licence","community"}))</f>
        <v>0</v>
      </c>
      <c r="S135" s="94" cm="1">
        <f t="array" ref="S135">SUM(SUMIFS('caseload data'!T:T,'caseload data'!$D:$D,"SPO",'caseload data'!$A:$A,"Yorkshire and The Humber",'caseload data'!$B:$B,{"licence","community"}))</f>
        <v>0</v>
      </c>
      <c r="T135" s="94" cm="1">
        <f t="array" ref="T135">SUM(SUMIFS('caseload data'!V:V,'caseload data'!$D:$D,"SPO",'caseload data'!$A:$A,"Yorkshire and The Humber",'caseload data'!$B:$B,{"licence","community"}))</f>
        <v>0</v>
      </c>
      <c r="U135" s="64"/>
      <c r="V135" s="64"/>
      <c r="W135" s="504"/>
      <c r="X135" s="129" t="s">
        <v>954</v>
      </c>
      <c r="Y135" s="167" t="e">
        <f t="shared" si="71"/>
        <v>#DIV/0!</v>
      </c>
      <c r="Z135" s="167" t="e">
        <f t="shared" si="70"/>
        <v>#DIV/0!</v>
      </c>
      <c r="AA135" s="167" t="e">
        <f t="shared" si="70"/>
        <v>#DIV/0!</v>
      </c>
      <c r="AB135" s="167" t="e">
        <f t="shared" si="70"/>
        <v>#DIV/0!</v>
      </c>
      <c r="AC135" s="167" t="e">
        <f t="shared" si="70"/>
        <v>#DIV/0!</v>
      </c>
      <c r="AD135" s="167" t="e">
        <f t="shared" si="70"/>
        <v>#DIV/0!</v>
      </c>
      <c r="AE135" s="167" t="e">
        <f t="shared" si="70"/>
        <v>#DIV/0!</v>
      </c>
      <c r="AF135" s="167" t="e">
        <f t="shared" si="70"/>
        <v>#DIV/0!</v>
      </c>
      <c r="AG135" s="167" t="e">
        <f t="shared" si="70"/>
        <v>#DIV/0!</v>
      </c>
      <c r="AH135" s="167" t="e">
        <f t="shared" si="70"/>
        <v>#DIV/0!</v>
      </c>
      <c r="AI135" s="167" t="e">
        <f t="shared" si="70"/>
        <v>#DIV/0!</v>
      </c>
      <c r="AJ135" s="167" t="e">
        <f t="shared" si="70"/>
        <v>#DIV/0!</v>
      </c>
      <c r="AK135" s="167" t="e">
        <f t="shared" si="70"/>
        <v>#DIV/0!</v>
      </c>
      <c r="AL135" s="167" t="e">
        <f t="shared" si="70"/>
        <v>#DIV/0!</v>
      </c>
      <c r="AM135" s="167" t="e">
        <f t="shared" si="70"/>
        <v>#DIV/0!</v>
      </c>
      <c r="AN135" s="167" t="e">
        <f t="shared" si="70"/>
        <v>#DIV/0!</v>
      </c>
      <c r="AO135" s="167" t="e">
        <f t="shared" si="70"/>
        <v>#DIV/0!</v>
      </c>
    </row>
    <row r="136" spans="2:41" ht="15" thickBot="1" x14ac:dyDescent="0.2">
      <c r="B136" s="504"/>
      <c r="C136" s="129" t="s">
        <v>1286</v>
      </c>
      <c r="D136" s="375" cm="1">
        <f t="array" ref="D136">SUM(SUMIFS('caseload data'!E:E,'caseload data'!$D:$D,"DMY",'caseload data'!$A:$A,"Yorkshire and The Humber",'caseload data'!$B:$B,{"licence","community"}))</f>
        <v>0</v>
      </c>
      <c r="E136" s="375" cm="1">
        <f t="array" ref="E136">SUM(SUMIFS('caseload data'!F:F,'caseload data'!$D:$D,"DMY",'caseload data'!$A:$A,"Yorkshire and The Humber",'caseload data'!$B:$B,{"licence","community"}))</f>
        <v>0</v>
      </c>
      <c r="F136" s="375" cm="1">
        <f t="array" ref="F136">SUM(SUMIFS('caseload data'!G:G,'caseload data'!$D:$D,"DMY",'caseload data'!$A:$A,"Yorkshire and The Humber",'caseload data'!$B:$B,{"licence","community"}))</f>
        <v>0</v>
      </c>
      <c r="G136" s="375" cm="1">
        <f t="array" ref="G136">SUM(SUMIFS('caseload data'!H:H,'caseload data'!$D:$D,"DMY",'caseload data'!$A:$A,"Yorkshire and The Humber",'caseload data'!$B:$B,{"licence","community"}))</f>
        <v>0</v>
      </c>
      <c r="H136" s="375" cm="1">
        <f t="array" ref="H136">SUM(SUMIFS('caseload data'!I:I,'caseload data'!$D:$D,"DMY",'caseload data'!$A:$A,"Yorkshire and The Humber",'caseload data'!$B:$B,{"licence","community"}))</f>
        <v>0</v>
      </c>
      <c r="I136" s="375" cm="1">
        <f t="array" ref="I136">SUM(SUMIFS('caseload data'!J:J,'caseload data'!$D:$D,"DMY",'caseload data'!$A:$A,"Yorkshire and The Humber",'caseload data'!$B:$B,{"licence","community"}))</f>
        <v>0</v>
      </c>
      <c r="J136" s="375" cm="1">
        <f t="array" ref="J136">SUM(SUMIFS('caseload data'!K:K,'caseload data'!$D:$D,"DMY",'caseload data'!$A:$A,"Yorkshire and The Humber",'caseload data'!$B:$B,{"licence","community"}))</f>
        <v>0</v>
      </c>
      <c r="K136" s="375" cm="1">
        <f t="array" ref="K136">SUM(SUMIFS('caseload data'!L:L,'caseload data'!$D:$D,"DMY",'caseload data'!$A:$A,"Yorkshire and The Humber",'caseload data'!$B:$B,{"licence","community"}))</f>
        <v>0</v>
      </c>
      <c r="L136" s="375" cm="1">
        <f t="array" ref="L136">SUM(SUMIFS('caseload data'!M:M,'caseload data'!$D:$D,"DMY",'caseload data'!$A:$A,"Yorkshire and The Humber",'caseload data'!$B:$B,{"licence","community"}))</f>
        <v>0</v>
      </c>
      <c r="M136" s="375" cm="1">
        <f t="array" ref="M136">SUM(SUMIFS('caseload data'!N:N,'caseload data'!$D:$D,"DMY",'caseload data'!$A:$A,"Yorkshire and The Humber",'caseload data'!$B:$B,{"licence","community"}))</f>
        <v>0</v>
      </c>
      <c r="N136" s="375" cm="1">
        <f t="array" ref="N136">SUM(SUMIFS('caseload data'!O:O,'caseload data'!$D:$D,"DMY",'caseload data'!$A:$A,"Yorkshire and The Humber",'caseload data'!$B:$B,{"licence","community"}))</f>
        <v>0</v>
      </c>
      <c r="O136" s="375" cm="1">
        <f t="array" ref="O136">SUM(SUMIFS('caseload data'!P:P,'caseload data'!$D:$D,"DMY",'caseload data'!$A:$A,"Yorkshire and The Humber",'caseload data'!$B:$B,{"licence","community"}))</f>
        <v>0</v>
      </c>
      <c r="P136" s="375" cm="1">
        <f t="array" ref="P136">SUM(SUMIFS('caseload data'!Q:Q,'caseload data'!$D:$D,"DMY",'caseload data'!$A:$A,"Yorkshire and The Humber",'caseload data'!$B:$B,{"licence","community"}))</f>
        <v>0</v>
      </c>
      <c r="Q136" s="375" cm="1">
        <f t="array" ref="Q136">SUM(SUMIFS('caseload data'!R:R,'caseload data'!$D:$D,"DMY",'caseload data'!$A:$A,"Yorkshire and The Humber",'caseload data'!$B:$B,{"licence","community"}))</f>
        <v>0</v>
      </c>
      <c r="R136" s="375" cm="1">
        <f t="array" ref="R136">SUM(SUMIFS('caseload data'!S:S,'caseload data'!$D:$D,"DMY",'caseload data'!$A:$A,"Yorkshire and The Humber",'caseload data'!$B:$B,{"licence","community"}))</f>
        <v>0</v>
      </c>
      <c r="S136" s="375" cm="1">
        <f t="array" ref="S136">SUM(SUMIFS('caseload data'!T:T,'caseload data'!$D:$D,"DMY",'caseload data'!$A:$A,"Yorkshire and The Humber",'caseload data'!$B:$B,{"licence","community"}))</f>
        <v>0</v>
      </c>
      <c r="T136" s="375" cm="1">
        <f t="array" ref="T136">SUM(SUMIFS('caseload data'!V:V,'caseload data'!$D:$D,"DMY",'caseload data'!$A:$A,"Yorkshire and The Humber",'caseload data'!$B:$B,{"licence","community"}))</f>
        <v>0</v>
      </c>
      <c r="U136" s="64"/>
      <c r="V136" s="64"/>
      <c r="W136" s="504"/>
      <c r="X136" s="129" t="s">
        <v>1286</v>
      </c>
      <c r="Y136" s="371" t="e">
        <f t="shared" si="71"/>
        <v>#DIV/0!</v>
      </c>
      <c r="Z136" s="371" t="e">
        <f t="shared" si="70"/>
        <v>#DIV/0!</v>
      </c>
      <c r="AA136" s="371" t="e">
        <f t="shared" si="70"/>
        <v>#DIV/0!</v>
      </c>
      <c r="AB136" s="371" t="e">
        <f t="shared" si="70"/>
        <v>#DIV/0!</v>
      </c>
      <c r="AC136" s="371" t="e">
        <f t="shared" si="70"/>
        <v>#DIV/0!</v>
      </c>
      <c r="AD136" s="371" t="e">
        <f t="shared" si="70"/>
        <v>#DIV/0!</v>
      </c>
      <c r="AE136" s="371" t="e">
        <f t="shared" si="70"/>
        <v>#DIV/0!</v>
      </c>
      <c r="AF136" s="371" t="e">
        <f t="shared" si="70"/>
        <v>#DIV/0!</v>
      </c>
      <c r="AG136" s="371" t="e">
        <f t="shared" si="70"/>
        <v>#DIV/0!</v>
      </c>
      <c r="AH136" s="371" t="e">
        <f t="shared" si="70"/>
        <v>#DIV/0!</v>
      </c>
      <c r="AI136" s="371" t="e">
        <f t="shared" si="70"/>
        <v>#DIV/0!</v>
      </c>
      <c r="AJ136" s="371" t="e">
        <f t="shared" si="70"/>
        <v>#DIV/0!</v>
      </c>
      <c r="AK136" s="371" t="e">
        <f t="shared" si="70"/>
        <v>#DIV/0!</v>
      </c>
      <c r="AL136" s="371" t="e">
        <f t="shared" si="70"/>
        <v>#DIV/0!</v>
      </c>
      <c r="AM136" s="371" t="e">
        <f t="shared" si="70"/>
        <v>#DIV/0!</v>
      </c>
      <c r="AN136" s="371" t="e">
        <f t="shared" si="70"/>
        <v>#DIV/0!</v>
      </c>
      <c r="AO136" s="371" t="e">
        <f t="shared" si="70"/>
        <v>#DIV/0!</v>
      </c>
    </row>
    <row r="137" spans="2:41" x14ac:dyDescent="0.15">
      <c r="B137" s="528" t="s">
        <v>909</v>
      </c>
      <c r="C137" s="376" t="s">
        <v>947</v>
      </c>
      <c r="D137" s="377" cm="1">
        <f t="array" ref="D137">SUM(SUMIFS('caseload data'!E:E,'caseload data'!$D:$D,"PO",'caseload data'!$B:$B,{"licence","community"}))</f>
        <v>0</v>
      </c>
      <c r="E137" s="377" cm="1">
        <f t="array" ref="E137">SUM(SUMIFS('caseload data'!F:F,'caseload data'!$D:$D,"PO",'caseload data'!$B:$B,{"licence","community"}))</f>
        <v>0</v>
      </c>
      <c r="F137" s="377" cm="1">
        <f t="array" ref="F137">SUM(SUMIFS('caseload data'!G:G,'caseload data'!$D:$D,"PO",'caseload data'!$B:$B,{"licence","community"}))</f>
        <v>0</v>
      </c>
      <c r="G137" s="377" cm="1">
        <f t="array" ref="G137">SUM(SUMIFS('caseload data'!H:H,'caseload data'!$D:$D,"PO",'caseload data'!$B:$B,{"licence","community"}))</f>
        <v>0</v>
      </c>
      <c r="H137" s="377" cm="1">
        <f t="array" ref="H137">SUM(SUMIFS('caseload data'!I:I,'caseload data'!$D:$D,"PO",'caseload data'!$B:$B,{"licence","community"}))</f>
        <v>0</v>
      </c>
      <c r="I137" s="377" cm="1">
        <f t="array" ref="I137">SUM(SUMIFS('caseload data'!J:J,'caseload data'!$D:$D,"PO",'caseload data'!$B:$B,{"licence","community"}))</f>
        <v>0</v>
      </c>
      <c r="J137" s="377" cm="1">
        <f t="array" ref="J137">SUM(SUMIFS('caseload data'!K:K,'caseload data'!$D:$D,"PO",'caseload data'!$B:$B,{"licence","community"}))</f>
        <v>0</v>
      </c>
      <c r="K137" s="377" cm="1">
        <f t="array" ref="K137">SUM(SUMIFS('caseload data'!L:L,'caseload data'!$D:$D,"PO",'caseload data'!$B:$B,{"licence","community"}))</f>
        <v>0</v>
      </c>
      <c r="L137" s="377" cm="1">
        <f t="array" ref="L137">SUM(SUMIFS('caseload data'!M:M,'caseload data'!$D:$D,"PO",'caseload data'!$B:$B,{"licence","community"}))</f>
        <v>0</v>
      </c>
      <c r="M137" s="377" cm="1">
        <f t="array" ref="M137">SUM(SUMIFS('caseload data'!N:N,'caseload data'!$D:$D,"PO",'caseload data'!$B:$B,{"licence","community"}))</f>
        <v>0</v>
      </c>
      <c r="N137" s="377" cm="1">
        <f t="array" ref="N137">SUM(SUMIFS('caseload data'!O:O,'caseload data'!$D:$D,"PO",'caseload data'!$B:$B,{"licence","community"}))</f>
        <v>0</v>
      </c>
      <c r="O137" s="377" cm="1">
        <f t="array" ref="O137">SUM(SUMIFS('caseload data'!P:P,'caseload data'!$D:$D,"PO",'caseload data'!$B:$B,{"licence","community"}))</f>
        <v>0</v>
      </c>
      <c r="P137" s="377" cm="1">
        <f t="array" ref="P137">SUM(SUMIFS('caseload data'!Q:Q,'caseload data'!$D:$D,"PO",'caseload data'!$B:$B,{"licence","community"}))</f>
        <v>0</v>
      </c>
      <c r="Q137" s="377" cm="1">
        <f t="array" ref="Q137">SUM(SUMIFS('caseload data'!R:R,'caseload data'!$D:$D,"PO",'caseload data'!$B:$B,{"licence","community"}))</f>
        <v>0</v>
      </c>
      <c r="R137" s="377" cm="1">
        <f t="array" ref="R137">SUM(SUMIFS('caseload data'!S:S,'caseload data'!$D:$D,"PO",'caseload data'!$B:$B,{"licence","community"}))</f>
        <v>0</v>
      </c>
      <c r="S137" s="377" cm="1">
        <f t="array" ref="S137">SUM(SUMIFS('caseload data'!T:T,'caseload data'!$D:$D,"PO",'caseload data'!$B:$B,{"licence","community"}))</f>
        <v>0</v>
      </c>
      <c r="T137" s="378">
        <f>SUM(SUMIFS('caseload data'!V:V,'caseload data'!D:D,"PO",'caseload data'!B:B,{"licence","community"}))</f>
        <v>0</v>
      </c>
      <c r="U137" s="64"/>
      <c r="V137" s="64"/>
      <c r="W137" s="506" t="s">
        <v>909</v>
      </c>
      <c r="X137" s="376" t="s">
        <v>947</v>
      </c>
      <c r="Y137" s="386" t="e">
        <f>SUM(D137)/SUM(D$137:D$141)</f>
        <v>#DIV/0!</v>
      </c>
      <c r="Z137" s="386" t="e">
        <f t="shared" ref="Z137:AO141" si="72">SUM(E137)/SUM(E$137:E$141)</f>
        <v>#DIV/0!</v>
      </c>
      <c r="AA137" s="386" t="e">
        <f t="shared" si="72"/>
        <v>#DIV/0!</v>
      </c>
      <c r="AB137" s="386" t="e">
        <f t="shared" si="72"/>
        <v>#DIV/0!</v>
      </c>
      <c r="AC137" s="386" t="e">
        <f t="shared" si="72"/>
        <v>#DIV/0!</v>
      </c>
      <c r="AD137" s="386" t="e">
        <f t="shared" si="72"/>
        <v>#DIV/0!</v>
      </c>
      <c r="AE137" s="386" t="e">
        <f t="shared" si="72"/>
        <v>#DIV/0!</v>
      </c>
      <c r="AF137" s="386" t="e">
        <f t="shared" si="72"/>
        <v>#DIV/0!</v>
      </c>
      <c r="AG137" s="386" t="e">
        <f t="shared" si="72"/>
        <v>#DIV/0!</v>
      </c>
      <c r="AH137" s="386" t="e">
        <f t="shared" si="72"/>
        <v>#DIV/0!</v>
      </c>
      <c r="AI137" s="386" t="e">
        <f t="shared" si="72"/>
        <v>#DIV/0!</v>
      </c>
      <c r="AJ137" s="386" t="e">
        <f t="shared" si="72"/>
        <v>#DIV/0!</v>
      </c>
      <c r="AK137" s="386" t="e">
        <f t="shared" si="72"/>
        <v>#DIV/0!</v>
      </c>
      <c r="AL137" s="386" t="e">
        <f t="shared" si="72"/>
        <v>#DIV/0!</v>
      </c>
      <c r="AM137" s="386" t="e">
        <f t="shared" si="72"/>
        <v>#DIV/0!</v>
      </c>
      <c r="AN137" s="386" t="e">
        <f t="shared" si="72"/>
        <v>#DIV/0!</v>
      </c>
      <c r="AO137" s="388" t="e">
        <f t="shared" si="72"/>
        <v>#DIV/0!</v>
      </c>
    </row>
    <row r="138" spans="2:41" x14ac:dyDescent="0.15">
      <c r="B138" s="529"/>
      <c r="C138" s="137" t="s">
        <v>952</v>
      </c>
      <c r="D138" s="136" cm="1">
        <f t="array" ref="D138">SUM(SUMIFS('caseload data'!E:E,'caseload data'!$D:$D,"PSO",'caseload data'!$B:$B,{"licence","community"}))</f>
        <v>0</v>
      </c>
      <c r="E138" s="136" cm="1">
        <f t="array" ref="E138">SUM(SUMIFS('caseload data'!F:F,'caseload data'!$D:$D,"PSO",'caseload data'!$B:$B,{"licence","community"}))</f>
        <v>0</v>
      </c>
      <c r="F138" s="136" cm="1">
        <f t="array" ref="F138">SUM(SUMIFS('caseload data'!G:G,'caseload data'!$D:$D,"PSO",'caseload data'!$B:$B,{"licence","community"}))</f>
        <v>0</v>
      </c>
      <c r="G138" s="136" cm="1">
        <f t="array" ref="G138">SUM(SUMIFS('caseload data'!H:H,'caseload data'!$D:$D,"PSO",'caseload data'!$B:$B,{"licence","community"}))</f>
        <v>0</v>
      </c>
      <c r="H138" s="136" cm="1">
        <f t="array" ref="H138">SUM(SUMIFS('caseload data'!I:I,'caseload data'!$D:$D,"PSO",'caseload data'!$B:$B,{"licence","community"}))</f>
        <v>0</v>
      </c>
      <c r="I138" s="136" cm="1">
        <f t="array" ref="I138">SUM(SUMIFS('caseload data'!J:J,'caseload data'!$D:$D,"PSO",'caseload data'!$B:$B,{"licence","community"}))</f>
        <v>0</v>
      </c>
      <c r="J138" s="136" cm="1">
        <f t="array" ref="J138">SUM(SUMIFS('caseload data'!K:K,'caseload data'!$D:$D,"PSO",'caseload data'!$B:$B,{"licence","community"}))</f>
        <v>0</v>
      </c>
      <c r="K138" s="136" cm="1">
        <f t="array" ref="K138">SUM(SUMIFS('caseload data'!L:L,'caseload data'!$D:$D,"PSO",'caseload data'!$B:$B,{"licence","community"}))</f>
        <v>0</v>
      </c>
      <c r="L138" s="136" cm="1">
        <f t="array" ref="L138">SUM(SUMIFS('caseload data'!M:M,'caseload data'!$D:$D,"PSO",'caseload data'!$B:$B,{"licence","community"}))</f>
        <v>0</v>
      </c>
      <c r="M138" s="136" cm="1">
        <f t="array" ref="M138">SUM(SUMIFS('caseload data'!N:N,'caseload data'!$D:$D,"PSO",'caseload data'!$B:$B,{"licence","community"}))</f>
        <v>0</v>
      </c>
      <c r="N138" s="136" cm="1">
        <f t="array" ref="N138">SUM(SUMIFS('caseload data'!O:O,'caseload data'!$D:$D,"PSO",'caseload data'!$B:$B,{"licence","community"}))</f>
        <v>0</v>
      </c>
      <c r="O138" s="136" cm="1">
        <f t="array" ref="O138">SUM(SUMIFS('caseload data'!P:P,'caseload data'!$D:$D,"PSO",'caseload data'!$B:$B,{"licence","community"}))</f>
        <v>0</v>
      </c>
      <c r="P138" s="136" cm="1">
        <f t="array" ref="P138">SUM(SUMIFS('caseload data'!Q:Q,'caseload data'!$D:$D,"PSO",'caseload data'!$B:$B,{"licence","community"}))</f>
        <v>0</v>
      </c>
      <c r="Q138" s="136" cm="1">
        <f t="array" ref="Q138">SUM(SUMIFS('caseload data'!R:R,'caseload data'!$D:$D,"PSO",'caseload data'!$B:$B,{"licence","community"}))</f>
        <v>0</v>
      </c>
      <c r="R138" s="136" cm="1">
        <f t="array" ref="R138">SUM(SUMIFS('caseload data'!S:S,'caseload data'!$D:$D,"PSO",'caseload data'!$B:$B,{"licence","community"}))</f>
        <v>0</v>
      </c>
      <c r="S138" s="136" cm="1">
        <f t="array" ref="S138">SUM(SUMIFS('caseload data'!T:T,'caseload data'!$D:$D,"PSO",'caseload data'!$B:$B,{"licence","community"}))</f>
        <v>0</v>
      </c>
      <c r="T138" s="379">
        <f>SUM(SUMIFS('caseload data'!V:V,'caseload data'!D:D,"PSO",'caseload data'!B:B,{"licence","community"}))</f>
        <v>0</v>
      </c>
      <c r="U138" s="64"/>
      <c r="V138" s="64"/>
      <c r="W138" s="507"/>
      <c r="X138" s="137" t="s">
        <v>952</v>
      </c>
      <c r="Y138" s="138" t="e">
        <f t="shared" ref="Y138:Y141" si="73">SUM(D138)/SUM(D$137:D$141)</f>
        <v>#DIV/0!</v>
      </c>
      <c r="Z138" s="138" t="e">
        <f t="shared" si="72"/>
        <v>#DIV/0!</v>
      </c>
      <c r="AA138" s="138" t="e">
        <f t="shared" si="72"/>
        <v>#DIV/0!</v>
      </c>
      <c r="AB138" s="138" t="e">
        <f t="shared" si="72"/>
        <v>#DIV/0!</v>
      </c>
      <c r="AC138" s="138" t="e">
        <f t="shared" si="72"/>
        <v>#DIV/0!</v>
      </c>
      <c r="AD138" s="138" t="e">
        <f t="shared" si="72"/>
        <v>#DIV/0!</v>
      </c>
      <c r="AE138" s="138" t="e">
        <f t="shared" si="72"/>
        <v>#DIV/0!</v>
      </c>
      <c r="AF138" s="138" t="e">
        <f t="shared" si="72"/>
        <v>#DIV/0!</v>
      </c>
      <c r="AG138" s="138" t="e">
        <f t="shared" si="72"/>
        <v>#DIV/0!</v>
      </c>
      <c r="AH138" s="138" t="e">
        <f t="shared" si="72"/>
        <v>#DIV/0!</v>
      </c>
      <c r="AI138" s="138" t="e">
        <f t="shared" si="72"/>
        <v>#DIV/0!</v>
      </c>
      <c r="AJ138" s="138" t="e">
        <f t="shared" si="72"/>
        <v>#DIV/0!</v>
      </c>
      <c r="AK138" s="138" t="e">
        <f t="shared" si="72"/>
        <v>#DIV/0!</v>
      </c>
      <c r="AL138" s="138" t="e">
        <f t="shared" si="72"/>
        <v>#DIV/0!</v>
      </c>
      <c r="AM138" s="138" t="e">
        <f t="shared" si="72"/>
        <v>#DIV/0!</v>
      </c>
      <c r="AN138" s="138" t="e">
        <f t="shared" si="72"/>
        <v>#DIV/0!</v>
      </c>
      <c r="AO138" s="389" t="e">
        <f t="shared" si="72"/>
        <v>#DIV/0!</v>
      </c>
    </row>
    <row r="139" spans="2:41" x14ac:dyDescent="0.15">
      <c r="B139" s="529"/>
      <c r="C139" s="137" t="s">
        <v>953</v>
      </c>
      <c r="D139" s="136" cm="1">
        <f t="array" ref="D139">SUM(SUMIFS('caseload data'!E:E,'caseload data'!$D:$D,"TPO",'caseload data'!$B:$B,{"licence","community"}))</f>
        <v>0</v>
      </c>
      <c r="E139" s="136" cm="1">
        <f t="array" ref="E139">SUM(SUMIFS('caseload data'!F:F,'caseload data'!$D:$D,"TPO",'caseload data'!$B:$B,{"licence","community"}))</f>
        <v>0</v>
      </c>
      <c r="F139" s="136" cm="1">
        <f t="array" ref="F139">SUM(SUMIFS('caseload data'!G:G,'caseload data'!$D:$D,"TPO",'caseload data'!$B:$B,{"licence","community"}))</f>
        <v>0</v>
      </c>
      <c r="G139" s="136" cm="1">
        <f t="array" ref="G139">SUM(SUMIFS('caseload data'!H:H,'caseload data'!$D:$D,"TPO",'caseload data'!$B:$B,{"licence","community"}))</f>
        <v>0</v>
      </c>
      <c r="H139" s="136" cm="1">
        <f t="array" ref="H139">SUM(SUMIFS('caseload data'!I:I,'caseload data'!$D:$D,"TPO",'caseload data'!$B:$B,{"licence","community"}))</f>
        <v>0</v>
      </c>
      <c r="I139" s="136" cm="1">
        <f t="array" ref="I139">SUM(SUMIFS('caseload data'!J:J,'caseload data'!$D:$D,"TPO",'caseload data'!$B:$B,{"licence","community"}))</f>
        <v>0</v>
      </c>
      <c r="J139" s="136" cm="1">
        <f t="array" ref="J139">SUM(SUMIFS('caseload data'!K:K,'caseload data'!$D:$D,"TPO",'caseload data'!$B:$B,{"licence","community"}))</f>
        <v>0</v>
      </c>
      <c r="K139" s="136" cm="1">
        <f t="array" ref="K139">SUM(SUMIFS('caseload data'!L:L,'caseload data'!$D:$D,"TPO",'caseload data'!$B:$B,{"licence","community"}))</f>
        <v>0</v>
      </c>
      <c r="L139" s="136" cm="1">
        <f t="array" ref="L139">SUM(SUMIFS('caseload data'!M:M,'caseload data'!$D:$D,"TPO",'caseload data'!$B:$B,{"licence","community"}))</f>
        <v>0</v>
      </c>
      <c r="M139" s="136" cm="1">
        <f t="array" ref="M139">SUM(SUMIFS('caseload data'!N:N,'caseload data'!$D:$D,"TPO",'caseload data'!$B:$B,{"licence","community"}))</f>
        <v>0</v>
      </c>
      <c r="N139" s="136" cm="1">
        <f t="array" ref="N139">SUM(SUMIFS('caseload data'!O:O,'caseload data'!$D:$D,"TPO",'caseload data'!$B:$B,{"licence","community"}))</f>
        <v>0</v>
      </c>
      <c r="O139" s="136" cm="1">
        <f t="array" ref="O139">SUM(SUMIFS('caseload data'!P:P,'caseload data'!$D:$D,"TPO",'caseload data'!$B:$B,{"licence","community"}))</f>
        <v>0</v>
      </c>
      <c r="P139" s="136" cm="1">
        <f t="array" ref="P139">SUM(SUMIFS('caseload data'!Q:Q,'caseload data'!$D:$D,"TPO",'caseload data'!$B:$B,{"licence","community"}))</f>
        <v>0</v>
      </c>
      <c r="Q139" s="136" cm="1">
        <f t="array" ref="Q139">SUM(SUMIFS('caseload data'!R:R,'caseload data'!$D:$D,"TPO",'caseload data'!$B:$B,{"licence","community"}))</f>
        <v>0</v>
      </c>
      <c r="R139" s="136" cm="1">
        <f t="array" ref="R139">SUM(SUMIFS('caseload data'!S:S,'caseload data'!$D:$D,"TPO",'caseload data'!$B:$B,{"licence","community"}))</f>
        <v>0</v>
      </c>
      <c r="S139" s="136" cm="1">
        <f t="array" ref="S139">SUM(SUMIFS('caseload data'!T:T,'caseload data'!$D:$D,"TPO",'caseload data'!$B:$B,{"licence","community"}))</f>
        <v>0</v>
      </c>
      <c r="T139" s="379">
        <f>SUM(SUMIFS('caseload data'!V:V,'caseload data'!D:D,"TPO",'caseload data'!B:B,{"licence","community"}))</f>
        <v>0</v>
      </c>
      <c r="U139" s="64"/>
      <c r="V139" s="64"/>
      <c r="W139" s="507"/>
      <c r="X139" s="137" t="s">
        <v>953</v>
      </c>
      <c r="Y139" s="138" t="e">
        <f t="shared" si="73"/>
        <v>#DIV/0!</v>
      </c>
      <c r="Z139" s="138" t="e">
        <f t="shared" si="72"/>
        <v>#DIV/0!</v>
      </c>
      <c r="AA139" s="138" t="e">
        <f t="shared" si="72"/>
        <v>#DIV/0!</v>
      </c>
      <c r="AB139" s="138" t="e">
        <f t="shared" si="72"/>
        <v>#DIV/0!</v>
      </c>
      <c r="AC139" s="138" t="e">
        <f t="shared" si="72"/>
        <v>#DIV/0!</v>
      </c>
      <c r="AD139" s="138" t="e">
        <f t="shared" si="72"/>
        <v>#DIV/0!</v>
      </c>
      <c r="AE139" s="138" t="e">
        <f t="shared" si="72"/>
        <v>#DIV/0!</v>
      </c>
      <c r="AF139" s="138" t="e">
        <f t="shared" si="72"/>
        <v>#DIV/0!</v>
      </c>
      <c r="AG139" s="138" t="e">
        <f t="shared" si="72"/>
        <v>#DIV/0!</v>
      </c>
      <c r="AH139" s="138" t="e">
        <f t="shared" si="72"/>
        <v>#DIV/0!</v>
      </c>
      <c r="AI139" s="138" t="e">
        <f t="shared" si="72"/>
        <v>#DIV/0!</v>
      </c>
      <c r="AJ139" s="138" t="e">
        <f t="shared" si="72"/>
        <v>#DIV/0!</v>
      </c>
      <c r="AK139" s="138" t="e">
        <f t="shared" si="72"/>
        <v>#DIV/0!</v>
      </c>
      <c r="AL139" s="138" t="e">
        <f t="shared" si="72"/>
        <v>#DIV/0!</v>
      </c>
      <c r="AM139" s="138" t="e">
        <f t="shared" si="72"/>
        <v>#DIV/0!</v>
      </c>
      <c r="AN139" s="138" t="e">
        <f t="shared" si="72"/>
        <v>#DIV/0!</v>
      </c>
      <c r="AO139" s="389" t="e">
        <f t="shared" si="72"/>
        <v>#DIV/0!</v>
      </c>
    </row>
    <row r="140" spans="2:41" x14ac:dyDescent="0.15">
      <c r="B140" s="529"/>
      <c r="C140" s="137" t="s">
        <v>954</v>
      </c>
      <c r="D140" s="136">
        <f>SUM(SUMIFS('caseload data'!E:E,'caseload data'!$D:$D,"SPO",'caseload data'!$B:$B,{"licence","community"}))</f>
        <v>0</v>
      </c>
      <c r="E140" s="136">
        <f>SUM(SUMIFS('caseload data'!F:F,'caseload data'!$D:$D,"SPO",'caseload data'!$B:$B,{"licence","community"}))</f>
        <v>0</v>
      </c>
      <c r="F140" s="136">
        <f>SUM(SUMIFS('caseload data'!G:G,'caseload data'!$D:$D,"SPO",'caseload data'!$B:$B,{"licence","community"}))</f>
        <v>0</v>
      </c>
      <c r="G140" s="136">
        <f>SUM(SUMIFS('caseload data'!H:H,'caseload data'!$D:$D,"SPO",'caseload data'!$B:$B,{"licence","community"}))</f>
        <v>0</v>
      </c>
      <c r="H140" s="136">
        <f>SUM(SUMIFS('caseload data'!I:I,'caseload data'!$D:$D,"SPO",'caseload data'!$B:$B,{"licence","community"}))</f>
        <v>0</v>
      </c>
      <c r="I140" s="136">
        <f>SUM(SUMIFS('caseload data'!J:J,'caseload data'!$D:$D,"SPO",'caseload data'!$B:$B,{"licence","community"}))</f>
        <v>0</v>
      </c>
      <c r="J140" s="136">
        <f>SUM(SUMIFS('caseload data'!K:K,'caseload data'!$D:$D,"SPO",'caseload data'!$B:$B,{"licence","community"}))</f>
        <v>0</v>
      </c>
      <c r="K140" s="136">
        <f>SUM(SUMIFS('caseload data'!L:L,'caseload data'!$D:$D,"SPO",'caseload data'!$B:$B,{"licence","community"}))</f>
        <v>0</v>
      </c>
      <c r="L140" s="136">
        <f>SUM(SUMIFS('caseload data'!M:M,'caseload data'!$D:$D,"SPO",'caseload data'!$B:$B,{"licence","community"}))</f>
        <v>0</v>
      </c>
      <c r="M140" s="136">
        <f>SUM(SUMIFS('caseload data'!N:N,'caseload data'!$D:$D,"SPO",'caseload data'!$B:$B,{"licence","community"}))</f>
        <v>0</v>
      </c>
      <c r="N140" s="136">
        <f>SUM(SUMIFS('caseload data'!O:O,'caseload data'!$D:$D,"SPO",'caseload data'!$B:$B,{"licence","community"}))</f>
        <v>0</v>
      </c>
      <c r="O140" s="136">
        <f>SUM(SUMIFS('caseload data'!P:P,'caseload data'!$D:$D,"SPO",'caseload data'!$B:$B,{"licence","community"}))</f>
        <v>0</v>
      </c>
      <c r="P140" s="136">
        <f>SUM(SUMIFS('caseload data'!Q:Q,'caseload data'!$D:$D,"SPO",'caseload data'!$B:$B,{"licence","community"}))</f>
        <v>0</v>
      </c>
      <c r="Q140" s="136">
        <f>SUM(SUMIFS('caseload data'!R:R,'caseload data'!$D:$D,"SPO",'caseload data'!$B:$B,{"licence","community"}))</f>
        <v>0</v>
      </c>
      <c r="R140" s="136">
        <f>SUM(SUMIFS('caseload data'!S:S,'caseload data'!$D:$D,"SPO",'caseload data'!$B:$B,{"licence","community"}))</f>
        <v>0</v>
      </c>
      <c r="S140" s="136">
        <f>SUM(SUMIFS('caseload data'!T:T,'caseload data'!$D:$D,"SPO",'caseload data'!$B:$B,{"licence","community"}))</f>
        <v>0</v>
      </c>
      <c r="T140" s="379">
        <f>SUM(SUMIFS('caseload data'!V:V,'caseload data'!$D:$D,"SPO",'caseload data'!$B:$B,{"licence","community"}))</f>
        <v>0</v>
      </c>
      <c r="U140" s="64"/>
      <c r="V140" s="64"/>
      <c r="W140" s="507"/>
      <c r="X140" s="137" t="s">
        <v>954</v>
      </c>
      <c r="Y140" s="138" t="e">
        <f t="shared" si="73"/>
        <v>#DIV/0!</v>
      </c>
      <c r="Z140" s="138" t="e">
        <f t="shared" si="72"/>
        <v>#DIV/0!</v>
      </c>
      <c r="AA140" s="138" t="e">
        <f t="shared" si="72"/>
        <v>#DIV/0!</v>
      </c>
      <c r="AB140" s="138" t="e">
        <f t="shared" si="72"/>
        <v>#DIV/0!</v>
      </c>
      <c r="AC140" s="138" t="e">
        <f t="shared" si="72"/>
        <v>#DIV/0!</v>
      </c>
      <c r="AD140" s="138" t="e">
        <f t="shared" si="72"/>
        <v>#DIV/0!</v>
      </c>
      <c r="AE140" s="138" t="e">
        <f t="shared" si="72"/>
        <v>#DIV/0!</v>
      </c>
      <c r="AF140" s="138" t="e">
        <f t="shared" si="72"/>
        <v>#DIV/0!</v>
      </c>
      <c r="AG140" s="138" t="e">
        <f t="shared" si="72"/>
        <v>#DIV/0!</v>
      </c>
      <c r="AH140" s="138" t="e">
        <f t="shared" si="72"/>
        <v>#DIV/0!</v>
      </c>
      <c r="AI140" s="138" t="e">
        <f t="shared" si="72"/>
        <v>#DIV/0!</v>
      </c>
      <c r="AJ140" s="138" t="e">
        <f t="shared" si="72"/>
        <v>#DIV/0!</v>
      </c>
      <c r="AK140" s="138" t="e">
        <f t="shared" si="72"/>
        <v>#DIV/0!</v>
      </c>
      <c r="AL140" s="138" t="e">
        <f t="shared" si="72"/>
        <v>#DIV/0!</v>
      </c>
      <c r="AM140" s="138" t="e">
        <f t="shared" si="72"/>
        <v>#DIV/0!</v>
      </c>
      <c r="AN140" s="138" t="e">
        <f t="shared" si="72"/>
        <v>#DIV/0!</v>
      </c>
      <c r="AO140" s="389" t="e">
        <f t="shared" si="72"/>
        <v>#DIV/0!</v>
      </c>
    </row>
    <row r="141" spans="2:41" ht="15" thickBot="1" x14ac:dyDescent="0.2">
      <c r="B141" s="529"/>
      <c r="C141" s="137" t="s">
        <v>1286</v>
      </c>
      <c r="D141" s="136" cm="1">
        <f t="array" ref="D141">SUM(SUMIFS('caseload data'!E:E,'caseload data'!$D:$D,"DMY",'caseload data'!$B:$B,{"licence","community"}))</f>
        <v>0</v>
      </c>
      <c r="E141" s="136" cm="1">
        <f t="array" ref="E141">SUM(SUMIFS('caseload data'!F:F,'caseload data'!$D:$D,"DMY",'caseload data'!$B:$B,{"licence","community"}))</f>
        <v>0</v>
      </c>
      <c r="F141" s="136" cm="1">
        <f t="array" ref="F141">SUM(SUMIFS('caseload data'!G:G,'caseload data'!$D:$D,"DMY",'caseload data'!$B:$B,{"licence","community"}))</f>
        <v>0</v>
      </c>
      <c r="G141" s="136" cm="1">
        <f t="array" ref="G141">SUM(SUMIFS('caseload data'!H:H,'caseload data'!$D:$D,"DMY",'caseload data'!$B:$B,{"licence","community"}))</f>
        <v>0</v>
      </c>
      <c r="H141" s="136" cm="1">
        <f t="array" ref="H141">SUM(SUMIFS('caseload data'!I:I,'caseload data'!$D:$D,"DMY",'caseload data'!$B:$B,{"licence","community"}))</f>
        <v>0</v>
      </c>
      <c r="I141" s="136" cm="1">
        <f t="array" ref="I141">SUM(SUMIFS('caseload data'!J:J,'caseload data'!$D:$D,"DMY",'caseload data'!$B:$B,{"licence","community"}))</f>
        <v>0</v>
      </c>
      <c r="J141" s="136" cm="1">
        <f t="array" ref="J141">SUM(SUMIFS('caseload data'!K:K,'caseload data'!$D:$D,"DMY",'caseload data'!$B:$B,{"licence","community"}))</f>
        <v>0</v>
      </c>
      <c r="K141" s="136" cm="1">
        <f t="array" ref="K141">SUM(SUMIFS('caseload data'!L:L,'caseload data'!$D:$D,"DMY",'caseload data'!$B:$B,{"licence","community"}))</f>
        <v>0</v>
      </c>
      <c r="L141" s="136" cm="1">
        <f t="array" ref="L141">SUM(SUMIFS('caseload data'!M:M,'caseload data'!$D:$D,"DMY",'caseload data'!$B:$B,{"licence","community"}))</f>
        <v>0</v>
      </c>
      <c r="M141" s="136" cm="1">
        <f t="array" ref="M141">SUM(SUMIFS('caseload data'!N:N,'caseload data'!$D:$D,"DMY",'caseload data'!$B:$B,{"licence","community"}))</f>
        <v>0</v>
      </c>
      <c r="N141" s="136" cm="1">
        <f t="array" ref="N141">SUM(SUMIFS('caseload data'!O:O,'caseload data'!$D:$D,"DMY",'caseload data'!$B:$B,{"licence","community"}))</f>
        <v>0</v>
      </c>
      <c r="O141" s="136" cm="1">
        <f t="array" ref="O141">SUM(SUMIFS('caseload data'!P:P,'caseload data'!$D:$D,"DMY",'caseload data'!$B:$B,{"licence","community"}))</f>
        <v>0</v>
      </c>
      <c r="P141" s="136" cm="1">
        <f t="array" ref="P141">SUM(SUMIFS('caseload data'!Q:Q,'caseload data'!$D:$D,"DMY",'caseload data'!$B:$B,{"licence","community"}))</f>
        <v>0</v>
      </c>
      <c r="Q141" s="136" cm="1">
        <f t="array" ref="Q141">SUM(SUMIFS('caseload data'!R:R,'caseload data'!$D:$D,"DMY",'caseload data'!$B:$B,{"licence","community"}))</f>
        <v>0</v>
      </c>
      <c r="R141" s="136" cm="1">
        <f t="array" ref="R141">SUM(SUMIFS('caseload data'!S:S,'caseload data'!$D:$D,"DMY",'caseload data'!$B:$B,{"licence","community"}))</f>
        <v>0</v>
      </c>
      <c r="S141" s="136" cm="1">
        <f t="array" ref="S141">SUM(SUMIFS('caseload data'!T:T,'caseload data'!$D:$D,"DMY",'caseload data'!$B:$B,{"licence","community"}))</f>
        <v>0</v>
      </c>
      <c r="T141" s="379" cm="1">
        <f t="array" ref="T141">SUM(SUMIFS('caseload data'!V:V,'caseload data'!$D:$D,"DMY",'caseload data'!$B:$B,{"licence","community"}))</f>
        <v>0</v>
      </c>
      <c r="U141" s="64"/>
      <c r="V141" s="64"/>
      <c r="W141" s="508"/>
      <c r="X141" s="383" t="s">
        <v>1286</v>
      </c>
      <c r="Y141" s="387" t="e">
        <f t="shared" si="73"/>
        <v>#DIV/0!</v>
      </c>
      <c r="Z141" s="387" t="e">
        <f t="shared" si="72"/>
        <v>#DIV/0!</v>
      </c>
      <c r="AA141" s="387" t="e">
        <f t="shared" si="72"/>
        <v>#DIV/0!</v>
      </c>
      <c r="AB141" s="387" t="e">
        <f t="shared" si="72"/>
        <v>#DIV/0!</v>
      </c>
      <c r="AC141" s="387" t="e">
        <f t="shared" si="72"/>
        <v>#DIV/0!</v>
      </c>
      <c r="AD141" s="387" t="e">
        <f t="shared" si="72"/>
        <v>#DIV/0!</v>
      </c>
      <c r="AE141" s="387" t="e">
        <f t="shared" si="72"/>
        <v>#DIV/0!</v>
      </c>
      <c r="AF141" s="387" t="e">
        <f t="shared" si="72"/>
        <v>#DIV/0!</v>
      </c>
      <c r="AG141" s="387" t="e">
        <f t="shared" si="72"/>
        <v>#DIV/0!</v>
      </c>
      <c r="AH141" s="387" t="e">
        <f t="shared" si="72"/>
        <v>#DIV/0!</v>
      </c>
      <c r="AI141" s="387" t="e">
        <f t="shared" si="72"/>
        <v>#DIV/0!</v>
      </c>
      <c r="AJ141" s="387" t="e">
        <f t="shared" si="72"/>
        <v>#DIV/0!</v>
      </c>
      <c r="AK141" s="387" t="e">
        <f t="shared" si="72"/>
        <v>#DIV/0!</v>
      </c>
      <c r="AL141" s="387" t="e">
        <f t="shared" si="72"/>
        <v>#DIV/0!</v>
      </c>
      <c r="AM141" s="387" t="e">
        <f t="shared" si="72"/>
        <v>#DIV/0!</v>
      </c>
      <c r="AN141" s="387" t="e">
        <f t="shared" si="72"/>
        <v>#DIV/0!</v>
      </c>
      <c r="AO141" s="390" t="e">
        <f t="shared" si="72"/>
        <v>#DIV/0!</v>
      </c>
    </row>
    <row r="142" spans="2:41" ht="30" customHeight="1" thickBot="1" x14ac:dyDescent="0.2">
      <c r="B142" s="530"/>
      <c r="C142" s="380" t="s">
        <v>1404</v>
      </c>
      <c r="D142" s="381" cm="1">
        <f t="array" ref="D142">SUM(SUMIF('caseload data'!$B:$B,{"licence","community"},'caseload data'!E:E))</f>
        <v>0</v>
      </c>
      <c r="E142" s="381" cm="1">
        <f t="array" ref="E142">SUM(SUMIF('caseload data'!$B:$B,{"licence","community"},'caseload data'!F:F))</f>
        <v>0</v>
      </c>
      <c r="F142" s="381" cm="1">
        <f t="array" ref="F142">SUM(SUMIF('caseload data'!$B:$B,{"licence","community"},'caseload data'!G:G))</f>
        <v>0</v>
      </c>
      <c r="G142" s="381" cm="1">
        <f t="array" ref="G142">SUM(SUMIF('caseload data'!$B:$B,{"licence","community"},'caseload data'!H:H))</f>
        <v>0</v>
      </c>
      <c r="H142" s="381" cm="1">
        <f t="array" ref="H142">SUM(SUMIF('caseload data'!$B:$B,{"licence","community"},'caseload data'!I:I))</f>
        <v>0</v>
      </c>
      <c r="I142" s="381" cm="1">
        <f t="array" ref="I142">SUM(SUMIF('caseload data'!$B:$B,{"licence","community"},'caseload data'!J:J))</f>
        <v>0</v>
      </c>
      <c r="J142" s="381" cm="1">
        <f t="array" ref="J142">SUM(SUMIF('caseload data'!$B:$B,{"licence","community"},'caseload data'!K:K))</f>
        <v>0</v>
      </c>
      <c r="K142" s="381" cm="1">
        <f t="array" ref="K142">SUM(SUMIF('caseload data'!$B:$B,{"licence","community"},'caseload data'!L:L))</f>
        <v>0</v>
      </c>
      <c r="L142" s="381" cm="1">
        <f t="array" ref="L142">SUM(SUMIF('caseload data'!$B:$B,{"licence","community"},'caseload data'!M:M))</f>
        <v>0</v>
      </c>
      <c r="M142" s="381" cm="1">
        <f t="array" ref="M142">SUM(SUMIF('caseload data'!$B:$B,{"licence","community"},'caseload data'!N:N))</f>
        <v>0</v>
      </c>
      <c r="N142" s="381" cm="1">
        <f t="array" ref="N142">SUM(SUMIF('caseload data'!$B:$B,{"licence","community"},'caseload data'!O:O))</f>
        <v>0</v>
      </c>
      <c r="O142" s="381" cm="1">
        <f t="array" ref="O142">SUM(SUMIF('caseload data'!$B:$B,{"licence","community"},'caseload data'!P:P))</f>
        <v>0</v>
      </c>
      <c r="P142" s="381" cm="1">
        <f t="array" ref="P142">SUM(SUMIF('caseload data'!$B:$B,{"licence","community"},'caseload data'!Q:Q))</f>
        <v>0</v>
      </c>
      <c r="Q142" s="381" cm="1">
        <f t="array" ref="Q142">SUM(SUMIF('caseload data'!$B:$B,{"licence","community"},'caseload data'!R:R))</f>
        <v>0</v>
      </c>
      <c r="R142" s="381" cm="1">
        <f t="array" ref="R142">SUM(SUMIF('caseload data'!$B:$B,{"licence","community"},'caseload data'!S:S))</f>
        <v>0</v>
      </c>
      <c r="S142" s="381" cm="1">
        <f t="array" ref="S142">SUM(SUMIF('caseload data'!$B:$B,{"licence","community"},'caseload data'!T:T))</f>
        <v>0</v>
      </c>
      <c r="T142" s="382">
        <f>SUM(SUMIF('caseload data'!B:B,{"licence","community"},'caseload data'!V:V))</f>
        <v>0</v>
      </c>
      <c r="U142" s="64"/>
      <c r="V142" s="64"/>
      <c r="W142" s="131"/>
      <c r="X142" s="132"/>
      <c r="Y142" s="133"/>
      <c r="Z142" s="133"/>
      <c r="AA142" s="133"/>
      <c r="AB142" s="133"/>
      <c r="AC142" s="133"/>
      <c r="AD142" s="133"/>
      <c r="AE142" s="133"/>
    </row>
    <row r="144" spans="2:41" ht="15" thickBot="1" x14ac:dyDescent="0.2"/>
    <row r="145" spans="2:41" ht="17" thickBot="1" x14ac:dyDescent="0.25">
      <c r="B145" s="1"/>
      <c r="C145" s="2"/>
      <c r="D145" s="525" t="s">
        <v>1026</v>
      </c>
      <c r="E145" s="526"/>
      <c r="F145" s="526"/>
      <c r="G145" s="526"/>
      <c r="H145" s="526"/>
      <c r="I145" s="526"/>
      <c r="J145" s="526"/>
      <c r="K145" s="526"/>
      <c r="L145" s="526"/>
      <c r="M145" s="526"/>
      <c r="N145" s="526"/>
      <c r="O145" s="526"/>
      <c r="P145" s="526"/>
      <c r="Q145" s="526"/>
      <c r="R145" s="526"/>
      <c r="S145" s="526"/>
      <c r="T145" s="527"/>
      <c r="W145" s="1"/>
      <c r="X145" s="2"/>
      <c r="Y145" s="523" t="s">
        <v>1027</v>
      </c>
      <c r="Z145" s="524"/>
      <c r="AA145" s="524"/>
      <c r="AB145" s="524"/>
      <c r="AC145" s="524"/>
      <c r="AD145" s="524"/>
      <c r="AE145" s="524"/>
      <c r="AF145" s="524"/>
      <c r="AG145" s="524"/>
      <c r="AH145" s="524"/>
      <c r="AI145" s="524"/>
      <c r="AJ145" s="524"/>
      <c r="AK145" s="524"/>
      <c r="AL145" s="524"/>
      <c r="AM145" s="524"/>
      <c r="AN145" s="524"/>
    </row>
    <row r="146" spans="2:41" x14ac:dyDescent="0.15">
      <c r="B146" s="124" t="s">
        <v>788</v>
      </c>
      <c r="C146" s="126" t="s">
        <v>946</v>
      </c>
      <c r="D146" s="38" t="s">
        <v>814</v>
      </c>
      <c r="E146" s="38" t="s">
        <v>815</v>
      </c>
      <c r="F146" s="38" t="s">
        <v>816</v>
      </c>
      <c r="G146" s="38" t="s">
        <v>817</v>
      </c>
      <c r="H146" s="38" t="s">
        <v>818</v>
      </c>
      <c r="I146" s="38" t="s">
        <v>819</v>
      </c>
      <c r="J146" s="38" t="s">
        <v>820</v>
      </c>
      <c r="K146" s="38" t="s">
        <v>821</v>
      </c>
      <c r="L146" s="38" t="s">
        <v>822</v>
      </c>
      <c r="M146" s="38" t="s">
        <v>823</v>
      </c>
      <c r="N146" s="38" t="s">
        <v>824</v>
      </c>
      <c r="O146" s="38" t="s">
        <v>825</v>
      </c>
      <c r="P146" s="38" t="s">
        <v>826</v>
      </c>
      <c r="Q146" s="38" t="s">
        <v>827</v>
      </c>
      <c r="R146" s="38" t="s">
        <v>828</v>
      </c>
      <c r="S146" s="38" t="s">
        <v>829</v>
      </c>
      <c r="T146" s="126" t="s">
        <v>831</v>
      </c>
      <c r="U146" s="64"/>
      <c r="V146" s="64"/>
      <c r="W146" s="124" t="s">
        <v>788</v>
      </c>
      <c r="X146" s="126" t="s">
        <v>946</v>
      </c>
      <c r="Y146" s="38" t="s">
        <v>814</v>
      </c>
      <c r="Z146" s="38" t="s">
        <v>815</v>
      </c>
      <c r="AA146" s="38" t="s">
        <v>816</v>
      </c>
      <c r="AB146" s="38" t="s">
        <v>817</v>
      </c>
      <c r="AC146" s="38" t="s">
        <v>818</v>
      </c>
      <c r="AD146" s="38" t="s">
        <v>819</v>
      </c>
      <c r="AE146" s="38" t="s">
        <v>820</v>
      </c>
      <c r="AF146" s="38" t="s">
        <v>821</v>
      </c>
      <c r="AG146" s="38" t="s">
        <v>822</v>
      </c>
      <c r="AH146" s="38" t="s">
        <v>823</v>
      </c>
      <c r="AI146" s="38" t="s">
        <v>824</v>
      </c>
      <c r="AJ146" s="38" t="s">
        <v>825</v>
      </c>
      <c r="AK146" s="38" t="s">
        <v>826</v>
      </c>
      <c r="AL146" s="38" t="s">
        <v>827</v>
      </c>
      <c r="AM146" s="38" t="s">
        <v>828</v>
      </c>
      <c r="AN146" s="38" t="s">
        <v>829</v>
      </c>
      <c r="AO146" s="38" t="s">
        <v>944</v>
      </c>
    </row>
    <row r="147" spans="2:41" x14ac:dyDescent="0.15">
      <c r="B147" s="503" t="s">
        <v>17</v>
      </c>
      <c r="C147" s="128" t="s">
        <v>947</v>
      </c>
      <c r="D147" s="94">
        <f>SUMIFS('caseload data'!E:E,'caseload data'!$D:$D,"PO",'caseload data'!$A:$A,'national caseload'!$B$147:$B$149,'caseload data'!$B:$B,"custody")</f>
        <v>0</v>
      </c>
      <c r="E147" s="94">
        <f>SUMIFS('caseload data'!F:F,'caseload data'!$D:$D,"PO",'caseload data'!$A:$A,'national caseload'!$B$147:$B$149,'caseload data'!$B:$B,"custody")</f>
        <v>0</v>
      </c>
      <c r="F147" s="94">
        <f>SUMIFS('caseload data'!G:G,'caseload data'!$D:$D,"PO",'caseload data'!$A:$A,'national caseload'!$B$147:$B$149,'caseload data'!$B:$B,"custody")</f>
        <v>0</v>
      </c>
      <c r="G147" s="94">
        <f>SUMIFS('caseload data'!H:H,'caseload data'!$D:$D,"PO",'caseload data'!$A:$A,'national caseload'!$B$147:$B$149,'caseload data'!$B:$B,"custody")</f>
        <v>0</v>
      </c>
      <c r="H147" s="94">
        <f>SUMIFS('caseload data'!I:I,'caseload data'!$D:$D,"PO",'caseload data'!$A:$A,'national caseload'!$B$147:$B$149,'caseload data'!$B:$B,"custody")</f>
        <v>0</v>
      </c>
      <c r="I147" s="94">
        <f>SUMIFS('caseload data'!J:J,'caseload data'!$D:$D,"PO",'caseload data'!$A:$A,'national caseload'!$B$147:$B$149,'caseload data'!$B:$B,"custody")</f>
        <v>0</v>
      </c>
      <c r="J147" s="94">
        <f>SUMIFS('caseload data'!K:K,'caseload data'!$D:$D,"PO",'caseload data'!$A:$A,'national caseload'!$B$147:$B$149,'caseload data'!$B:$B,"custody")</f>
        <v>0</v>
      </c>
      <c r="K147" s="94">
        <f>SUMIFS('caseload data'!L:L,'caseload data'!$D:$D,"PO",'caseload data'!$A:$A,'national caseload'!$B$147:$B$149,'caseload data'!$B:$B,"custody")</f>
        <v>0</v>
      </c>
      <c r="L147" s="94">
        <f>SUMIFS('caseload data'!M:M,'caseload data'!$D:$D,"PO",'caseload data'!$A:$A,'national caseload'!$B$147:$B$149,'caseload data'!$B:$B,"custody")</f>
        <v>0</v>
      </c>
      <c r="M147" s="94">
        <f>SUMIFS('caseload data'!N:N,'caseload data'!$D:$D,"PO",'caseload data'!$A:$A,'national caseload'!$B$147:$B$149,'caseload data'!$B:$B,"custody")</f>
        <v>0</v>
      </c>
      <c r="N147" s="94">
        <f>SUMIFS('caseload data'!O:O,'caseload data'!$D:$D,"PO",'caseload data'!$A:$A,'national caseload'!$B$147:$B$149,'caseload data'!$B:$B,"custody")</f>
        <v>0</v>
      </c>
      <c r="O147" s="94">
        <f>SUMIFS('caseload data'!P:P,'caseload data'!$D:$D,"PO",'caseload data'!$A:$A,'national caseload'!$B$147:$B$149,'caseload data'!$B:$B,"custody")</f>
        <v>0</v>
      </c>
      <c r="P147" s="94">
        <f>SUMIFS('caseload data'!Q:Q,'caseload data'!$D:$D,"PO",'caseload data'!$A:$A,'national caseload'!$B$147:$B$149,'caseload data'!$B:$B,"custody")</f>
        <v>0</v>
      </c>
      <c r="Q147" s="94">
        <f>SUMIFS('caseload data'!R:R,'caseload data'!$D:$D,"PO",'caseload data'!$A:$A,'national caseload'!$B$147:$B$149,'caseload data'!$B:$B,"custody")</f>
        <v>0</v>
      </c>
      <c r="R147" s="94">
        <f>SUMIFS('caseload data'!S:S,'caseload data'!$D:$D,"PO",'caseload data'!$A:$A,'national caseload'!$B$147:$B$149,'caseload data'!$B:$B,"custody")</f>
        <v>0</v>
      </c>
      <c r="S147" s="94">
        <f>SUMIFS('caseload data'!T:T,'caseload data'!$D:$D,"PO",'caseload data'!$A:$A,'national caseload'!$B$147:$B$149,'caseload data'!$B:$B,"custody")</f>
        <v>0</v>
      </c>
      <c r="T147" s="94">
        <f>SUMIFS('caseload data'!V:V,'caseload data'!D:D,"PO",'caseload data'!A:A,'national caseload'!B147:B149,'caseload data'!B:B,"custody")</f>
        <v>0</v>
      </c>
      <c r="U147" s="64"/>
      <c r="V147" s="64"/>
      <c r="W147" s="503" t="s">
        <v>17</v>
      </c>
      <c r="X147" s="128" t="s">
        <v>947</v>
      </c>
      <c r="Y147" s="167" t="e">
        <f>SUM(D147)/SUM(D$147:D$151)</f>
        <v>#DIV/0!</v>
      </c>
      <c r="Z147" s="167" t="e">
        <f t="shared" ref="Z147:AD151" si="74">SUM(E147)/SUM(E$147:E$151)</f>
        <v>#DIV/0!</v>
      </c>
      <c r="AA147" s="167" t="e">
        <f t="shared" si="74"/>
        <v>#DIV/0!</v>
      </c>
      <c r="AB147" s="167" t="e">
        <f t="shared" si="74"/>
        <v>#DIV/0!</v>
      </c>
      <c r="AC147" s="167" t="e">
        <f t="shared" si="74"/>
        <v>#DIV/0!</v>
      </c>
      <c r="AD147" s="167" t="e">
        <f t="shared" si="74"/>
        <v>#DIV/0!</v>
      </c>
      <c r="AE147" s="167" t="e">
        <f t="shared" ref="AE147:AE151" si="75">SUM(J147)/SUM(J$147:J$151)</f>
        <v>#DIV/0!</v>
      </c>
      <c r="AF147" s="167" t="e">
        <f t="shared" ref="AF147:AF151" si="76">SUM(K147)/SUM(K$147:K$151)</f>
        <v>#DIV/0!</v>
      </c>
      <c r="AG147" s="167" t="e">
        <f t="shared" ref="AG147:AG151" si="77">SUM(L147)/SUM(L$147:L$151)</f>
        <v>#DIV/0!</v>
      </c>
      <c r="AH147" s="167" t="e">
        <f t="shared" ref="AH147:AH151" si="78">SUM(M147)/SUM(M$147:M$151)</f>
        <v>#DIV/0!</v>
      </c>
      <c r="AI147" s="167" t="e">
        <f t="shared" ref="AI147:AI151" si="79">SUM(N147)/SUM(N$147:N$151)</f>
        <v>#DIV/0!</v>
      </c>
      <c r="AJ147" s="167" t="e">
        <f t="shared" ref="AJ147:AJ151" si="80">SUM(O147)/SUM(O$147:O$151)</f>
        <v>#DIV/0!</v>
      </c>
      <c r="AK147" s="167" t="e">
        <f t="shared" ref="AK147:AK151" si="81">SUM(P147)/SUM(P$147:P$151)</f>
        <v>#DIV/0!</v>
      </c>
      <c r="AL147" s="167" t="e">
        <f t="shared" ref="AL147:AL151" si="82">SUM(Q147)/SUM(Q$147:Q$151)</f>
        <v>#DIV/0!</v>
      </c>
      <c r="AM147" s="167" t="e">
        <f t="shared" ref="AM147:AM151" si="83">SUM(R147)/SUM(R$147:R$151)</f>
        <v>#DIV/0!</v>
      </c>
      <c r="AN147" s="167" t="e">
        <f t="shared" ref="AN147:AO151" si="84">SUM(S147)/SUM(S$147:S$151)</f>
        <v>#DIV/0!</v>
      </c>
      <c r="AO147" s="167" t="e">
        <f>SUM(T147)/SUM(T$147:T$151)</f>
        <v>#DIV/0!</v>
      </c>
    </row>
    <row r="148" spans="2:41" x14ac:dyDescent="0.15">
      <c r="B148" s="504"/>
      <c r="C148" s="129" t="s">
        <v>952</v>
      </c>
      <c r="D148" s="94">
        <f>SUMIFS('caseload data'!E:E,'caseload data'!$D:$D,"PSO",'caseload data'!$A:$A,"East Midlands Region",'caseload data'!$B:$B,"custody")</f>
        <v>0</v>
      </c>
      <c r="E148" s="94">
        <f>SUMIFS('caseload data'!F:F,'caseload data'!$D:$D,"PSO",'caseload data'!$A:$A,"East Midlands Region",'caseload data'!$B:$B,"custody")</f>
        <v>0</v>
      </c>
      <c r="F148" s="94">
        <f>SUMIFS('caseload data'!G:G,'caseload data'!$D:$D,"PSO",'caseload data'!$A:$A,"East Midlands Region",'caseload data'!$B:$B,"custody")</f>
        <v>0</v>
      </c>
      <c r="G148" s="94">
        <f>SUMIFS('caseload data'!H:H,'caseload data'!$D:$D,"PSO",'caseload data'!$A:$A,"East Midlands Region",'caseload data'!$B:$B,"custody")</f>
        <v>0</v>
      </c>
      <c r="H148" s="94">
        <f>SUMIFS('caseload data'!I:I,'caseload data'!$D:$D,"PSO",'caseload data'!$A:$A,"East Midlands Region",'caseload data'!$B:$B,"custody")</f>
        <v>0</v>
      </c>
      <c r="I148" s="94">
        <f>SUMIFS('caseload data'!J:J,'caseload data'!$D:$D,"PSO",'caseload data'!$A:$A,"East Midlands Region",'caseload data'!$B:$B,"custody")</f>
        <v>0</v>
      </c>
      <c r="J148" s="94">
        <f>SUMIFS('caseload data'!K:K,'caseload data'!$D:$D,"PSO",'caseload data'!$A:$A,"East Midlands Region",'caseload data'!$B:$B,"custody")</f>
        <v>0</v>
      </c>
      <c r="K148" s="94">
        <f>SUMIFS('caseload data'!L:L,'caseload data'!$D:$D,"PSO",'caseload data'!$A:$A,"East Midlands Region",'caseload data'!$B:$B,"custody")</f>
        <v>0</v>
      </c>
      <c r="L148" s="94">
        <f>SUMIFS('caseload data'!M:M,'caseload data'!$D:$D,"PSO",'caseload data'!$A:$A,"East Midlands Region",'caseload data'!$B:$B,"custody")</f>
        <v>0</v>
      </c>
      <c r="M148" s="94">
        <f>SUMIFS('caseload data'!N:N,'caseload data'!$D:$D,"PSO",'caseload data'!$A:$A,"East Midlands Region",'caseload data'!$B:$B,"custody")</f>
        <v>0</v>
      </c>
      <c r="N148" s="94">
        <f>SUMIFS('caseload data'!O:O,'caseload data'!$D:$D,"PSO",'caseload data'!$A:$A,"East Midlands Region",'caseload data'!$B:$B,"custody")</f>
        <v>0</v>
      </c>
      <c r="O148" s="94">
        <f>SUMIFS('caseload data'!P:P,'caseload data'!$D:$D,"PSO",'caseload data'!$A:$A,"East Midlands Region",'caseload data'!$B:$B,"custody")</f>
        <v>0</v>
      </c>
      <c r="P148" s="94">
        <f>SUMIFS('caseload data'!Q:Q,'caseload data'!$D:$D,"PSO",'caseload data'!$A:$A,"East Midlands Region",'caseload data'!$B:$B,"custody")</f>
        <v>0</v>
      </c>
      <c r="Q148" s="94">
        <f>SUMIFS('caseload data'!R:R,'caseload data'!$D:$D,"PSO",'caseload data'!$A:$A,"East Midlands Region",'caseload data'!$B:$B,"custody")</f>
        <v>0</v>
      </c>
      <c r="R148" s="94">
        <f>SUMIFS('caseload data'!S:S,'caseload data'!$D:$D,"PSO",'caseload data'!$A:$A,"East Midlands Region",'caseload data'!$B:$B,"custody")</f>
        <v>0</v>
      </c>
      <c r="S148" s="94">
        <f>SUMIFS('caseload data'!T:T,'caseload data'!$D:$D,"PSO",'caseload data'!$A:$A,"East Midlands Region",'caseload data'!$B:$B,"custody")</f>
        <v>0</v>
      </c>
      <c r="T148" s="94">
        <f>SUMIFS('caseload data'!V:V,'caseload data'!D:D,"PSO",'caseload data'!A:A,"East Midlands Region",'caseload data'!B:B,"custody")</f>
        <v>0</v>
      </c>
      <c r="U148" s="64"/>
      <c r="V148" s="64"/>
      <c r="W148" s="504"/>
      <c r="X148" s="129" t="s">
        <v>952</v>
      </c>
      <c r="Y148" s="167" t="e">
        <f t="shared" ref="Y148:Y151" si="85">SUM(D148)/SUM(D$147:D$151)</f>
        <v>#DIV/0!</v>
      </c>
      <c r="Z148" s="167" t="e">
        <f t="shared" si="74"/>
        <v>#DIV/0!</v>
      </c>
      <c r="AA148" s="167" t="e">
        <f t="shared" si="74"/>
        <v>#DIV/0!</v>
      </c>
      <c r="AB148" s="167" t="e">
        <f t="shared" si="74"/>
        <v>#DIV/0!</v>
      </c>
      <c r="AC148" s="167" t="e">
        <f t="shared" si="74"/>
        <v>#DIV/0!</v>
      </c>
      <c r="AD148" s="167" t="e">
        <f t="shared" si="74"/>
        <v>#DIV/0!</v>
      </c>
      <c r="AE148" s="167" t="e">
        <f t="shared" si="75"/>
        <v>#DIV/0!</v>
      </c>
      <c r="AF148" s="167" t="e">
        <f t="shared" si="76"/>
        <v>#DIV/0!</v>
      </c>
      <c r="AG148" s="167" t="e">
        <f t="shared" si="77"/>
        <v>#DIV/0!</v>
      </c>
      <c r="AH148" s="167" t="e">
        <f t="shared" si="78"/>
        <v>#DIV/0!</v>
      </c>
      <c r="AI148" s="167" t="e">
        <f t="shared" si="79"/>
        <v>#DIV/0!</v>
      </c>
      <c r="AJ148" s="167" t="e">
        <f t="shared" si="80"/>
        <v>#DIV/0!</v>
      </c>
      <c r="AK148" s="167" t="e">
        <f t="shared" si="81"/>
        <v>#DIV/0!</v>
      </c>
      <c r="AL148" s="167" t="e">
        <f t="shared" si="82"/>
        <v>#DIV/0!</v>
      </c>
      <c r="AM148" s="167" t="e">
        <f t="shared" si="83"/>
        <v>#DIV/0!</v>
      </c>
      <c r="AN148" s="167" t="e">
        <f t="shared" si="84"/>
        <v>#DIV/0!</v>
      </c>
      <c r="AO148" s="167" t="e">
        <f t="shared" si="84"/>
        <v>#DIV/0!</v>
      </c>
    </row>
    <row r="149" spans="2:41" x14ac:dyDescent="0.15">
      <c r="B149" s="504"/>
      <c r="C149" s="129" t="s">
        <v>953</v>
      </c>
      <c r="D149" s="94">
        <f>SUMIFS('caseload data'!E:E,'caseload data'!$D:$D,"TPO",'caseload data'!$A:$A,"East Midlands Region",'caseload data'!$B:$B,"custody")</f>
        <v>0</v>
      </c>
      <c r="E149" s="94">
        <f>SUMIFS('caseload data'!F:F,'caseload data'!$D:$D,"TPO",'caseload data'!$A:$A,"East Midlands Region",'caseload data'!$B:$B,"custody")</f>
        <v>0</v>
      </c>
      <c r="F149" s="94">
        <f>SUMIFS('caseload data'!G:G,'caseload data'!$D:$D,"TPO",'caseload data'!$A:$A,"East Midlands Region",'caseload data'!$B:$B,"custody")</f>
        <v>0</v>
      </c>
      <c r="G149" s="94">
        <f>SUMIFS('caseload data'!H:H,'caseload data'!$D:$D,"TPO",'caseload data'!$A:$A,"East Midlands Region",'caseload data'!$B:$B,"custody")</f>
        <v>0</v>
      </c>
      <c r="H149" s="94">
        <f>SUMIFS('caseload data'!I:I,'caseload data'!$D:$D,"TPO",'caseload data'!$A:$A,"East Midlands Region",'caseload data'!$B:$B,"custody")</f>
        <v>0</v>
      </c>
      <c r="I149" s="94">
        <f>SUMIFS('caseload data'!J:J,'caseload data'!$D:$D,"TPO",'caseload data'!$A:$A,"East Midlands Region",'caseload data'!$B:$B,"custody")</f>
        <v>0</v>
      </c>
      <c r="J149" s="94">
        <f>SUMIFS('caseload data'!K:K,'caseload data'!$D:$D,"TPO",'caseload data'!$A:$A,"East Midlands Region",'caseload data'!$B:$B,"custody")</f>
        <v>0</v>
      </c>
      <c r="K149" s="94">
        <f>SUMIFS('caseload data'!L:L,'caseload data'!$D:$D,"TPO",'caseload data'!$A:$A,"East Midlands Region",'caseload data'!$B:$B,"custody")</f>
        <v>0</v>
      </c>
      <c r="L149" s="94">
        <f>SUMIFS('caseload data'!M:M,'caseload data'!$D:$D,"TPO",'caseload data'!$A:$A,"East Midlands Region",'caseload data'!$B:$B,"custody")</f>
        <v>0</v>
      </c>
      <c r="M149" s="94">
        <f>SUMIFS('caseload data'!N:N,'caseload data'!$D:$D,"TPO",'caseload data'!$A:$A,"East Midlands Region",'caseload data'!$B:$B,"custody")</f>
        <v>0</v>
      </c>
      <c r="N149" s="94">
        <f>SUMIFS('caseload data'!O:O,'caseload data'!$D:$D,"TPO",'caseload data'!$A:$A,"East Midlands Region",'caseload data'!$B:$B,"custody")</f>
        <v>0</v>
      </c>
      <c r="O149" s="94">
        <f>SUMIFS('caseload data'!P:P,'caseload data'!$D:$D,"TPO",'caseload data'!$A:$A,"East Midlands Region",'caseload data'!$B:$B,"custody")</f>
        <v>0</v>
      </c>
      <c r="P149" s="94">
        <f>SUMIFS('caseload data'!Q:Q,'caseload data'!$D:$D,"TPO",'caseload data'!$A:$A,"East Midlands Region",'caseload data'!$B:$B,"custody")</f>
        <v>0</v>
      </c>
      <c r="Q149" s="94">
        <f>SUMIFS('caseload data'!R:R,'caseload data'!$D:$D,"TPO",'caseload data'!$A:$A,"East Midlands Region",'caseload data'!$B:$B,"custody")</f>
        <v>0</v>
      </c>
      <c r="R149" s="94">
        <f>SUMIFS('caseload data'!S:S,'caseload data'!$D:$D,"TPO",'caseload data'!$A:$A,"East Midlands Region",'caseload data'!$B:$B,"custody")</f>
        <v>0</v>
      </c>
      <c r="S149" s="94">
        <f>SUMIFS('caseload data'!T:T,'caseload data'!$D:$D,"TPO",'caseload data'!$A:$A,"East Midlands Region",'caseload data'!$B:$B,"custody")</f>
        <v>0</v>
      </c>
      <c r="T149" s="94">
        <f>SUMIFS('caseload data'!V:V,'caseload data'!D:D,"TPO",'caseload data'!A:A,"East Midlands Region",'caseload data'!B:B,"custody")</f>
        <v>0</v>
      </c>
      <c r="U149" s="64"/>
      <c r="V149" s="64"/>
      <c r="W149" s="504"/>
      <c r="X149" s="129" t="s">
        <v>953</v>
      </c>
      <c r="Y149" s="167" t="e">
        <f t="shared" si="85"/>
        <v>#DIV/0!</v>
      </c>
      <c r="Z149" s="167" t="e">
        <f t="shared" si="74"/>
        <v>#DIV/0!</v>
      </c>
      <c r="AA149" s="167" t="e">
        <f t="shared" si="74"/>
        <v>#DIV/0!</v>
      </c>
      <c r="AB149" s="167" t="e">
        <f t="shared" si="74"/>
        <v>#DIV/0!</v>
      </c>
      <c r="AC149" s="167" t="e">
        <f t="shared" si="74"/>
        <v>#DIV/0!</v>
      </c>
      <c r="AD149" s="167" t="e">
        <f t="shared" si="74"/>
        <v>#DIV/0!</v>
      </c>
      <c r="AE149" s="167" t="e">
        <f t="shared" si="75"/>
        <v>#DIV/0!</v>
      </c>
      <c r="AF149" s="167" t="e">
        <f t="shared" si="76"/>
        <v>#DIV/0!</v>
      </c>
      <c r="AG149" s="167" t="e">
        <f t="shared" si="77"/>
        <v>#DIV/0!</v>
      </c>
      <c r="AH149" s="167" t="e">
        <f t="shared" si="78"/>
        <v>#DIV/0!</v>
      </c>
      <c r="AI149" s="167" t="e">
        <f t="shared" si="79"/>
        <v>#DIV/0!</v>
      </c>
      <c r="AJ149" s="167" t="e">
        <f t="shared" si="80"/>
        <v>#DIV/0!</v>
      </c>
      <c r="AK149" s="167" t="e">
        <f t="shared" si="81"/>
        <v>#DIV/0!</v>
      </c>
      <c r="AL149" s="167" t="e">
        <f t="shared" si="82"/>
        <v>#DIV/0!</v>
      </c>
      <c r="AM149" s="167" t="e">
        <f t="shared" si="83"/>
        <v>#DIV/0!</v>
      </c>
      <c r="AN149" s="167" t="e">
        <f t="shared" si="84"/>
        <v>#DIV/0!</v>
      </c>
      <c r="AO149" s="167" t="e">
        <f t="shared" si="84"/>
        <v>#DIV/0!</v>
      </c>
    </row>
    <row r="150" spans="2:41" x14ac:dyDescent="0.15">
      <c r="B150" s="504"/>
      <c r="C150" s="129" t="s">
        <v>954</v>
      </c>
      <c r="D150" s="94">
        <f>SUMIFS('caseload data'!E:E,'caseload data'!$D:$D,"SPO",'caseload data'!$A:$A,"East Midlands Region",'caseload data'!$B:$B,"custody")</f>
        <v>0</v>
      </c>
      <c r="E150" s="94">
        <f>SUMIFS('caseload data'!F:F,'caseload data'!$D:$D,"SPO",'caseload data'!$A:$A,"East Midlands Region",'caseload data'!$B:$B,"custody")</f>
        <v>0</v>
      </c>
      <c r="F150" s="94">
        <f>SUMIFS('caseload data'!G:G,'caseload data'!$D:$D,"SPO",'caseload data'!$A:$A,"East Midlands Region",'caseload data'!$B:$B,"custody")</f>
        <v>0</v>
      </c>
      <c r="G150" s="94">
        <f>SUMIFS('caseload data'!H:H,'caseload data'!$D:$D,"SPO",'caseload data'!$A:$A,"East Midlands Region",'caseload data'!$B:$B,"custody")</f>
        <v>0</v>
      </c>
      <c r="H150" s="94">
        <f>SUMIFS('caseload data'!I:I,'caseload data'!$D:$D,"SPO",'caseload data'!$A:$A,"East Midlands Region",'caseload data'!$B:$B,"custody")</f>
        <v>0</v>
      </c>
      <c r="I150" s="94">
        <f>SUMIFS('caseload data'!J:J,'caseload data'!$D:$D,"SPO",'caseload data'!$A:$A,"East Midlands Region",'caseload data'!$B:$B,"custody")</f>
        <v>0</v>
      </c>
      <c r="J150" s="94">
        <f>SUMIFS('caseload data'!K:K,'caseload data'!$D:$D,"SPO",'caseload data'!$A:$A,"East Midlands Region",'caseload data'!$B:$B,"custody")</f>
        <v>0</v>
      </c>
      <c r="K150" s="94">
        <f>SUMIFS('caseload data'!L:L,'caseload data'!$D:$D,"SPO",'caseload data'!$A:$A,"East Midlands Region",'caseload data'!$B:$B,"custody")</f>
        <v>0</v>
      </c>
      <c r="L150" s="94">
        <f>SUMIFS('caseload data'!M:M,'caseload data'!$D:$D,"SPO",'caseload data'!$A:$A,"East Midlands Region",'caseload data'!$B:$B,"custody")</f>
        <v>0</v>
      </c>
      <c r="M150" s="94">
        <f>SUMIFS('caseload data'!N:N,'caseload data'!$D:$D,"SPO",'caseload data'!$A:$A,"East Midlands Region",'caseload data'!$B:$B,"custody")</f>
        <v>0</v>
      </c>
      <c r="N150" s="94">
        <f>SUMIFS('caseload data'!O:O,'caseload data'!$D:$D,"SPO",'caseload data'!$A:$A,"East Midlands Region",'caseload data'!$B:$B,"custody")</f>
        <v>0</v>
      </c>
      <c r="O150" s="94">
        <f>SUMIFS('caseload data'!P:P,'caseload data'!$D:$D,"SPO",'caseload data'!$A:$A,"East Midlands Region",'caseload data'!$B:$B,"custody")</f>
        <v>0</v>
      </c>
      <c r="P150" s="94">
        <f>SUMIFS('caseload data'!Q:Q,'caseload data'!$D:$D,"SPO",'caseload data'!$A:$A,"East Midlands Region",'caseload data'!$B:$B,"custody")</f>
        <v>0</v>
      </c>
      <c r="Q150" s="94">
        <f>SUMIFS('caseload data'!R:R,'caseload data'!$D:$D,"SPO",'caseload data'!$A:$A,"East Midlands Region",'caseload data'!$B:$B,"custody")</f>
        <v>0</v>
      </c>
      <c r="R150" s="94">
        <f>SUMIFS('caseload data'!S:S,'caseload data'!$D:$D,"SPO",'caseload data'!$A:$A,"East Midlands Region",'caseload data'!$B:$B,"custody")</f>
        <v>0</v>
      </c>
      <c r="S150" s="94">
        <f>SUMIFS('caseload data'!T:T,'caseload data'!$D:$D,"SPO",'caseload data'!$A:$A,"East Midlands Region",'caseload data'!$B:$B,"custody")</f>
        <v>0</v>
      </c>
      <c r="T150" s="94">
        <f>SUMIFS('caseload data'!V:V,'caseload data'!$D:$D,"SPO",'caseload data'!$A:$A,"East Midlands Region",'caseload data'!$B:$B,"custody")</f>
        <v>0</v>
      </c>
      <c r="U150" s="64"/>
      <c r="V150" s="64"/>
      <c r="W150" s="504"/>
      <c r="X150" s="129" t="s">
        <v>954</v>
      </c>
      <c r="Y150" s="167" t="e">
        <f t="shared" si="85"/>
        <v>#DIV/0!</v>
      </c>
      <c r="Z150" s="167" t="e">
        <f t="shared" si="74"/>
        <v>#DIV/0!</v>
      </c>
      <c r="AA150" s="167" t="e">
        <f t="shared" si="74"/>
        <v>#DIV/0!</v>
      </c>
      <c r="AB150" s="167" t="e">
        <f t="shared" si="74"/>
        <v>#DIV/0!</v>
      </c>
      <c r="AC150" s="167" t="e">
        <f t="shared" si="74"/>
        <v>#DIV/0!</v>
      </c>
      <c r="AD150" s="167" t="e">
        <f t="shared" si="74"/>
        <v>#DIV/0!</v>
      </c>
      <c r="AE150" s="167" t="e">
        <f t="shared" si="75"/>
        <v>#DIV/0!</v>
      </c>
      <c r="AF150" s="167" t="e">
        <f t="shared" si="76"/>
        <v>#DIV/0!</v>
      </c>
      <c r="AG150" s="167" t="e">
        <f t="shared" si="77"/>
        <v>#DIV/0!</v>
      </c>
      <c r="AH150" s="167" t="e">
        <f t="shared" si="78"/>
        <v>#DIV/0!</v>
      </c>
      <c r="AI150" s="167" t="e">
        <f t="shared" si="79"/>
        <v>#DIV/0!</v>
      </c>
      <c r="AJ150" s="167" t="e">
        <f t="shared" si="80"/>
        <v>#DIV/0!</v>
      </c>
      <c r="AK150" s="167" t="e">
        <f t="shared" si="81"/>
        <v>#DIV/0!</v>
      </c>
      <c r="AL150" s="167" t="e">
        <f t="shared" si="82"/>
        <v>#DIV/0!</v>
      </c>
      <c r="AM150" s="167" t="e">
        <f t="shared" si="83"/>
        <v>#DIV/0!</v>
      </c>
      <c r="AN150" s="167" t="e">
        <f t="shared" si="84"/>
        <v>#DIV/0!</v>
      </c>
      <c r="AO150" s="167" t="e">
        <f t="shared" si="84"/>
        <v>#DIV/0!</v>
      </c>
    </row>
    <row r="151" spans="2:41" x14ac:dyDescent="0.15">
      <c r="B151" s="505"/>
      <c r="C151" s="130" t="s">
        <v>1286</v>
      </c>
      <c r="D151" s="94">
        <f>SUMIFS('caseload data'!E:E,'caseload data'!$D:$D,"DMY",'caseload data'!$A:$A,"East Midlands Region",'caseload data'!$B:$B,"custody")</f>
        <v>0</v>
      </c>
      <c r="E151" s="94">
        <f>SUMIFS('caseload data'!F:F,'caseload data'!$D:$D,"DMY",'caseload data'!$A:$A,"East Midlands Region",'caseload data'!$B:$B,"custody")</f>
        <v>0</v>
      </c>
      <c r="F151" s="94">
        <f>SUMIFS('caseload data'!G:G,'caseload data'!$D:$D,"DMY",'caseload data'!$A:$A,"East Midlands Region",'caseload data'!$B:$B,"custody")</f>
        <v>0</v>
      </c>
      <c r="G151" s="94">
        <f>SUMIFS('caseload data'!H:H,'caseload data'!$D:$D,"DMY",'caseload data'!$A:$A,"East Midlands Region",'caseload data'!$B:$B,"custody")</f>
        <v>0</v>
      </c>
      <c r="H151" s="94">
        <f>SUMIFS('caseload data'!I:I,'caseload data'!$D:$D,"DMY",'caseload data'!$A:$A,"East Midlands Region",'caseload data'!$B:$B,"custody")</f>
        <v>0</v>
      </c>
      <c r="I151" s="94">
        <f>SUMIFS('caseload data'!J:J,'caseload data'!$D:$D,"DMY",'caseload data'!$A:$A,"East Midlands Region",'caseload data'!$B:$B,"custody")</f>
        <v>0</v>
      </c>
      <c r="J151" s="94">
        <f>SUMIFS('caseload data'!K:K,'caseload data'!$D:$D,"DMY",'caseload data'!$A:$A,"East Midlands Region",'caseload data'!$B:$B,"custody")</f>
        <v>0</v>
      </c>
      <c r="K151" s="94">
        <f>SUMIFS('caseload data'!L:L,'caseload data'!$D:$D,"DMY",'caseload data'!$A:$A,"East Midlands Region",'caseload data'!$B:$B,"custody")</f>
        <v>0</v>
      </c>
      <c r="L151" s="94">
        <f>SUMIFS('caseload data'!M:M,'caseload data'!$D:$D,"DMY",'caseload data'!$A:$A,"East Midlands Region",'caseload data'!$B:$B,"custody")</f>
        <v>0</v>
      </c>
      <c r="M151" s="94">
        <f>SUMIFS('caseload data'!N:N,'caseload data'!$D:$D,"DMY",'caseload data'!$A:$A,"East Midlands Region",'caseload data'!$B:$B,"custody")</f>
        <v>0</v>
      </c>
      <c r="N151" s="94">
        <f>SUMIFS('caseload data'!O:O,'caseload data'!$D:$D,"DMY",'caseload data'!$A:$A,"East Midlands Region",'caseload data'!$B:$B,"custody")</f>
        <v>0</v>
      </c>
      <c r="O151" s="94">
        <f>SUMIFS('caseload data'!P:P,'caseload data'!$D:$D,"DMY",'caseload data'!$A:$A,"East Midlands Region",'caseload data'!$B:$B,"custody")</f>
        <v>0</v>
      </c>
      <c r="P151" s="94">
        <f>SUMIFS('caseload data'!Q:Q,'caseload data'!$D:$D,"DMY",'caseload data'!$A:$A,"East Midlands Region",'caseload data'!$B:$B,"custody")</f>
        <v>0</v>
      </c>
      <c r="Q151" s="94">
        <f>SUMIFS('caseload data'!R:R,'caseload data'!$D:$D,"DMY",'caseload data'!$A:$A,"East Midlands Region",'caseload data'!$B:$B,"custody")</f>
        <v>0</v>
      </c>
      <c r="R151" s="94">
        <f>SUMIFS('caseload data'!S:S,'caseload data'!$D:$D,"DMY",'caseload data'!$A:$A,"East Midlands Region",'caseload data'!$B:$B,"custody")</f>
        <v>0</v>
      </c>
      <c r="S151" s="94">
        <f>SUMIFS('caseload data'!T:T,'caseload data'!$D:$D,"DMY",'caseload data'!$A:$A,"East Midlands Region",'caseload data'!$B:$B,"custody")</f>
        <v>0</v>
      </c>
      <c r="T151" s="94">
        <f>SUMIFS('caseload data'!V:V,'caseload data'!$D:$D,"DMY",'caseload data'!$A:$A,"East Midlands Region",'caseload data'!$B:$B,"custody")</f>
        <v>0</v>
      </c>
      <c r="U151" s="64"/>
      <c r="V151" s="64"/>
      <c r="W151" s="505"/>
      <c r="X151" s="130" t="s">
        <v>1286</v>
      </c>
      <c r="Y151" s="167" t="e">
        <f t="shared" si="85"/>
        <v>#DIV/0!</v>
      </c>
      <c r="Z151" s="167" t="e">
        <f t="shared" si="74"/>
        <v>#DIV/0!</v>
      </c>
      <c r="AA151" s="167" t="e">
        <f t="shared" si="74"/>
        <v>#DIV/0!</v>
      </c>
      <c r="AB151" s="167" t="e">
        <f t="shared" si="74"/>
        <v>#DIV/0!</v>
      </c>
      <c r="AC151" s="167" t="e">
        <f t="shared" si="74"/>
        <v>#DIV/0!</v>
      </c>
      <c r="AD151" s="167" t="e">
        <f t="shared" si="74"/>
        <v>#DIV/0!</v>
      </c>
      <c r="AE151" s="167" t="e">
        <f t="shared" si="75"/>
        <v>#DIV/0!</v>
      </c>
      <c r="AF151" s="167" t="e">
        <f t="shared" si="76"/>
        <v>#DIV/0!</v>
      </c>
      <c r="AG151" s="167" t="e">
        <f t="shared" si="77"/>
        <v>#DIV/0!</v>
      </c>
      <c r="AH151" s="167" t="e">
        <f t="shared" si="78"/>
        <v>#DIV/0!</v>
      </c>
      <c r="AI151" s="167" t="e">
        <f t="shared" si="79"/>
        <v>#DIV/0!</v>
      </c>
      <c r="AJ151" s="167" t="e">
        <f t="shared" si="80"/>
        <v>#DIV/0!</v>
      </c>
      <c r="AK151" s="167" t="e">
        <f t="shared" si="81"/>
        <v>#DIV/0!</v>
      </c>
      <c r="AL151" s="167" t="e">
        <f t="shared" si="82"/>
        <v>#DIV/0!</v>
      </c>
      <c r="AM151" s="167" t="e">
        <f t="shared" si="83"/>
        <v>#DIV/0!</v>
      </c>
      <c r="AN151" s="167" t="e">
        <f t="shared" si="84"/>
        <v>#DIV/0!</v>
      </c>
      <c r="AO151" s="167" t="e">
        <f t="shared" si="84"/>
        <v>#DIV/0!</v>
      </c>
    </row>
    <row r="152" spans="2:41" x14ac:dyDescent="0.15">
      <c r="B152" s="503" t="s">
        <v>18</v>
      </c>
      <c r="C152" s="128" t="s">
        <v>947</v>
      </c>
      <c r="D152" s="94">
        <f>SUMIFS('caseload data'!E:E,'caseload data'!$D:$D,"PO",'caseload data'!$A:$A,$B$152,'caseload data'!$B:$B,"custody")</f>
        <v>0</v>
      </c>
      <c r="E152" s="94">
        <f>SUMIFS('caseload data'!F:F,'caseload data'!$D:$D,"PO",'caseload data'!$A:$A,$B$152,'caseload data'!$B:$B,"custody")</f>
        <v>0</v>
      </c>
      <c r="F152" s="94">
        <f>SUMIFS('caseload data'!G:G,'caseload data'!$D:$D,"PO",'caseload data'!$A:$A,$B$152,'caseload data'!$B:$B,"custody")</f>
        <v>0</v>
      </c>
      <c r="G152" s="94">
        <f>SUMIFS('caseload data'!H:H,'caseload data'!$D:$D,"PO",'caseload data'!$A:$A,$B$152,'caseload data'!$B:$B,"custody")</f>
        <v>0</v>
      </c>
      <c r="H152" s="94">
        <f>SUMIFS('caseload data'!I:I,'caseload data'!$D:$D,"PO",'caseload data'!$A:$A,$B$152,'caseload data'!$B:$B,"custody")</f>
        <v>0</v>
      </c>
      <c r="I152" s="94">
        <f>SUMIFS('caseload data'!J:J,'caseload data'!$D:$D,"PO",'caseload data'!$A:$A,$B$152,'caseload data'!$B:$B,"custody")</f>
        <v>0</v>
      </c>
      <c r="J152" s="94">
        <f>SUMIFS('caseload data'!K:K,'caseload data'!$D:$D,"PO",'caseload data'!$A:$A,$B$152,'caseload data'!$B:$B,"custody")</f>
        <v>0</v>
      </c>
      <c r="K152" s="94">
        <f>SUMIFS('caseload data'!L:L,'caseload data'!$D:$D,"PO",'caseload data'!$A:$A,$B$152,'caseload data'!$B:$B,"custody")</f>
        <v>0</v>
      </c>
      <c r="L152" s="94">
        <f>SUMIFS('caseload data'!M:M,'caseload data'!$D:$D,"PO",'caseload data'!$A:$A,$B$152,'caseload data'!$B:$B,"custody")</f>
        <v>0</v>
      </c>
      <c r="M152" s="94">
        <f>SUMIFS('caseload data'!N:N,'caseload data'!$D:$D,"PO",'caseload data'!$A:$A,$B$152,'caseload data'!$B:$B,"custody")</f>
        <v>0</v>
      </c>
      <c r="N152" s="94">
        <f>SUMIFS('caseload data'!O:O,'caseload data'!$D:$D,"PO",'caseload data'!$A:$A,$B$152,'caseload data'!$B:$B,"custody")</f>
        <v>0</v>
      </c>
      <c r="O152" s="94">
        <f>SUMIFS('caseload data'!P:P,'caseload data'!$D:$D,"PO",'caseload data'!$A:$A,$B$152,'caseload data'!$B:$B,"custody")</f>
        <v>0</v>
      </c>
      <c r="P152" s="94">
        <f>SUMIFS('caseload data'!Q:Q,'caseload data'!$D:$D,"PO",'caseload data'!$A:$A,$B$152,'caseload data'!$B:$B,"custody")</f>
        <v>0</v>
      </c>
      <c r="Q152" s="94">
        <f>SUMIFS('caseload data'!R:R,'caseload data'!$D:$D,"PO",'caseload data'!$A:$A,$B$152,'caseload data'!$B:$B,"custody")</f>
        <v>0</v>
      </c>
      <c r="R152" s="94">
        <f>SUMIFS('caseload data'!S:S,'caseload data'!$D:$D,"PO",'caseload data'!$A:$A,$B$152,'caseload data'!$B:$B,"custody")</f>
        <v>0</v>
      </c>
      <c r="S152" s="94">
        <f>SUMIFS('caseload data'!T:T,'caseload data'!$D:$D,"PO",'caseload data'!$A:$A,$B$152,'caseload data'!$B:$B,"custody")</f>
        <v>0</v>
      </c>
      <c r="T152" s="94">
        <f>SUMIFS('caseload data'!V:V,'caseload data'!D:D,"PO",'caseload data'!A:A,B152,'caseload data'!B:B,"custody")</f>
        <v>0</v>
      </c>
      <c r="U152" s="64"/>
      <c r="V152" s="64"/>
      <c r="W152" s="503" t="s">
        <v>18</v>
      </c>
      <c r="X152" s="128" t="s">
        <v>947</v>
      </c>
      <c r="Y152" s="167" t="e">
        <f>SUM(D152)/SUM(D$152:D$156)</f>
        <v>#DIV/0!</v>
      </c>
      <c r="Z152" s="167" t="e">
        <f t="shared" ref="Z152:AO156" si="86">SUM(E152)/SUM(E$152:E$156)</f>
        <v>#DIV/0!</v>
      </c>
      <c r="AA152" s="167" t="e">
        <f t="shared" si="86"/>
        <v>#DIV/0!</v>
      </c>
      <c r="AB152" s="167" t="e">
        <f t="shared" si="86"/>
        <v>#DIV/0!</v>
      </c>
      <c r="AC152" s="167" t="e">
        <f t="shared" si="86"/>
        <v>#DIV/0!</v>
      </c>
      <c r="AD152" s="167" t="e">
        <f t="shared" si="86"/>
        <v>#DIV/0!</v>
      </c>
      <c r="AE152" s="167" t="e">
        <f t="shared" si="86"/>
        <v>#DIV/0!</v>
      </c>
      <c r="AF152" s="167" t="e">
        <f t="shared" si="86"/>
        <v>#DIV/0!</v>
      </c>
      <c r="AG152" s="167" t="e">
        <f t="shared" si="86"/>
        <v>#DIV/0!</v>
      </c>
      <c r="AH152" s="167" t="e">
        <f t="shared" si="86"/>
        <v>#DIV/0!</v>
      </c>
      <c r="AI152" s="167" t="e">
        <f t="shared" si="86"/>
        <v>#DIV/0!</v>
      </c>
      <c r="AJ152" s="167" t="e">
        <f t="shared" si="86"/>
        <v>#DIV/0!</v>
      </c>
      <c r="AK152" s="167" t="e">
        <f t="shared" si="86"/>
        <v>#DIV/0!</v>
      </c>
      <c r="AL152" s="167" t="e">
        <f t="shared" si="86"/>
        <v>#DIV/0!</v>
      </c>
      <c r="AM152" s="167" t="e">
        <f t="shared" si="86"/>
        <v>#DIV/0!</v>
      </c>
      <c r="AN152" s="167" t="e">
        <f t="shared" si="86"/>
        <v>#DIV/0!</v>
      </c>
      <c r="AO152" s="167" t="e">
        <f t="shared" si="86"/>
        <v>#DIV/0!</v>
      </c>
    </row>
    <row r="153" spans="2:41" x14ac:dyDescent="0.15">
      <c r="B153" s="504"/>
      <c r="C153" s="129" t="s">
        <v>952</v>
      </c>
      <c r="D153" s="94">
        <f>SUMIFS('caseload data'!E:E,'caseload data'!$D:$D,"PSO",'caseload data'!$A:$A,"East of England",'caseload data'!$B:$B,"custody")</f>
        <v>0</v>
      </c>
      <c r="E153" s="94">
        <f>SUMIFS('caseload data'!F:F,'caseload data'!$D:$D,"PSO",'caseload data'!$A:$A,"East of England",'caseload data'!$B:$B,"custody")</f>
        <v>0</v>
      </c>
      <c r="F153" s="94">
        <f>SUMIFS('caseload data'!G:G,'caseload data'!$D:$D,"PSO",'caseload data'!$A:$A,"East of England",'caseload data'!$B:$B,"custody")</f>
        <v>0</v>
      </c>
      <c r="G153" s="94">
        <f>SUMIFS('caseload data'!H:H,'caseload data'!$D:$D,"PSO",'caseload data'!$A:$A,"East of England",'caseload data'!$B:$B,"custody")</f>
        <v>0</v>
      </c>
      <c r="H153" s="94">
        <f>SUMIFS('caseload data'!I:I,'caseload data'!$D:$D,"PSO",'caseload data'!$A:$A,"East of England",'caseload data'!$B:$B,"custody")</f>
        <v>0</v>
      </c>
      <c r="I153" s="94">
        <f>SUMIFS('caseload data'!J:J,'caseload data'!$D:$D,"PSO",'caseload data'!$A:$A,"East of England",'caseload data'!$B:$B,"custody")</f>
        <v>0</v>
      </c>
      <c r="J153" s="94">
        <f>SUMIFS('caseload data'!K:K,'caseload data'!$D:$D,"PSO",'caseload data'!$A:$A,"East of England",'caseload data'!$B:$B,"custody")</f>
        <v>0</v>
      </c>
      <c r="K153" s="94">
        <f>SUMIFS('caseload data'!L:L,'caseload data'!$D:$D,"PSO",'caseload data'!$A:$A,"East of England",'caseload data'!$B:$B,"custody")</f>
        <v>0</v>
      </c>
      <c r="L153" s="94">
        <f>SUMIFS('caseload data'!M:M,'caseload data'!$D:$D,"PSO",'caseload data'!$A:$A,"East of England",'caseload data'!$B:$B,"custody")</f>
        <v>0</v>
      </c>
      <c r="M153" s="94">
        <f>SUMIFS('caseload data'!N:N,'caseload data'!$D:$D,"PSO",'caseload data'!$A:$A,"East of England",'caseload data'!$B:$B,"custody")</f>
        <v>0</v>
      </c>
      <c r="N153" s="94">
        <f>SUMIFS('caseload data'!O:O,'caseload data'!$D:$D,"PSO",'caseload data'!$A:$A,"East of England",'caseload data'!$B:$B,"custody")</f>
        <v>0</v>
      </c>
      <c r="O153" s="94">
        <f>SUMIFS('caseload data'!P:P,'caseload data'!$D:$D,"PSO",'caseload data'!$A:$A,"East of England",'caseload data'!$B:$B,"custody")</f>
        <v>0</v>
      </c>
      <c r="P153" s="94">
        <f>SUMIFS('caseload data'!Q:Q,'caseload data'!$D:$D,"PSO",'caseload data'!$A:$A,"East of England",'caseload data'!$B:$B,"custody")</f>
        <v>0</v>
      </c>
      <c r="Q153" s="94">
        <f>SUMIFS('caseload data'!R:R,'caseload data'!$D:$D,"PSO",'caseload data'!$A:$A,"East of England",'caseload data'!$B:$B,"custody")</f>
        <v>0</v>
      </c>
      <c r="R153" s="94">
        <f>SUMIFS('caseload data'!S:S,'caseload data'!$D:$D,"PSO",'caseload data'!$A:$A,"East of England",'caseload data'!$B:$B,"custody")</f>
        <v>0</v>
      </c>
      <c r="S153" s="94">
        <f>SUMIFS('caseload data'!T:T,'caseload data'!$D:$D,"PSO",'caseload data'!$A:$A,"East of England",'caseload data'!$B:$B,"custody")</f>
        <v>0</v>
      </c>
      <c r="T153" s="94">
        <f>SUMIFS('caseload data'!V:V,'caseload data'!D:D,"PSO",'caseload data'!A:A,"East of England",'caseload data'!B:B,"custody")</f>
        <v>0</v>
      </c>
      <c r="U153" s="64"/>
      <c r="V153" s="64"/>
      <c r="W153" s="504"/>
      <c r="X153" s="129" t="s">
        <v>952</v>
      </c>
      <c r="Y153" s="167" t="e">
        <f t="shared" ref="Y153:Y156" si="87">SUM(D153)/SUM(D$152:D$156)</f>
        <v>#DIV/0!</v>
      </c>
      <c r="Z153" s="167" t="e">
        <f t="shared" si="86"/>
        <v>#DIV/0!</v>
      </c>
      <c r="AA153" s="167" t="e">
        <f t="shared" si="86"/>
        <v>#DIV/0!</v>
      </c>
      <c r="AB153" s="167" t="e">
        <f t="shared" si="86"/>
        <v>#DIV/0!</v>
      </c>
      <c r="AC153" s="167" t="e">
        <f t="shared" si="86"/>
        <v>#DIV/0!</v>
      </c>
      <c r="AD153" s="167" t="e">
        <f t="shared" si="86"/>
        <v>#DIV/0!</v>
      </c>
      <c r="AE153" s="167" t="e">
        <f t="shared" si="86"/>
        <v>#DIV/0!</v>
      </c>
      <c r="AF153" s="167" t="e">
        <f t="shared" si="86"/>
        <v>#DIV/0!</v>
      </c>
      <c r="AG153" s="167" t="e">
        <f t="shared" si="86"/>
        <v>#DIV/0!</v>
      </c>
      <c r="AH153" s="167" t="e">
        <f t="shared" si="86"/>
        <v>#DIV/0!</v>
      </c>
      <c r="AI153" s="167" t="e">
        <f t="shared" si="86"/>
        <v>#DIV/0!</v>
      </c>
      <c r="AJ153" s="167" t="e">
        <f t="shared" si="86"/>
        <v>#DIV/0!</v>
      </c>
      <c r="AK153" s="167" t="e">
        <f t="shared" si="86"/>
        <v>#DIV/0!</v>
      </c>
      <c r="AL153" s="167" t="e">
        <f t="shared" si="86"/>
        <v>#DIV/0!</v>
      </c>
      <c r="AM153" s="167" t="e">
        <f t="shared" si="86"/>
        <v>#DIV/0!</v>
      </c>
      <c r="AN153" s="167" t="e">
        <f t="shared" si="86"/>
        <v>#DIV/0!</v>
      </c>
      <c r="AO153" s="167" t="e">
        <f t="shared" si="86"/>
        <v>#DIV/0!</v>
      </c>
    </row>
    <row r="154" spans="2:41" x14ac:dyDescent="0.15">
      <c r="B154" s="504"/>
      <c r="C154" s="129" t="s">
        <v>953</v>
      </c>
      <c r="D154" s="94">
        <f>SUMIFS('caseload data'!E:E,'caseload data'!$D:$D,"TPO",'caseload data'!$A:$A,"East of England",'caseload data'!$B:$B,"custody")</f>
        <v>0</v>
      </c>
      <c r="E154" s="94">
        <f>SUMIFS('caseload data'!F:F,'caseload data'!$D:$D,"TPO",'caseload data'!$A:$A,"East of England",'caseload data'!$B:$B,"custody")</f>
        <v>0</v>
      </c>
      <c r="F154" s="94">
        <f>SUMIFS('caseload data'!G:G,'caseload data'!$D:$D,"TPO",'caseload data'!$A:$A,"East of England",'caseload data'!$B:$B,"custody")</f>
        <v>0</v>
      </c>
      <c r="G154" s="94">
        <f>SUMIFS('caseload data'!H:H,'caseload data'!$D:$D,"TPO",'caseload data'!$A:$A,"East of England",'caseload data'!$B:$B,"custody")</f>
        <v>0</v>
      </c>
      <c r="H154" s="94">
        <f>SUMIFS('caseload data'!I:I,'caseload data'!$D:$D,"TPO",'caseload data'!$A:$A,"East of England",'caseload data'!$B:$B,"custody")</f>
        <v>0</v>
      </c>
      <c r="I154" s="94">
        <f>SUMIFS('caseload data'!J:J,'caseload data'!$D:$D,"TPO",'caseload data'!$A:$A,"East of England",'caseload data'!$B:$B,"custody")</f>
        <v>0</v>
      </c>
      <c r="J154" s="94">
        <f>SUMIFS('caseload data'!K:K,'caseload data'!$D:$D,"TPO",'caseload data'!$A:$A,"East of England",'caseload data'!$B:$B,"custody")</f>
        <v>0</v>
      </c>
      <c r="K154" s="94">
        <f>SUMIFS('caseload data'!L:L,'caseload data'!$D:$D,"TPO",'caseload data'!$A:$A,"East of England",'caseload data'!$B:$B,"custody")</f>
        <v>0</v>
      </c>
      <c r="L154" s="94">
        <f>SUMIFS('caseload data'!M:M,'caseload data'!$D:$D,"TPO",'caseload data'!$A:$A,"East of England",'caseload data'!$B:$B,"custody")</f>
        <v>0</v>
      </c>
      <c r="M154" s="94">
        <f>SUMIFS('caseload data'!N:N,'caseload data'!$D:$D,"TPO",'caseload data'!$A:$A,"East of England",'caseload data'!$B:$B,"custody")</f>
        <v>0</v>
      </c>
      <c r="N154" s="94">
        <f>SUMIFS('caseload data'!O:O,'caseload data'!$D:$D,"TPO",'caseload data'!$A:$A,"East of England",'caseload data'!$B:$B,"custody")</f>
        <v>0</v>
      </c>
      <c r="O154" s="94">
        <f>SUMIFS('caseload data'!P:P,'caseload data'!$D:$D,"TPO",'caseload data'!$A:$A,"East of England",'caseload data'!$B:$B,"custody")</f>
        <v>0</v>
      </c>
      <c r="P154" s="94">
        <f>SUMIFS('caseload data'!Q:Q,'caseload data'!$D:$D,"TPO",'caseload data'!$A:$A,"East of England",'caseload data'!$B:$B,"custody")</f>
        <v>0</v>
      </c>
      <c r="Q154" s="94">
        <f>SUMIFS('caseload data'!R:R,'caseload data'!$D:$D,"TPO",'caseload data'!$A:$A,"East of England",'caseload data'!$B:$B,"custody")</f>
        <v>0</v>
      </c>
      <c r="R154" s="94">
        <f>SUMIFS('caseload data'!S:S,'caseload data'!$D:$D,"TPO",'caseload data'!$A:$A,"East of England",'caseload data'!$B:$B,"custody")</f>
        <v>0</v>
      </c>
      <c r="S154" s="94">
        <f>SUMIFS('caseload data'!T:T,'caseload data'!$D:$D,"TPO",'caseload data'!$A:$A,"East of England",'caseload data'!$B:$B,"custody")</f>
        <v>0</v>
      </c>
      <c r="T154" s="94">
        <f>SUMIFS('caseload data'!V:V,'caseload data'!D:D,"TPO",'caseload data'!A:A,"East of England",'caseload data'!B:B,"custody")</f>
        <v>0</v>
      </c>
      <c r="U154" s="64"/>
      <c r="V154" s="64"/>
      <c r="W154" s="504"/>
      <c r="X154" s="129" t="s">
        <v>953</v>
      </c>
      <c r="Y154" s="167" t="e">
        <f t="shared" si="87"/>
        <v>#DIV/0!</v>
      </c>
      <c r="Z154" s="167" t="e">
        <f t="shared" si="86"/>
        <v>#DIV/0!</v>
      </c>
      <c r="AA154" s="167" t="e">
        <f t="shared" si="86"/>
        <v>#DIV/0!</v>
      </c>
      <c r="AB154" s="167" t="e">
        <f t="shared" si="86"/>
        <v>#DIV/0!</v>
      </c>
      <c r="AC154" s="167" t="e">
        <f t="shared" si="86"/>
        <v>#DIV/0!</v>
      </c>
      <c r="AD154" s="167" t="e">
        <f t="shared" si="86"/>
        <v>#DIV/0!</v>
      </c>
      <c r="AE154" s="167" t="e">
        <f t="shared" si="86"/>
        <v>#DIV/0!</v>
      </c>
      <c r="AF154" s="167" t="e">
        <f t="shared" si="86"/>
        <v>#DIV/0!</v>
      </c>
      <c r="AG154" s="167" t="e">
        <f t="shared" si="86"/>
        <v>#DIV/0!</v>
      </c>
      <c r="AH154" s="167" t="e">
        <f t="shared" si="86"/>
        <v>#DIV/0!</v>
      </c>
      <c r="AI154" s="167" t="e">
        <f t="shared" si="86"/>
        <v>#DIV/0!</v>
      </c>
      <c r="AJ154" s="167" t="e">
        <f t="shared" si="86"/>
        <v>#DIV/0!</v>
      </c>
      <c r="AK154" s="167" t="e">
        <f t="shared" si="86"/>
        <v>#DIV/0!</v>
      </c>
      <c r="AL154" s="167" t="e">
        <f t="shared" si="86"/>
        <v>#DIV/0!</v>
      </c>
      <c r="AM154" s="167" t="e">
        <f t="shared" si="86"/>
        <v>#DIV/0!</v>
      </c>
      <c r="AN154" s="167" t="e">
        <f t="shared" si="86"/>
        <v>#DIV/0!</v>
      </c>
      <c r="AO154" s="167" t="e">
        <f t="shared" si="86"/>
        <v>#DIV/0!</v>
      </c>
    </row>
    <row r="155" spans="2:41" x14ac:dyDescent="0.15">
      <c r="B155" s="504"/>
      <c r="C155" s="129" t="s">
        <v>954</v>
      </c>
      <c r="D155" s="94">
        <f>SUMIFS('caseload data'!E:E,'caseload data'!$D:$D,"SPO",'caseload data'!$A:$A,"East of England",'caseload data'!$B:$B,"custody")</f>
        <v>0</v>
      </c>
      <c r="E155" s="94">
        <f>SUMIFS('caseload data'!F:F,'caseload data'!$D:$D,"SPO",'caseload data'!$A:$A,"East of England",'caseload data'!$B:$B,"custody")</f>
        <v>0</v>
      </c>
      <c r="F155" s="94">
        <f>SUMIFS('caseload data'!G:G,'caseload data'!$D:$D,"SPO",'caseload data'!$A:$A,"East of England",'caseload data'!$B:$B,"custody")</f>
        <v>0</v>
      </c>
      <c r="G155" s="94">
        <f>SUMIFS('caseload data'!H:H,'caseload data'!$D:$D,"SPO",'caseload data'!$A:$A,"East of England",'caseload data'!$B:$B,"custody")</f>
        <v>0</v>
      </c>
      <c r="H155" s="94">
        <f>SUMIFS('caseload data'!I:I,'caseload data'!$D:$D,"SPO",'caseload data'!$A:$A,"East of England",'caseload data'!$B:$B,"custody")</f>
        <v>0</v>
      </c>
      <c r="I155" s="94">
        <f>SUMIFS('caseload data'!J:J,'caseload data'!$D:$D,"SPO",'caseload data'!$A:$A,"East of England",'caseload data'!$B:$B,"custody")</f>
        <v>0</v>
      </c>
      <c r="J155" s="94">
        <f>SUMIFS('caseload data'!K:K,'caseload data'!$D:$D,"SPO",'caseload data'!$A:$A,"East of England",'caseload data'!$B:$B,"custody")</f>
        <v>0</v>
      </c>
      <c r="K155" s="94">
        <f>SUMIFS('caseload data'!L:L,'caseload data'!$D:$D,"SPO",'caseload data'!$A:$A,"East of England",'caseload data'!$B:$B,"custody")</f>
        <v>0</v>
      </c>
      <c r="L155" s="94">
        <f>SUMIFS('caseload data'!M:M,'caseload data'!$D:$D,"SPO",'caseload data'!$A:$A,"East of England",'caseload data'!$B:$B,"custody")</f>
        <v>0</v>
      </c>
      <c r="M155" s="94">
        <f>SUMIFS('caseload data'!N:N,'caseload data'!$D:$D,"SPO",'caseload data'!$A:$A,"East of England",'caseload data'!$B:$B,"custody")</f>
        <v>0</v>
      </c>
      <c r="N155" s="94">
        <f>SUMIFS('caseload data'!O:O,'caseload data'!$D:$D,"SPO",'caseload data'!$A:$A,"East of England",'caseload data'!$B:$B,"custody")</f>
        <v>0</v>
      </c>
      <c r="O155" s="94">
        <f>SUMIFS('caseload data'!P:P,'caseload data'!$D:$D,"SPO",'caseload data'!$A:$A,"East of England",'caseload data'!$B:$B,"custody")</f>
        <v>0</v>
      </c>
      <c r="P155" s="94">
        <f>SUMIFS('caseload data'!Q:Q,'caseload data'!$D:$D,"SPO",'caseload data'!$A:$A,"East of England",'caseload data'!$B:$B,"custody")</f>
        <v>0</v>
      </c>
      <c r="Q155" s="94">
        <f>SUMIFS('caseload data'!R:R,'caseload data'!$D:$D,"SPO",'caseload data'!$A:$A,"East of England",'caseload data'!$B:$B,"custody")</f>
        <v>0</v>
      </c>
      <c r="R155" s="94">
        <f>SUMIFS('caseload data'!S:S,'caseload data'!$D:$D,"SPO",'caseload data'!$A:$A,"East of England",'caseload data'!$B:$B,"custody")</f>
        <v>0</v>
      </c>
      <c r="S155" s="94">
        <f>SUMIFS('caseload data'!T:T,'caseload data'!$D:$D,"SPO",'caseload data'!$A:$A,"East of England",'caseload data'!$B:$B,"custody")</f>
        <v>0</v>
      </c>
      <c r="T155" s="94">
        <f>SUMIFS('caseload data'!V:V,'caseload data'!$D:$D,"SPO",'caseload data'!$A:$A,"East of England",'caseload data'!$B:$B,"custody")</f>
        <v>0</v>
      </c>
      <c r="U155" s="64"/>
      <c r="V155" s="64"/>
      <c r="W155" s="504"/>
      <c r="X155" s="129" t="s">
        <v>954</v>
      </c>
      <c r="Y155" s="167" t="e">
        <f t="shared" si="87"/>
        <v>#DIV/0!</v>
      </c>
      <c r="Z155" s="167" t="e">
        <f t="shared" si="86"/>
        <v>#DIV/0!</v>
      </c>
      <c r="AA155" s="167" t="e">
        <f t="shared" si="86"/>
        <v>#DIV/0!</v>
      </c>
      <c r="AB155" s="167" t="e">
        <f t="shared" si="86"/>
        <v>#DIV/0!</v>
      </c>
      <c r="AC155" s="167" t="e">
        <f t="shared" si="86"/>
        <v>#DIV/0!</v>
      </c>
      <c r="AD155" s="167" t="e">
        <f t="shared" si="86"/>
        <v>#DIV/0!</v>
      </c>
      <c r="AE155" s="167" t="e">
        <f t="shared" si="86"/>
        <v>#DIV/0!</v>
      </c>
      <c r="AF155" s="167" t="e">
        <f t="shared" si="86"/>
        <v>#DIV/0!</v>
      </c>
      <c r="AG155" s="167" t="e">
        <f t="shared" si="86"/>
        <v>#DIV/0!</v>
      </c>
      <c r="AH155" s="167" t="e">
        <f t="shared" si="86"/>
        <v>#DIV/0!</v>
      </c>
      <c r="AI155" s="167" t="e">
        <f t="shared" si="86"/>
        <v>#DIV/0!</v>
      </c>
      <c r="AJ155" s="167" t="e">
        <f t="shared" si="86"/>
        <v>#DIV/0!</v>
      </c>
      <c r="AK155" s="167" t="e">
        <f t="shared" si="86"/>
        <v>#DIV/0!</v>
      </c>
      <c r="AL155" s="167" t="e">
        <f t="shared" si="86"/>
        <v>#DIV/0!</v>
      </c>
      <c r="AM155" s="167" t="e">
        <f t="shared" si="86"/>
        <v>#DIV/0!</v>
      </c>
      <c r="AN155" s="167" t="e">
        <f t="shared" si="86"/>
        <v>#DIV/0!</v>
      </c>
      <c r="AO155" s="167" t="e">
        <f t="shared" si="86"/>
        <v>#DIV/0!</v>
      </c>
    </row>
    <row r="156" spans="2:41" x14ac:dyDescent="0.15">
      <c r="B156" s="505"/>
      <c r="C156" s="130" t="s">
        <v>1286</v>
      </c>
      <c r="D156" s="94">
        <f>SUMIFS('caseload data'!E:E,'caseload data'!$D:$D,"DMY",'caseload data'!$A:$A,"East of England",'caseload data'!$B:$B,"custody")</f>
        <v>0</v>
      </c>
      <c r="E156" s="94">
        <f>SUMIFS('caseload data'!F:F,'caseload data'!$D:$D,"DMY",'caseload data'!$A:$A,"East of England",'caseload data'!$B:$B,"custody")</f>
        <v>0</v>
      </c>
      <c r="F156" s="94">
        <f>SUMIFS('caseload data'!G:G,'caseload data'!$D:$D,"DMY",'caseload data'!$A:$A,"East of England",'caseload data'!$B:$B,"custody")</f>
        <v>0</v>
      </c>
      <c r="G156" s="94">
        <f>SUMIFS('caseload data'!H:H,'caseload data'!$D:$D,"DMY",'caseload data'!$A:$A,"East of England",'caseload data'!$B:$B,"custody")</f>
        <v>0</v>
      </c>
      <c r="H156" s="94">
        <f>SUMIFS('caseload data'!I:I,'caseload data'!$D:$D,"DMY",'caseload data'!$A:$A,"East of England",'caseload data'!$B:$B,"custody")</f>
        <v>0</v>
      </c>
      <c r="I156" s="94">
        <f>SUMIFS('caseload data'!J:J,'caseload data'!$D:$D,"DMY",'caseload data'!$A:$A,"East of England",'caseload data'!$B:$B,"custody")</f>
        <v>0</v>
      </c>
      <c r="J156" s="94">
        <f>SUMIFS('caseload data'!K:K,'caseload data'!$D:$D,"DMY",'caseload data'!$A:$A,"East of England",'caseload data'!$B:$B,"custody")</f>
        <v>0</v>
      </c>
      <c r="K156" s="94">
        <f>SUMIFS('caseload data'!L:L,'caseload data'!$D:$D,"DMY",'caseload data'!$A:$A,"East of England",'caseload data'!$B:$B,"custody")</f>
        <v>0</v>
      </c>
      <c r="L156" s="94">
        <f>SUMIFS('caseload data'!M:M,'caseload data'!$D:$D,"DMY",'caseload data'!$A:$A,"East of England",'caseload data'!$B:$B,"custody")</f>
        <v>0</v>
      </c>
      <c r="M156" s="94">
        <f>SUMIFS('caseload data'!N:N,'caseload data'!$D:$D,"DMY",'caseload data'!$A:$A,"East of England",'caseload data'!$B:$B,"custody")</f>
        <v>0</v>
      </c>
      <c r="N156" s="94">
        <f>SUMIFS('caseload data'!O:O,'caseload data'!$D:$D,"DMY",'caseload data'!$A:$A,"East of England",'caseload data'!$B:$B,"custody")</f>
        <v>0</v>
      </c>
      <c r="O156" s="94">
        <f>SUMIFS('caseload data'!P:P,'caseload data'!$D:$D,"DMY",'caseload data'!$A:$A,"East of England",'caseload data'!$B:$B,"custody")</f>
        <v>0</v>
      </c>
      <c r="P156" s="94">
        <f>SUMIFS('caseload data'!Q:Q,'caseload data'!$D:$D,"DMY",'caseload data'!$A:$A,"East of England",'caseload data'!$B:$B,"custody")</f>
        <v>0</v>
      </c>
      <c r="Q156" s="94">
        <f>SUMIFS('caseload data'!R:R,'caseload data'!$D:$D,"DMY",'caseload data'!$A:$A,"East of England",'caseload data'!$B:$B,"custody")</f>
        <v>0</v>
      </c>
      <c r="R156" s="94">
        <f>SUMIFS('caseload data'!S:S,'caseload data'!$D:$D,"DMY",'caseload data'!$A:$A,"East of England",'caseload data'!$B:$B,"custody")</f>
        <v>0</v>
      </c>
      <c r="S156" s="94">
        <f>SUMIFS('caseload data'!T:T,'caseload data'!$D:$D,"DMY",'caseload data'!$A:$A,"East of England",'caseload data'!$B:$B,"custody")</f>
        <v>0</v>
      </c>
      <c r="T156" s="94">
        <f>SUMIFS('caseload data'!V:V,'caseload data'!$D:$D,"DMY",'caseload data'!$A:$A,"East of England",'caseload data'!$B:$B,"custody")</f>
        <v>0</v>
      </c>
      <c r="U156" s="64"/>
      <c r="V156" s="64"/>
      <c r="W156" s="505"/>
      <c r="X156" s="130" t="s">
        <v>1286</v>
      </c>
      <c r="Y156" s="167" t="e">
        <f t="shared" si="87"/>
        <v>#DIV/0!</v>
      </c>
      <c r="Z156" s="167" t="e">
        <f t="shared" si="86"/>
        <v>#DIV/0!</v>
      </c>
      <c r="AA156" s="167" t="e">
        <f t="shared" si="86"/>
        <v>#DIV/0!</v>
      </c>
      <c r="AB156" s="167" t="e">
        <f t="shared" si="86"/>
        <v>#DIV/0!</v>
      </c>
      <c r="AC156" s="167" t="e">
        <f t="shared" si="86"/>
        <v>#DIV/0!</v>
      </c>
      <c r="AD156" s="167" t="e">
        <f t="shared" si="86"/>
        <v>#DIV/0!</v>
      </c>
      <c r="AE156" s="167" t="e">
        <f t="shared" si="86"/>
        <v>#DIV/0!</v>
      </c>
      <c r="AF156" s="167" t="e">
        <f t="shared" si="86"/>
        <v>#DIV/0!</v>
      </c>
      <c r="AG156" s="167" t="e">
        <f t="shared" si="86"/>
        <v>#DIV/0!</v>
      </c>
      <c r="AH156" s="167" t="e">
        <f t="shared" si="86"/>
        <v>#DIV/0!</v>
      </c>
      <c r="AI156" s="167" t="e">
        <f t="shared" si="86"/>
        <v>#DIV/0!</v>
      </c>
      <c r="AJ156" s="167" t="e">
        <f t="shared" si="86"/>
        <v>#DIV/0!</v>
      </c>
      <c r="AK156" s="167" t="e">
        <f t="shared" si="86"/>
        <v>#DIV/0!</v>
      </c>
      <c r="AL156" s="167" t="e">
        <f t="shared" si="86"/>
        <v>#DIV/0!</v>
      </c>
      <c r="AM156" s="167" t="e">
        <f t="shared" si="86"/>
        <v>#DIV/0!</v>
      </c>
      <c r="AN156" s="167" t="e">
        <f t="shared" si="86"/>
        <v>#DIV/0!</v>
      </c>
      <c r="AO156" s="167" t="e">
        <f t="shared" si="86"/>
        <v>#DIV/0!</v>
      </c>
    </row>
    <row r="157" spans="2:41" x14ac:dyDescent="0.15">
      <c r="B157" s="503" t="s">
        <v>19</v>
      </c>
      <c r="C157" s="128" t="s">
        <v>947</v>
      </c>
      <c r="D157" s="94">
        <f>SUMIFS('caseload data'!E:E,'caseload data'!$D:$D,"PO",'caseload data'!$A:$A,"Greater Manchester",'caseload data'!$B:$B,"custody")</f>
        <v>0</v>
      </c>
      <c r="E157" s="94">
        <f>SUMIFS('caseload data'!F:F,'caseload data'!$D:$D,"PO",'caseload data'!$A:$A,"Greater Manchester",'caseload data'!$B:$B,"custody")</f>
        <v>0</v>
      </c>
      <c r="F157" s="94">
        <f>SUMIFS('caseload data'!G:G,'caseload data'!$D:$D,"PO",'caseload data'!$A:$A,"Greater Manchester",'caseload data'!$B:$B,"custody")</f>
        <v>0</v>
      </c>
      <c r="G157" s="94">
        <f>SUMIFS('caseload data'!H:H,'caseload data'!$D:$D,"PO",'caseload data'!$A:$A,"Greater Manchester",'caseload data'!$B:$B,"custody")</f>
        <v>0</v>
      </c>
      <c r="H157" s="94">
        <f>SUMIFS('caseload data'!I:I,'caseload data'!$D:$D,"PO",'caseload data'!$A:$A,"Greater Manchester",'caseload data'!$B:$B,"custody")</f>
        <v>0</v>
      </c>
      <c r="I157" s="94">
        <f>SUMIFS('caseload data'!J:J,'caseload data'!$D:$D,"PO",'caseload data'!$A:$A,"Greater Manchester",'caseload data'!$B:$B,"custody")</f>
        <v>0</v>
      </c>
      <c r="J157" s="94">
        <f>SUMIFS('caseload data'!K:K,'caseload data'!$D:$D,"PO",'caseload data'!$A:$A,"Greater Manchester",'caseload data'!$B:$B,"custody")</f>
        <v>0</v>
      </c>
      <c r="K157" s="94">
        <f>SUMIFS('caseload data'!L:L,'caseload data'!$D:$D,"PO",'caseload data'!$A:$A,"Greater Manchester",'caseload data'!$B:$B,"custody")</f>
        <v>0</v>
      </c>
      <c r="L157" s="94">
        <f>SUMIFS('caseload data'!M:M,'caseload data'!$D:$D,"PO",'caseload data'!$A:$A,"Greater Manchester",'caseload data'!$B:$B,"custody")</f>
        <v>0</v>
      </c>
      <c r="M157" s="94">
        <f>SUMIFS('caseload data'!N:N,'caseload data'!$D:$D,"PO",'caseload data'!$A:$A,"Greater Manchester",'caseload data'!$B:$B,"custody")</f>
        <v>0</v>
      </c>
      <c r="N157" s="94">
        <f>SUMIFS('caseload data'!O:O,'caseload data'!$D:$D,"PO",'caseload data'!$A:$A,"Greater Manchester",'caseload data'!$B:$B,"custody")</f>
        <v>0</v>
      </c>
      <c r="O157" s="94">
        <f>SUMIFS('caseload data'!P:P,'caseload data'!$D:$D,"PO",'caseload data'!$A:$A,"Greater Manchester",'caseload data'!$B:$B,"custody")</f>
        <v>0</v>
      </c>
      <c r="P157" s="94">
        <f>SUMIFS('caseload data'!Q:Q,'caseload data'!$D:$D,"PO",'caseload data'!$A:$A,"Greater Manchester",'caseload data'!$B:$B,"custody")</f>
        <v>0</v>
      </c>
      <c r="Q157" s="94">
        <f>SUMIFS('caseload data'!R:R,'caseload data'!$D:$D,"PO",'caseload data'!$A:$A,"Greater Manchester",'caseload data'!$B:$B,"custody")</f>
        <v>0</v>
      </c>
      <c r="R157" s="94">
        <f>SUMIFS('caseload data'!S:S,'caseload data'!$D:$D,"PO",'caseload data'!$A:$A,"Greater Manchester",'caseload data'!$B:$B,"custody")</f>
        <v>0</v>
      </c>
      <c r="S157" s="94">
        <f>SUMIFS('caseload data'!T:T,'caseload data'!$D:$D,"PO",'caseload data'!$A:$A,"Greater Manchester",'caseload data'!$B:$B,"custody")</f>
        <v>0</v>
      </c>
      <c r="T157" s="94">
        <f>SUMIFS('caseload data'!V:V,'caseload data'!D:D,"PO",'caseload data'!A:A,"Greater Manchester",'caseload data'!B:B,"custody")</f>
        <v>0</v>
      </c>
      <c r="U157" s="64"/>
      <c r="V157" s="64"/>
      <c r="W157" s="503" t="s">
        <v>19</v>
      </c>
      <c r="X157" s="128" t="s">
        <v>947</v>
      </c>
      <c r="Y157" s="167" t="e">
        <f>SUM(D157)/SUM(D$157:D$161)</f>
        <v>#DIV/0!</v>
      </c>
      <c r="Z157" s="167" t="e">
        <f t="shared" ref="Z157:AO161" si="88">SUM(E157)/SUM(E$157:E$161)</f>
        <v>#DIV/0!</v>
      </c>
      <c r="AA157" s="167" t="e">
        <f t="shared" si="88"/>
        <v>#DIV/0!</v>
      </c>
      <c r="AB157" s="167" t="e">
        <f t="shared" si="88"/>
        <v>#DIV/0!</v>
      </c>
      <c r="AC157" s="167" t="e">
        <f t="shared" si="88"/>
        <v>#DIV/0!</v>
      </c>
      <c r="AD157" s="167" t="e">
        <f t="shared" si="88"/>
        <v>#DIV/0!</v>
      </c>
      <c r="AE157" s="167" t="e">
        <f t="shared" si="88"/>
        <v>#DIV/0!</v>
      </c>
      <c r="AF157" s="167" t="e">
        <f t="shared" si="88"/>
        <v>#DIV/0!</v>
      </c>
      <c r="AG157" s="167" t="e">
        <f t="shared" si="88"/>
        <v>#DIV/0!</v>
      </c>
      <c r="AH157" s="167" t="e">
        <f t="shared" si="88"/>
        <v>#DIV/0!</v>
      </c>
      <c r="AI157" s="167" t="e">
        <f t="shared" si="88"/>
        <v>#DIV/0!</v>
      </c>
      <c r="AJ157" s="167" t="e">
        <f t="shared" si="88"/>
        <v>#DIV/0!</v>
      </c>
      <c r="AK157" s="167" t="e">
        <f t="shared" si="88"/>
        <v>#DIV/0!</v>
      </c>
      <c r="AL157" s="167" t="e">
        <f t="shared" si="88"/>
        <v>#DIV/0!</v>
      </c>
      <c r="AM157" s="167" t="e">
        <f t="shared" si="88"/>
        <v>#DIV/0!</v>
      </c>
      <c r="AN157" s="167" t="e">
        <f t="shared" si="88"/>
        <v>#DIV/0!</v>
      </c>
      <c r="AO157" s="167" t="e">
        <f t="shared" si="88"/>
        <v>#DIV/0!</v>
      </c>
    </row>
    <row r="158" spans="2:41" x14ac:dyDescent="0.15">
      <c r="B158" s="504"/>
      <c r="C158" s="129" t="s">
        <v>952</v>
      </c>
      <c r="D158" s="94">
        <f>SUMIFS('caseload data'!E:E,'caseload data'!$D:$D,"PSO",'caseload data'!$A:$A,"Greater Manchester",'caseload data'!$B:$B,"custody")</f>
        <v>0</v>
      </c>
      <c r="E158" s="94">
        <f>SUMIFS('caseload data'!F:F,'caseload data'!$D:$D,"PSO",'caseload data'!$A:$A,"Greater Manchester",'caseload data'!$B:$B,"custody")</f>
        <v>0</v>
      </c>
      <c r="F158" s="94">
        <f>SUMIFS('caseload data'!G:G,'caseload data'!$D:$D,"PSO",'caseload data'!$A:$A,"Greater Manchester",'caseload data'!$B:$B,"custody")</f>
        <v>0</v>
      </c>
      <c r="G158" s="94">
        <f>SUMIFS('caseload data'!H:H,'caseload data'!$D:$D,"PSO",'caseload data'!$A:$A,"Greater Manchester",'caseload data'!$B:$B,"custody")</f>
        <v>0</v>
      </c>
      <c r="H158" s="94">
        <f>SUMIFS('caseload data'!I:I,'caseload data'!$D:$D,"PSO",'caseload data'!$A:$A,"Greater Manchester",'caseload data'!$B:$B,"custody")</f>
        <v>0</v>
      </c>
      <c r="I158" s="94">
        <f>SUMIFS('caseload data'!J:J,'caseload data'!$D:$D,"PSO",'caseload data'!$A:$A,"Greater Manchester",'caseload data'!$B:$B,"custody")</f>
        <v>0</v>
      </c>
      <c r="J158" s="94">
        <f>SUMIFS('caseload data'!K:K,'caseload data'!$D:$D,"PSO",'caseload data'!$A:$A,"Greater Manchester",'caseload data'!$B:$B,"custody")</f>
        <v>0</v>
      </c>
      <c r="K158" s="94">
        <f>SUMIFS('caseload data'!L:L,'caseload data'!$D:$D,"PSO",'caseload data'!$A:$A,"Greater Manchester",'caseload data'!$B:$B,"custody")</f>
        <v>0</v>
      </c>
      <c r="L158" s="94">
        <f>SUMIFS('caseload data'!M:M,'caseload data'!$D:$D,"PSO",'caseload data'!$A:$A,"Greater Manchester",'caseload data'!$B:$B,"custody")</f>
        <v>0</v>
      </c>
      <c r="M158" s="94">
        <f>SUMIFS('caseload data'!N:N,'caseload data'!$D:$D,"PSO",'caseload data'!$A:$A,"Greater Manchester",'caseload data'!$B:$B,"custody")</f>
        <v>0</v>
      </c>
      <c r="N158" s="94">
        <f>SUMIFS('caseload data'!O:O,'caseload data'!$D:$D,"PSO",'caseload data'!$A:$A,"Greater Manchester",'caseload data'!$B:$B,"custody")</f>
        <v>0</v>
      </c>
      <c r="O158" s="94">
        <f>SUMIFS('caseload data'!P:P,'caseload data'!$D:$D,"PSO",'caseload data'!$A:$A,"Greater Manchester",'caseload data'!$B:$B,"custody")</f>
        <v>0</v>
      </c>
      <c r="P158" s="94">
        <f>SUMIFS('caseload data'!Q:Q,'caseload data'!$D:$D,"PSO",'caseload data'!$A:$A,"Greater Manchester",'caseload data'!$B:$B,"custody")</f>
        <v>0</v>
      </c>
      <c r="Q158" s="94">
        <f>SUMIFS('caseload data'!R:R,'caseload data'!$D:$D,"PSO",'caseload data'!$A:$A,"Greater Manchester",'caseload data'!$B:$B,"custody")</f>
        <v>0</v>
      </c>
      <c r="R158" s="94">
        <f>SUMIFS('caseload data'!S:S,'caseload data'!$D:$D,"PSO",'caseload data'!$A:$A,"Greater Manchester",'caseload data'!$B:$B,"custody")</f>
        <v>0</v>
      </c>
      <c r="S158" s="94">
        <f>SUMIFS('caseload data'!T:T,'caseload data'!$D:$D,"PSO",'caseload data'!$A:$A,"Greater Manchester",'caseload data'!$B:$B,"custody")</f>
        <v>0</v>
      </c>
      <c r="T158" s="94">
        <f>SUMIFS('caseload data'!V:V,'caseload data'!D:D,"PSO",'caseload data'!A:A,"Greater Manchester",'caseload data'!B:B,"custody")</f>
        <v>0</v>
      </c>
      <c r="U158" s="64"/>
      <c r="V158" s="64"/>
      <c r="W158" s="504"/>
      <c r="X158" s="129" t="s">
        <v>952</v>
      </c>
      <c r="Y158" s="167" t="e">
        <f t="shared" ref="Y158:Y161" si="89">SUM(D158)/SUM(D$157:D$161)</f>
        <v>#DIV/0!</v>
      </c>
      <c r="Z158" s="167" t="e">
        <f t="shared" si="88"/>
        <v>#DIV/0!</v>
      </c>
      <c r="AA158" s="167" t="e">
        <f t="shared" si="88"/>
        <v>#DIV/0!</v>
      </c>
      <c r="AB158" s="167" t="e">
        <f t="shared" si="88"/>
        <v>#DIV/0!</v>
      </c>
      <c r="AC158" s="167" t="e">
        <f t="shared" si="88"/>
        <v>#DIV/0!</v>
      </c>
      <c r="AD158" s="167" t="e">
        <f t="shared" si="88"/>
        <v>#DIV/0!</v>
      </c>
      <c r="AE158" s="167" t="e">
        <f t="shared" si="88"/>
        <v>#DIV/0!</v>
      </c>
      <c r="AF158" s="167" t="e">
        <f t="shared" si="88"/>
        <v>#DIV/0!</v>
      </c>
      <c r="AG158" s="167" t="e">
        <f t="shared" si="88"/>
        <v>#DIV/0!</v>
      </c>
      <c r="AH158" s="167" t="e">
        <f t="shared" si="88"/>
        <v>#DIV/0!</v>
      </c>
      <c r="AI158" s="167" t="e">
        <f t="shared" si="88"/>
        <v>#DIV/0!</v>
      </c>
      <c r="AJ158" s="167" t="e">
        <f t="shared" si="88"/>
        <v>#DIV/0!</v>
      </c>
      <c r="AK158" s="167" t="e">
        <f t="shared" si="88"/>
        <v>#DIV/0!</v>
      </c>
      <c r="AL158" s="167" t="e">
        <f t="shared" si="88"/>
        <v>#DIV/0!</v>
      </c>
      <c r="AM158" s="167" t="e">
        <f t="shared" si="88"/>
        <v>#DIV/0!</v>
      </c>
      <c r="AN158" s="167" t="e">
        <f t="shared" si="88"/>
        <v>#DIV/0!</v>
      </c>
      <c r="AO158" s="167" t="e">
        <f t="shared" si="88"/>
        <v>#DIV/0!</v>
      </c>
    </row>
    <row r="159" spans="2:41" x14ac:dyDescent="0.15">
      <c r="B159" s="504"/>
      <c r="C159" s="129" t="s">
        <v>953</v>
      </c>
      <c r="D159" s="94">
        <f>SUMIFS('caseload data'!E:E,'caseload data'!$D:$D,"TPO",'caseload data'!$A:$A,"Greater Manchester",'caseload data'!$B:$B,"custody")</f>
        <v>0</v>
      </c>
      <c r="E159" s="94">
        <f>SUMIFS('caseload data'!F:F,'caseload data'!$D:$D,"TPO",'caseload data'!$A:$A,"Greater Manchester",'caseload data'!$B:$B,"custody")</f>
        <v>0</v>
      </c>
      <c r="F159" s="94">
        <f>SUMIFS('caseload data'!G:G,'caseload data'!$D:$D,"TPO",'caseload data'!$A:$A,"Greater Manchester",'caseload data'!$B:$B,"custody")</f>
        <v>0</v>
      </c>
      <c r="G159" s="94">
        <f>SUMIFS('caseload data'!H:H,'caseload data'!$D:$D,"TPO",'caseload data'!$A:$A,"Greater Manchester",'caseload data'!$B:$B,"custody")</f>
        <v>0</v>
      </c>
      <c r="H159" s="94">
        <f>SUMIFS('caseload data'!I:I,'caseload data'!$D:$D,"TPO",'caseload data'!$A:$A,"Greater Manchester",'caseload data'!$B:$B,"custody")</f>
        <v>0</v>
      </c>
      <c r="I159" s="94">
        <f>SUMIFS('caseload data'!J:J,'caseload data'!$D:$D,"TPO",'caseload data'!$A:$A,"Greater Manchester",'caseload data'!$B:$B,"custody")</f>
        <v>0</v>
      </c>
      <c r="J159" s="94">
        <f>SUMIFS('caseload data'!K:K,'caseload data'!$D:$D,"TPO",'caseload data'!$A:$A,"Greater Manchester",'caseload data'!$B:$B,"custody")</f>
        <v>0</v>
      </c>
      <c r="K159" s="94">
        <f>SUMIFS('caseload data'!L:L,'caseload data'!$D:$D,"TPO",'caseload data'!$A:$A,"Greater Manchester",'caseload data'!$B:$B,"custody")</f>
        <v>0</v>
      </c>
      <c r="L159" s="94">
        <f>SUMIFS('caseload data'!M:M,'caseload data'!$D:$D,"TPO",'caseload data'!$A:$A,"Greater Manchester",'caseload data'!$B:$B,"custody")</f>
        <v>0</v>
      </c>
      <c r="M159" s="94">
        <f>SUMIFS('caseload data'!N:N,'caseload data'!$D:$D,"TPO",'caseload data'!$A:$A,"Greater Manchester",'caseload data'!$B:$B,"custody")</f>
        <v>0</v>
      </c>
      <c r="N159" s="94">
        <f>SUMIFS('caseload data'!O:O,'caseload data'!$D:$D,"TPO",'caseload data'!$A:$A,"Greater Manchester",'caseload data'!$B:$B,"custody")</f>
        <v>0</v>
      </c>
      <c r="O159" s="94">
        <f>SUMIFS('caseload data'!P:P,'caseload data'!$D:$D,"TPO",'caseload data'!$A:$A,"Greater Manchester",'caseload data'!$B:$B,"custody")</f>
        <v>0</v>
      </c>
      <c r="P159" s="94">
        <f>SUMIFS('caseload data'!Q:Q,'caseload data'!$D:$D,"TPO",'caseload data'!$A:$A,"Greater Manchester",'caseload data'!$B:$B,"custody")</f>
        <v>0</v>
      </c>
      <c r="Q159" s="94">
        <f>SUMIFS('caseload data'!R:R,'caseload data'!$D:$D,"TPO",'caseload data'!$A:$A,"Greater Manchester",'caseload data'!$B:$B,"custody")</f>
        <v>0</v>
      </c>
      <c r="R159" s="94">
        <f>SUMIFS('caseload data'!S:S,'caseload data'!$D:$D,"TPO",'caseload data'!$A:$A,"Greater Manchester",'caseload data'!$B:$B,"custody")</f>
        <v>0</v>
      </c>
      <c r="S159" s="94">
        <f>SUMIFS('caseload data'!T:T,'caseload data'!$D:$D,"TPO",'caseload data'!$A:$A,"Greater Manchester",'caseload data'!$B:$B,"custody")</f>
        <v>0</v>
      </c>
      <c r="T159" s="94">
        <f>SUMIFS('caseload data'!V:V,'caseload data'!D:D,"TPO",'caseload data'!A:A,"Greater Manchester",'caseload data'!B:B,"custody")</f>
        <v>0</v>
      </c>
      <c r="U159" s="64"/>
      <c r="V159" s="64"/>
      <c r="W159" s="504"/>
      <c r="X159" s="129" t="s">
        <v>953</v>
      </c>
      <c r="Y159" s="167" t="e">
        <f t="shared" si="89"/>
        <v>#DIV/0!</v>
      </c>
      <c r="Z159" s="167" t="e">
        <f t="shared" si="88"/>
        <v>#DIV/0!</v>
      </c>
      <c r="AA159" s="167" t="e">
        <f t="shared" si="88"/>
        <v>#DIV/0!</v>
      </c>
      <c r="AB159" s="167" t="e">
        <f t="shared" si="88"/>
        <v>#DIV/0!</v>
      </c>
      <c r="AC159" s="167" t="e">
        <f t="shared" si="88"/>
        <v>#DIV/0!</v>
      </c>
      <c r="AD159" s="167" t="e">
        <f t="shared" si="88"/>
        <v>#DIV/0!</v>
      </c>
      <c r="AE159" s="167" t="e">
        <f t="shared" si="88"/>
        <v>#DIV/0!</v>
      </c>
      <c r="AF159" s="167" t="e">
        <f t="shared" si="88"/>
        <v>#DIV/0!</v>
      </c>
      <c r="AG159" s="167" t="e">
        <f t="shared" si="88"/>
        <v>#DIV/0!</v>
      </c>
      <c r="AH159" s="167" t="e">
        <f t="shared" si="88"/>
        <v>#DIV/0!</v>
      </c>
      <c r="AI159" s="167" t="e">
        <f t="shared" si="88"/>
        <v>#DIV/0!</v>
      </c>
      <c r="AJ159" s="167" t="e">
        <f t="shared" si="88"/>
        <v>#DIV/0!</v>
      </c>
      <c r="AK159" s="167" t="e">
        <f t="shared" si="88"/>
        <v>#DIV/0!</v>
      </c>
      <c r="AL159" s="167" t="e">
        <f t="shared" si="88"/>
        <v>#DIV/0!</v>
      </c>
      <c r="AM159" s="167" t="e">
        <f t="shared" si="88"/>
        <v>#DIV/0!</v>
      </c>
      <c r="AN159" s="167" t="e">
        <f t="shared" si="88"/>
        <v>#DIV/0!</v>
      </c>
      <c r="AO159" s="167" t="e">
        <f t="shared" si="88"/>
        <v>#DIV/0!</v>
      </c>
    </row>
    <row r="160" spans="2:41" x14ac:dyDescent="0.15">
      <c r="B160" s="504"/>
      <c r="C160" s="129" t="s">
        <v>954</v>
      </c>
      <c r="D160" s="94">
        <f>SUMIFS('caseload data'!E:E,'caseload data'!$D:$D,"SPO",'caseload data'!$A:$A,"Greater Manchester",'caseload data'!$B:$B,"custody")</f>
        <v>0</v>
      </c>
      <c r="E160" s="94">
        <f>SUMIFS('caseload data'!F:F,'caseload data'!$D:$D,"SPO",'caseload data'!$A:$A,"Greater Manchester",'caseload data'!$B:$B,"custody")</f>
        <v>0</v>
      </c>
      <c r="F160" s="94">
        <f>SUMIFS('caseload data'!G:G,'caseload data'!$D:$D,"SPO",'caseload data'!$A:$A,"Greater Manchester",'caseload data'!$B:$B,"custody")</f>
        <v>0</v>
      </c>
      <c r="G160" s="94">
        <f>SUMIFS('caseload data'!H:H,'caseload data'!$D:$D,"SPO",'caseload data'!$A:$A,"Greater Manchester",'caseload data'!$B:$B,"custody")</f>
        <v>0</v>
      </c>
      <c r="H160" s="94">
        <f>SUMIFS('caseload data'!I:I,'caseload data'!$D:$D,"SPO",'caseload data'!$A:$A,"Greater Manchester",'caseload data'!$B:$B,"custody")</f>
        <v>0</v>
      </c>
      <c r="I160" s="94">
        <f>SUMIFS('caseload data'!J:J,'caseload data'!$D:$D,"SPO",'caseload data'!$A:$A,"Greater Manchester",'caseload data'!$B:$B,"custody")</f>
        <v>0</v>
      </c>
      <c r="J160" s="94">
        <f>SUMIFS('caseload data'!K:K,'caseload data'!$D:$D,"SPO",'caseload data'!$A:$A,"Greater Manchester",'caseload data'!$B:$B,"custody")</f>
        <v>0</v>
      </c>
      <c r="K160" s="94">
        <f>SUMIFS('caseload data'!L:L,'caseload data'!$D:$D,"SPO",'caseload data'!$A:$A,"Greater Manchester",'caseload data'!$B:$B,"custody")</f>
        <v>0</v>
      </c>
      <c r="L160" s="94">
        <f>SUMIFS('caseload data'!M:M,'caseload data'!$D:$D,"SPO",'caseload data'!$A:$A,"Greater Manchester",'caseload data'!$B:$B,"custody")</f>
        <v>0</v>
      </c>
      <c r="M160" s="94">
        <f>SUMIFS('caseload data'!N:N,'caseload data'!$D:$D,"SPO",'caseload data'!$A:$A,"Greater Manchester",'caseload data'!$B:$B,"custody")</f>
        <v>0</v>
      </c>
      <c r="N160" s="94">
        <f>SUMIFS('caseload data'!O:O,'caseload data'!$D:$D,"SPO",'caseload data'!$A:$A,"Greater Manchester",'caseload data'!$B:$B,"custody")</f>
        <v>0</v>
      </c>
      <c r="O160" s="94">
        <f>SUMIFS('caseload data'!P:P,'caseload data'!$D:$D,"SPO",'caseload data'!$A:$A,"Greater Manchester",'caseload data'!$B:$B,"custody")</f>
        <v>0</v>
      </c>
      <c r="P160" s="94">
        <f>SUMIFS('caseload data'!Q:Q,'caseload data'!$D:$D,"SPO",'caseload data'!$A:$A,"Greater Manchester",'caseload data'!$B:$B,"custody")</f>
        <v>0</v>
      </c>
      <c r="Q160" s="94">
        <f>SUMIFS('caseload data'!R:R,'caseload data'!$D:$D,"SPO",'caseload data'!$A:$A,"Greater Manchester",'caseload data'!$B:$B,"custody")</f>
        <v>0</v>
      </c>
      <c r="R160" s="94">
        <f>SUMIFS('caseload data'!S:S,'caseload data'!$D:$D,"SPO",'caseload data'!$A:$A,"Greater Manchester",'caseload data'!$B:$B,"custody")</f>
        <v>0</v>
      </c>
      <c r="S160" s="94">
        <f>SUMIFS('caseload data'!T:T,'caseload data'!$D:$D,"SPO",'caseload data'!$A:$A,"Greater Manchester",'caseload data'!$B:$B,"custody")</f>
        <v>0</v>
      </c>
      <c r="T160" s="94">
        <f>SUMIFS('caseload data'!V:V,'caseload data'!$D:$D,"SPO",'caseload data'!$A:$A,"Greater Manchester",'caseload data'!$B:$B,"custody")</f>
        <v>0</v>
      </c>
      <c r="U160" s="64"/>
      <c r="V160" s="64"/>
      <c r="W160" s="504"/>
      <c r="X160" s="129" t="s">
        <v>954</v>
      </c>
      <c r="Y160" s="167" t="e">
        <f t="shared" si="89"/>
        <v>#DIV/0!</v>
      </c>
      <c r="Z160" s="167" t="e">
        <f t="shared" si="88"/>
        <v>#DIV/0!</v>
      </c>
      <c r="AA160" s="167" t="e">
        <f t="shared" si="88"/>
        <v>#DIV/0!</v>
      </c>
      <c r="AB160" s="167" t="e">
        <f t="shared" si="88"/>
        <v>#DIV/0!</v>
      </c>
      <c r="AC160" s="167" t="e">
        <f t="shared" si="88"/>
        <v>#DIV/0!</v>
      </c>
      <c r="AD160" s="167" t="e">
        <f t="shared" si="88"/>
        <v>#DIV/0!</v>
      </c>
      <c r="AE160" s="167" t="e">
        <f t="shared" si="88"/>
        <v>#DIV/0!</v>
      </c>
      <c r="AF160" s="167" t="e">
        <f t="shared" si="88"/>
        <v>#DIV/0!</v>
      </c>
      <c r="AG160" s="167" t="e">
        <f t="shared" si="88"/>
        <v>#DIV/0!</v>
      </c>
      <c r="AH160" s="167" t="e">
        <f t="shared" si="88"/>
        <v>#DIV/0!</v>
      </c>
      <c r="AI160" s="167" t="e">
        <f t="shared" si="88"/>
        <v>#DIV/0!</v>
      </c>
      <c r="AJ160" s="167" t="e">
        <f t="shared" si="88"/>
        <v>#DIV/0!</v>
      </c>
      <c r="AK160" s="167" t="e">
        <f t="shared" si="88"/>
        <v>#DIV/0!</v>
      </c>
      <c r="AL160" s="167" t="e">
        <f t="shared" si="88"/>
        <v>#DIV/0!</v>
      </c>
      <c r="AM160" s="167" t="e">
        <f t="shared" si="88"/>
        <v>#DIV/0!</v>
      </c>
      <c r="AN160" s="167" t="e">
        <f t="shared" si="88"/>
        <v>#DIV/0!</v>
      </c>
      <c r="AO160" s="167" t="e">
        <f t="shared" si="88"/>
        <v>#DIV/0!</v>
      </c>
    </row>
    <row r="161" spans="2:41" x14ac:dyDescent="0.15">
      <c r="B161" s="505"/>
      <c r="C161" s="130" t="s">
        <v>1286</v>
      </c>
      <c r="D161" s="94">
        <f>SUMIFS('caseload data'!E:E,'caseload data'!$D:$D,"DMY",'caseload data'!$A:$A,"Greater Manchester",'caseload data'!$B:$B,"custody")</f>
        <v>0</v>
      </c>
      <c r="E161" s="94">
        <f>SUMIFS('caseload data'!F:F,'caseload data'!$D:$D,"DMY",'caseload data'!$A:$A,"Greater Manchester",'caseload data'!$B:$B,"custody")</f>
        <v>0</v>
      </c>
      <c r="F161" s="94">
        <f>SUMIFS('caseload data'!G:G,'caseload data'!$D:$D,"DMY",'caseload data'!$A:$A,"Greater Manchester",'caseload data'!$B:$B,"custody")</f>
        <v>0</v>
      </c>
      <c r="G161" s="94">
        <f>SUMIFS('caseload data'!H:H,'caseload data'!$D:$D,"DMY",'caseload data'!$A:$A,"Greater Manchester",'caseload data'!$B:$B,"custody")</f>
        <v>0</v>
      </c>
      <c r="H161" s="94">
        <f>SUMIFS('caseload data'!I:I,'caseload data'!$D:$D,"DMY",'caseload data'!$A:$A,"Greater Manchester",'caseload data'!$B:$B,"custody")</f>
        <v>0</v>
      </c>
      <c r="I161" s="94">
        <f>SUMIFS('caseload data'!J:J,'caseload data'!$D:$D,"DMY",'caseload data'!$A:$A,"Greater Manchester",'caseload data'!$B:$B,"custody")</f>
        <v>0</v>
      </c>
      <c r="J161" s="94">
        <f>SUMIFS('caseload data'!K:K,'caseload data'!$D:$D,"DMY",'caseload data'!$A:$A,"Greater Manchester",'caseload data'!$B:$B,"custody")</f>
        <v>0</v>
      </c>
      <c r="K161" s="94">
        <f>SUMIFS('caseload data'!L:L,'caseload data'!$D:$D,"DMY",'caseload data'!$A:$A,"Greater Manchester",'caseload data'!$B:$B,"custody")</f>
        <v>0</v>
      </c>
      <c r="L161" s="94">
        <f>SUMIFS('caseload data'!M:M,'caseload data'!$D:$D,"DMY",'caseload data'!$A:$A,"Greater Manchester",'caseload data'!$B:$B,"custody")</f>
        <v>0</v>
      </c>
      <c r="M161" s="94">
        <f>SUMIFS('caseload data'!N:N,'caseload data'!$D:$D,"DMY",'caseload data'!$A:$A,"Greater Manchester",'caseload data'!$B:$B,"custody")</f>
        <v>0</v>
      </c>
      <c r="N161" s="94">
        <f>SUMIFS('caseload data'!O:O,'caseload data'!$D:$D,"DMY",'caseload data'!$A:$A,"Greater Manchester",'caseload data'!$B:$B,"custody")</f>
        <v>0</v>
      </c>
      <c r="O161" s="94">
        <f>SUMIFS('caseload data'!P:P,'caseload data'!$D:$D,"DMY",'caseload data'!$A:$A,"Greater Manchester",'caseload data'!$B:$B,"custody")</f>
        <v>0</v>
      </c>
      <c r="P161" s="94">
        <f>SUMIFS('caseload data'!Q:Q,'caseload data'!$D:$D,"DMY",'caseload data'!$A:$A,"Greater Manchester",'caseload data'!$B:$B,"custody")</f>
        <v>0</v>
      </c>
      <c r="Q161" s="94">
        <f>SUMIFS('caseload data'!R:R,'caseload data'!$D:$D,"DMY",'caseload data'!$A:$A,"Greater Manchester",'caseload data'!$B:$B,"custody")</f>
        <v>0</v>
      </c>
      <c r="R161" s="94">
        <f>SUMIFS('caseload data'!S:S,'caseload data'!$D:$D,"DMY",'caseload data'!$A:$A,"Greater Manchester",'caseload data'!$B:$B,"custody")</f>
        <v>0</v>
      </c>
      <c r="S161" s="94">
        <f>SUMIFS('caseload data'!T:T,'caseload data'!$D:$D,"DMY",'caseload data'!$A:$A,"Greater Manchester",'caseload data'!$B:$B,"custody")</f>
        <v>0</v>
      </c>
      <c r="T161" s="94">
        <f>SUMIFS('caseload data'!V:V,'caseload data'!$D:$D,"DMY",'caseload data'!$A:$A,"Greater Manchester",'caseload data'!$B:$B,"custody")</f>
        <v>0</v>
      </c>
      <c r="U161" s="64"/>
      <c r="V161" s="64"/>
      <c r="W161" s="505"/>
      <c r="X161" s="130" t="s">
        <v>1286</v>
      </c>
      <c r="Y161" s="167" t="e">
        <f t="shared" si="89"/>
        <v>#DIV/0!</v>
      </c>
      <c r="Z161" s="167" t="e">
        <f t="shared" si="88"/>
        <v>#DIV/0!</v>
      </c>
      <c r="AA161" s="167" t="e">
        <f t="shared" si="88"/>
        <v>#DIV/0!</v>
      </c>
      <c r="AB161" s="167" t="e">
        <f t="shared" si="88"/>
        <v>#DIV/0!</v>
      </c>
      <c r="AC161" s="167" t="e">
        <f t="shared" si="88"/>
        <v>#DIV/0!</v>
      </c>
      <c r="AD161" s="167" t="e">
        <f t="shared" si="88"/>
        <v>#DIV/0!</v>
      </c>
      <c r="AE161" s="167" t="e">
        <f t="shared" si="88"/>
        <v>#DIV/0!</v>
      </c>
      <c r="AF161" s="167" t="e">
        <f t="shared" si="88"/>
        <v>#DIV/0!</v>
      </c>
      <c r="AG161" s="167" t="e">
        <f t="shared" si="88"/>
        <v>#DIV/0!</v>
      </c>
      <c r="AH161" s="167" t="e">
        <f t="shared" si="88"/>
        <v>#DIV/0!</v>
      </c>
      <c r="AI161" s="167" t="e">
        <f t="shared" si="88"/>
        <v>#DIV/0!</v>
      </c>
      <c r="AJ161" s="167" t="e">
        <f t="shared" si="88"/>
        <v>#DIV/0!</v>
      </c>
      <c r="AK161" s="167" t="e">
        <f t="shared" si="88"/>
        <v>#DIV/0!</v>
      </c>
      <c r="AL161" s="167" t="e">
        <f t="shared" si="88"/>
        <v>#DIV/0!</v>
      </c>
      <c r="AM161" s="167" t="e">
        <f t="shared" si="88"/>
        <v>#DIV/0!</v>
      </c>
      <c r="AN161" s="167" t="e">
        <f t="shared" si="88"/>
        <v>#DIV/0!</v>
      </c>
      <c r="AO161" s="167" t="e">
        <f t="shared" si="88"/>
        <v>#DIV/0!</v>
      </c>
    </row>
    <row r="162" spans="2:41" x14ac:dyDescent="0.15">
      <c r="B162" s="503" t="s">
        <v>20</v>
      </c>
      <c r="C162" s="128" t="s">
        <v>947</v>
      </c>
      <c r="D162" s="94">
        <f>SUMIFS('caseload data'!E:E,'caseload data'!$D:$D,"PO",'caseload data'!$A:$A,'national caseload'!$B$162:$B$164,'caseload data'!$B:$B,"custody")</f>
        <v>0</v>
      </c>
      <c r="E162" s="94">
        <f>SUMIFS('caseload data'!F:F,'caseload data'!$D:$D,"PO",'caseload data'!$A:$A,'national caseload'!$B$162:$B$164,'caseload data'!$B:$B,"custody")</f>
        <v>0</v>
      </c>
      <c r="F162" s="94">
        <f>SUMIFS('caseload data'!G:G,'caseload data'!$D:$D,"PO",'caseload data'!$A:$A,'national caseload'!$B$162:$B$164,'caseload data'!$B:$B,"custody")</f>
        <v>0</v>
      </c>
      <c r="G162" s="94">
        <f>SUMIFS('caseload data'!H:H,'caseload data'!$D:$D,"PO",'caseload data'!$A:$A,'national caseload'!$B$162:$B$164,'caseload data'!$B:$B,"custody")</f>
        <v>0</v>
      </c>
      <c r="H162" s="94">
        <f>SUMIFS('caseload data'!I:I,'caseload data'!$D:$D,"PO",'caseload data'!$A:$A,'national caseload'!$B$162:$B$164,'caseload data'!$B:$B,"custody")</f>
        <v>0</v>
      </c>
      <c r="I162" s="94">
        <f>SUMIFS('caseload data'!J:J,'caseload data'!$D:$D,"PO",'caseload data'!$A:$A,'national caseload'!$B$162:$B$164,'caseload data'!$B:$B,"custody")</f>
        <v>0</v>
      </c>
      <c r="J162" s="94">
        <f>SUMIFS('caseload data'!K:K,'caseload data'!$D:$D,"PO",'caseload data'!$A:$A,'national caseload'!$B$162:$B$164,'caseload data'!$B:$B,"custody")</f>
        <v>0</v>
      </c>
      <c r="K162" s="94">
        <f>SUMIFS('caseload data'!L:L,'caseload data'!$D:$D,"PO",'caseload data'!$A:$A,'national caseload'!$B$162:$B$164,'caseload data'!$B:$B,"custody")</f>
        <v>0</v>
      </c>
      <c r="L162" s="94">
        <f>SUMIFS('caseload data'!M:M,'caseload data'!$D:$D,"PO",'caseload data'!$A:$A,'national caseload'!$B$162:$B$164,'caseload data'!$B:$B,"custody")</f>
        <v>0</v>
      </c>
      <c r="M162" s="94">
        <f>SUMIFS('caseload data'!N:N,'caseload data'!$D:$D,"PO",'caseload data'!$A:$A,'national caseload'!$B$162:$B$164,'caseload data'!$B:$B,"custody")</f>
        <v>0</v>
      </c>
      <c r="N162" s="94">
        <f>SUMIFS('caseload data'!O:O,'caseload data'!$D:$D,"PO",'caseload data'!$A:$A,'national caseload'!$B$162:$B$164,'caseload data'!$B:$B,"custody")</f>
        <v>0</v>
      </c>
      <c r="O162" s="94">
        <f>SUMIFS('caseload data'!P:P,'caseload data'!$D:$D,"PO",'caseload data'!$A:$A,'national caseload'!$B$162:$B$164,'caseload data'!$B:$B,"custody")</f>
        <v>0</v>
      </c>
      <c r="P162" s="94">
        <f>SUMIFS('caseload data'!Q:Q,'caseload data'!$D:$D,"PO",'caseload data'!$A:$A,'national caseload'!$B$162:$B$164,'caseload data'!$B:$B,"custody")</f>
        <v>0</v>
      </c>
      <c r="Q162" s="94">
        <f>SUMIFS('caseload data'!R:R,'caseload data'!$D:$D,"PO",'caseload data'!$A:$A,'national caseload'!$B$162:$B$164,'caseload data'!$B:$B,"custody")</f>
        <v>0</v>
      </c>
      <c r="R162" s="94">
        <f>SUMIFS('caseload data'!S:S,'caseload data'!$D:$D,"PO",'caseload data'!$A:$A,'national caseload'!$B$162:$B$164,'caseload data'!$B:$B,"custody")</f>
        <v>0</v>
      </c>
      <c r="S162" s="94">
        <f>SUMIFS('caseload data'!T:T,'caseload data'!$D:$D,"PO",'caseload data'!$A:$A,'national caseload'!$B$162:$B$164,'caseload data'!$B:$B,"custody")</f>
        <v>0</v>
      </c>
      <c r="T162" s="94">
        <f>SUMIFS('caseload data'!V:V,'caseload data'!D:D,"PO",'caseload data'!A:A,'national caseload'!B162:B164,'caseload data'!B:B,"custody")</f>
        <v>0</v>
      </c>
      <c r="U162" s="64"/>
      <c r="V162" s="64"/>
      <c r="W162" s="503" t="s">
        <v>20</v>
      </c>
      <c r="X162" s="128" t="s">
        <v>947</v>
      </c>
      <c r="Y162" s="167" t="e">
        <f>SUM(D162)/SUM(D$162:D$166)</f>
        <v>#DIV/0!</v>
      </c>
      <c r="Z162" s="167" t="e">
        <f t="shared" ref="Z162:AO166" si="90">SUM(E162)/SUM(E$162:E$166)</f>
        <v>#DIV/0!</v>
      </c>
      <c r="AA162" s="167" t="e">
        <f t="shared" si="90"/>
        <v>#DIV/0!</v>
      </c>
      <c r="AB162" s="167" t="e">
        <f t="shared" si="90"/>
        <v>#DIV/0!</v>
      </c>
      <c r="AC162" s="167" t="e">
        <f t="shared" si="90"/>
        <v>#DIV/0!</v>
      </c>
      <c r="AD162" s="167" t="e">
        <f t="shared" si="90"/>
        <v>#DIV/0!</v>
      </c>
      <c r="AE162" s="167" t="e">
        <f t="shared" si="90"/>
        <v>#DIV/0!</v>
      </c>
      <c r="AF162" s="167" t="e">
        <f t="shared" si="90"/>
        <v>#DIV/0!</v>
      </c>
      <c r="AG162" s="167" t="e">
        <f t="shared" si="90"/>
        <v>#DIV/0!</v>
      </c>
      <c r="AH162" s="167" t="e">
        <f t="shared" si="90"/>
        <v>#DIV/0!</v>
      </c>
      <c r="AI162" s="167" t="e">
        <f t="shared" si="90"/>
        <v>#DIV/0!</v>
      </c>
      <c r="AJ162" s="167" t="e">
        <f t="shared" si="90"/>
        <v>#DIV/0!</v>
      </c>
      <c r="AK162" s="167" t="e">
        <f t="shared" si="90"/>
        <v>#DIV/0!</v>
      </c>
      <c r="AL162" s="167" t="e">
        <f t="shared" si="90"/>
        <v>#DIV/0!</v>
      </c>
      <c r="AM162" s="167" t="e">
        <f t="shared" si="90"/>
        <v>#DIV/0!</v>
      </c>
      <c r="AN162" s="167" t="e">
        <f t="shared" si="90"/>
        <v>#DIV/0!</v>
      </c>
      <c r="AO162" s="167" t="e">
        <f t="shared" si="90"/>
        <v>#DIV/0!</v>
      </c>
    </row>
    <row r="163" spans="2:41" x14ac:dyDescent="0.15">
      <c r="B163" s="504"/>
      <c r="C163" s="129" t="s">
        <v>952</v>
      </c>
      <c r="D163" s="94">
        <f>SUMIFS('caseload data'!E:E,'caseload data'!$D:$D,"PSO",'caseload data'!$A:$A,"Kent Surrey Sussex Region",'caseload data'!$B:$B,"custody")</f>
        <v>0</v>
      </c>
      <c r="E163" s="94">
        <f>SUMIFS('caseload data'!F:F,'caseload data'!$D:$D,"PSO",'caseload data'!$A:$A,"Kent Surrey Sussex Region",'caseload data'!$B:$B,"custody")</f>
        <v>0</v>
      </c>
      <c r="F163" s="94">
        <f>SUMIFS('caseload data'!G:G,'caseload data'!$D:$D,"PSO",'caseload data'!$A:$A,"Kent Surrey Sussex Region",'caseload data'!$B:$B,"custody")</f>
        <v>0</v>
      </c>
      <c r="G163" s="94">
        <f>SUMIFS('caseload data'!H:H,'caseload data'!$D:$D,"PSO",'caseload data'!$A:$A,"Kent Surrey Sussex Region",'caseload data'!$B:$B,"custody")</f>
        <v>0</v>
      </c>
      <c r="H163" s="94">
        <f>SUMIFS('caseload data'!I:I,'caseload data'!$D:$D,"PSO",'caseload data'!$A:$A,"Kent Surrey Sussex Region",'caseload data'!$B:$B,"custody")</f>
        <v>0</v>
      </c>
      <c r="I163" s="94">
        <f>SUMIFS('caseload data'!J:J,'caseload data'!$D:$D,"PSO",'caseload data'!$A:$A,"Kent Surrey Sussex Region",'caseload data'!$B:$B,"custody")</f>
        <v>0</v>
      </c>
      <c r="J163" s="94">
        <f>SUMIFS('caseload data'!K:K,'caseload data'!$D:$D,"PSO",'caseload data'!$A:$A,"Kent Surrey Sussex Region",'caseload data'!$B:$B,"custody")</f>
        <v>0</v>
      </c>
      <c r="K163" s="94">
        <f>SUMIFS('caseload data'!L:L,'caseload data'!$D:$D,"PSO",'caseload data'!$A:$A,"Kent Surrey Sussex Region",'caseload data'!$B:$B,"custody")</f>
        <v>0</v>
      </c>
      <c r="L163" s="94">
        <f>SUMIFS('caseload data'!M:M,'caseload data'!$D:$D,"PSO",'caseload data'!$A:$A,"Kent Surrey Sussex Region",'caseload data'!$B:$B,"custody")</f>
        <v>0</v>
      </c>
      <c r="M163" s="94">
        <f>SUMIFS('caseload data'!N:N,'caseload data'!$D:$D,"PSO",'caseload data'!$A:$A,"Kent Surrey Sussex Region",'caseload data'!$B:$B,"custody")</f>
        <v>0</v>
      </c>
      <c r="N163" s="94">
        <f>SUMIFS('caseload data'!O:O,'caseload data'!$D:$D,"PSO",'caseload data'!$A:$A,"Kent Surrey Sussex Region",'caseload data'!$B:$B,"custody")</f>
        <v>0</v>
      </c>
      <c r="O163" s="94">
        <f>SUMIFS('caseload data'!P:P,'caseload data'!$D:$D,"PSO",'caseload data'!$A:$A,"Kent Surrey Sussex Region",'caseload data'!$B:$B,"custody")</f>
        <v>0</v>
      </c>
      <c r="P163" s="94">
        <f>SUMIFS('caseload data'!Q:Q,'caseload data'!$D:$D,"PSO",'caseload data'!$A:$A,"Kent Surrey Sussex Region",'caseload data'!$B:$B,"custody")</f>
        <v>0</v>
      </c>
      <c r="Q163" s="94">
        <f>SUMIFS('caseload data'!R:R,'caseload data'!$D:$D,"PSO",'caseload data'!$A:$A,"Kent Surrey Sussex Region",'caseload data'!$B:$B,"custody")</f>
        <v>0</v>
      </c>
      <c r="R163" s="94">
        <f>SUMIFS('caseload data'!S:S,'caseload data'!$D:$D,"PSO",'caseload data'!$A:$A,"Kent Surrey Sussex Region",'caseload data'!$B:$B,"custody")</f>
        <v>0</v>
      </c>
      <c r="S163" s="94">
        <f>SUMIFS('caseload data'!T:T,'caseload data'!$D:$D,"PSO",'caseload data'!$A:$A,"Kent Surrey Sussex Region",'caseload data'!$B:$B,"custody")</f>
        <v>0</v>
      </c>
      <c r="T163" s="94">
        <f>SUMIFS('caseload data'!V:V,'caseload data'!D:D,"PSO",'caseload data'!A:A,"Kent Surrey Sussex Region",'caseload data'!B:B,"custody")</f>
        <v>0</v>
      </c>
      <c r="U163" s="64"/>
      <c r="V163" s="64"/>
      <c r="W163" s="504"/>
      <c r="X163" s="129" t="s">
        <v>952</v>
      </c>
      <c r="Y163" s="167" t="e">
        <f t="shared" ref="Y163:Y166" si="91">SUM(D163)/SUM(D$162:D$166)</f>
        <v>#DIV/0!</v>
      </c>
      <c r="Z163" s="167" t="e">
        <f t="shared" si="90"/>
        <v>#DIV/0!</v>
      </c>
      <c r="AA163" s="167" t="e">
        <f t="shared" si="90"/>
        <v>#DIV/0!</v>
      </c>
      <c r="AB163" s="167" t="e">
        <f t="shared" si="90"/>
        <v>#DIV/0!</v>
      </c>
      <c r="AC163" s="167" t="e">
        <f t="shared" si="90"/>
        <v>#DIV/0!</v>
      </c>
      <c r="AD163" s="167" t="e">
        <f t="shared" si="90"/>
        <v>#DIV/0!</v>
      </c>
      <c r="AE163" s="167" t="e">
        <f t="shared" si="90"/>
        <v>#DIV/0!</v>
      </c>
      <c r="AF163" s="167" t="e">
        <f t="shared" si="90"/>
        <v>#DIV/0!</v>
      </c>
      <c r="AG163" s="167" t="e">
        <f t="shared" si="90"/>
        <v>#DIV/0!</v>
      </c>
      <c r="AH163" s="167" t="e">
        <f t="shared" si="90"/>
        <v>#DIV/0!</v>
      </c>
      <c r="AI163" s="167" t="e">
        <f t="shared" si="90"/>
        <v>#DIV/0!</v>
      </c>
      <c r="AJ163" s="167" t="e">
        <f t="shared" si="90"/>
        <v>#DIV/0!</v>
      </c>
      <c r="AK163" s="167" t="e">
        <f t="shared" si="90"/>
        <v>#DIV/0!</v>
      </c>
      <c r="AL163" s="167" t="e">
        <f t="shared" si="90"/>
        <v>#DIV/0!</v>
      </c>
      <c r="AM163" s="167" t="e">
        <f t="shared" si="90"/>
        <v>#DIV/0!</v>
      </c>
      <c r="AN163" s="167" t="e">
        <f t="shared" si="90"/>
        <v>#DIV/0!</v>
      </c>
      <c r="AO163" s="167" t="e">
        <f t="shared" si="90"/>
        <v>#DIV/0!</v>
      </c>
    </row>
    <row r="164" spans="2:41" x14ac:dyDescent="0.15">
      <c r="B164" s="504"/>
      <c r="C164" s="129" t="s">
        <v>953</v>
      </c>
      <c r="D164" s="94">
        <f>SUMIFS('caseload data'!E:E,'caseload data'!$D:$D,"TPO",'caseload data'!$A:$A,"Kent Surrey Sussex Region",'caseload data'!$B:$B,"custody")</f>
        <v>0</v>
      </c>
      <c r="E164" s="94">
        <f>SUMIFS('caseload data'!F:F,'caseload data'!$D:$D,"TPO",'caseload data'!$A:$A,"Kent Surrey Sussex Region",'caseload data'!$B:$B,"custody")</f>
        <v>0</v>
      </c>
      <c r="F164" s="94">
        <f>SUMIFS('caseload data'!G:G,'caseload data'!$D:$D,"TPO",'caseload data'!$A:$A,"Kent Surrey Sussex Region",'caseload data'!$B:$B,"custody")</f>
        <v>0</v>
      </c>
      <c r="G164" s="94">
        <f>SUMIFS('caseload data'!H:H,'caseload data'!$D:$D,"TPO",'caseload data'!$A:$A,"Kent Surrey Sussex Region",'caseload data'!$B:$B,"custody")</f>
        <v>0</v>
      </c>
      <c r="H164" s="94">
        <f>SUMIFS('caseload data'!I:I,'caseload data'!$D:$D,"TPO",'caseload data'!$A:$A,"Kent Surrey Sussex Region",'caseload data'!$B:$B,"custody")</f>
        <v>0</v>
      </c>
      <c r="I164" s="94">
        <f>SUMIFS('caseload data'!J:J,'caseload data'!$D:$D,"TPO",'caseload data'!$A:$A,"Kent Surrey Sussex Region",'caseload data'!$B:$B,"custody")</f>
        <v>0</v>
      </c>
      <c r="J164" s="94">
        <f>SUMIFS('caseload data'!K:K,'caseload data'!$D:$D,"TPO",'caseload data'!$A:$A,"Kent Surrey Sussex Region",'caseload data'!$B:$B,"custody")</f>
        <v>0</v>
      </c>
      <c r="K164" s="94">
        <f>SUMIFS('caseload data'!L:L,'caseload data'!$D:$D,"TPO",'caseload data'!$A:$A,"Kent Surrey Sussex Region",'caseload data'!$B:$B,"custody")</f>
        <v>0</v>
      </c>
      <c r="L164" s="94">
        <f>SUMIFS('caseload data'!M:M,'caseload data'!$D:$D,"TPO",'caseload data'!$A:$A,"Kent Surrey Sussex Region",'caseload data'!$B:$B,"custody")</f>
        <v>0</v>
      </c>
      <c r="M164" s="94">
        <f>SUMIFS('caseload data'!N:N,'caseload data'!$D:$D,"TPO",'caseload data'!$A:$A,"Kent Surrey Sussex Region",'caseload data'!$B:$B,"custody")</f>
        <v>0</v>
      </c>
      <c r="N164" s="94">
        <f>SUMIFS('caseload data'!O:O,'caseload data'!$D:$D,"TPO",'caseload data'!$A:$A,"Kent Surrey Sussex Region",'caseload data'!$B:$B,"custody")</f>
        <v>0</v>
      </c>
      <c r="O164" s="94">
        <f>SUMIFS('caseload data'!P:P,'caseload data'!$D:$D,"TPO",'caseload data'!$A:$A,"Kent Surrey Sussex Region",'caseload data'!$B:$B,"custody")</f>
        <v>0</v>
      </c>
      <c r="P164" s="94">
        <f>SUMIFS('caseload data'!Q:Q,'caseload data'!$D:$D,"TPO",'caseload data'!$A:$A,"Kent Surrey Sussex Region",'caseload data'!$B:$B,"custody")</f>
        <v>0</v>
      </c>
      <c r="Q164" s="94">
        <f>SUMIFS('caseload data'!R:R,'caseload data'!$D:$D,"TPO",'caseload data'!$A:$A,"Kent Surrey Sussex Region",'caseload data'!$B:$B,"custody")</f>
        <v>0</v>
      </c>
      <c r="R164" s="94">
        <f>SUMIFS('caseload data'!S:S,'caseload data'!$D:$D,"TPO",'caseload data'!$A:$A,"Kent Surrey Sussex Region",'caseload data'!$B:$B,"custody")</f>
        <v>0</v>
      </c>
      <c r="S164" s="94">
        <f>SUMIFS('caseload data'!T:T,'caseload data'!$D:$D,"TPO",'caseload data'!$A:$A,"Kent Surrey Sussex Region",'caseload data'!$B:$B,"custody")</f>
        <v>0</v>
      </c>
      <c r="T164" s="94">
        <f>SUMIFS('caseload data'!V:V,'caseload data'!D:D,"TPO",'caseload data'!A:A,"Kent Surrey Sussex Region",'caseload data'!B:B,"custody")</f>
        <v>0</v>
      </c>
      <c r="U164" s="64"/>
      <c r="V164" s="64"/>
      <c r="W164" s="504"/>
      <c r="X164" s="129" t="s">
        <v>953</v>
      </c>
      <c r="Y164" s="167" t="e">
        <f t="shared" si="91"/>
        <v>#DIV/0!</v>
      </c>
      <c r="Z164" s="167" t="e">
        <f t="shared" si="90"/>
        <v>#DIV/0!</v>
      </c>
      <c r="AA164" s="167" t="e">
        <f t="shared" si="90"/>
        <v>#DIV/0!</v>
      </c>
      <c r="AB164" s="167" t="e">
        <f t="shared" si="90"/>
        <v>#DIV/0!</v>
      </c>
      <c r="AC164" s="167" t="e">
        <f t="shared" si="90"/>
        <v>#DIV/0!</v>
      </c>
      <c r="AD164" s="167" t="e">
        <f t="shared" si="90"/>
        <v>#DIV/0!</v>
      </c>
      <c r="AE164" s="167" t="e">
        <f t="shared" si="90"/>
        <v>#DIV/0!</v>
      </c>
      <c r="AF164" s="167" t="e">
        <f t="shared" si="90"/>
        <v>#DIV/0!</v>
      </c>
      <c r="AG164" s="167" t="e">
        <f t="shared" si="90"/>
        <v>#DIV/0!</v>
      </c>
      <c r="AH164" s="167" t="e">
        <f t="shared" si="90"/>
        <v>#DIV/0!</v>
      </c>
      <c r="AI164" s="167" t="e">
        <f t="shared" si="90"/>
        <v>#DIV/0!</v>
      </c>
      <c r="AJ164" s="167" t="e">
        <f t="shared" si="90"/>
        <v>#DIV/0!</v>
      </c>
      <c r="AK164" s="167" t="e">
        <f t="shared" si="90"/>
        <v>#DIV/0!</v>
      </c>
      <c r="AL164" s="167" t="e">
        <f t="shared" si="90"/>
        <v>#DIV/0!</v>
      </c>
      <c r="AM164" s="167" t="e">
        <f t="shared" si="90"/>
        <v>#DIV/0!</v>
      </c>
      <c r="AN164" s="167" t="e">
        <f t="shared" si="90"/>
        <v>#DIV/0!</v>
      </c>
      <c r="AO164" s="167" t="e">
        <f t="shared" si="90"/>
        <v>#DIV/0!</v>
      </c>
    </row>
    <row r="165" spans="2:41" x14ac:dyDescent="0.15">
      <c r="B165" s="504"/>
      <c r="C165" s="129" t="s">
        <v>954</v>
      </c>
      <c r="D165" s="94">
        <f>SUMIFS('caseload data'!E:E,'caseload data'!$D:$D,"SPO",'caseload data'!$A:$A,"Kent Surrey Sussex Region",'caseload data'!$B:$B,"custody")</f>
        <v>0</v>
      </c>
      <c r="E165" s="94">
        <f>SUMIFS('caseload data'!F:F,'caseload data'!$D:$D,"SPO",'caseload data'!$A:$A,"Kent Surrey Sussex Region",'caseload data'!$B:$B,"custody")</f>
        <v>0</v>
      </c>
      <c r="F165" s="94">
        <f>SUMIFS('caseload data'!G:G,'caseload data'!$D:$D,"SPO",'caseload data'!$A:$A,"Kent Surrey Sussex Region",'caseload data'!$B:$B,"custody")</f>
        <v>0</v>
      </c>
      <c r="G165" s="94">
        <f>SUMIFS('caseload data'!H:H,'caseload data'!$D:$D,"SPO",'caseload data'!$A:$A,"Kent Surrey Sussex Region",'caseload data'!$B:$B,"custody")</f>
        <v>0</v>
      </c>
      <c r="H165" s="94">
        <f>SUMIFS('caseload data'!I:I,'caseload data'!$D:$D,"SPO",'caseload data'!$A:$A,"Kent Surrey Sussex Region",'caseload data'!$B:$B,"custody")</f>
        <v>0</v>
      </c>
      <c r="I165" s="94">
        <f>SUMIFS('caseload data'!J:J,'caseload data'!$D:$D,"SPO",'caseload data'!$A:$A,"Kent Surrey Sussex Region",'caseload data'!$B:$B,"custody")</f>
        <v>0</v>
      </c>
      <c r="J165" s="94">
        <f>SUMIFS('caseload data'!K:K,'caseload data'!$D:$D,"SPO",'caseload data'!$A:$A,"Kent Surrey Sussex Region",'caseload data'!$B:$B,"custody")</f>
        <v>0</v>
      </c>
      <c r="K165" s="94">
        <f>SUMIFS('caseload data'!L:L,'caseload data'!$D:$D,"SPO",'caseload data'!$A:$A,"Kent Surrey Sussex Region",'caseload data'!$B:$B,"custody")</f>
        <v>0</v>
      </c>
      <c r="L165" s="94">
        <f>SUMIFS('caseload data'!M:M,'caseload data'!$D:$D,"SPO",'caseload data'!$A:$A,"Kent Surrey Sussex Region",'caseload data'!$B:$B,"custody")</f>
        <v>0</v>
      </c>
      <c r="M165" s="94">
        <f>SUMIFS('caseload data'!N:N,'caseload data'!$D:$D,"SPO",'caseload data'!$A:$A,"Kent Surrey Sussex Region",'caseload data'!$B:$B,"custody")</f>
        <v>0</v>
      </c>
      <c r="N165" s="94">
        <f>SUMIFS('caseload data'!O:O,'caseload data'!$D:$D,"SPO",'caseload data'!$A:$A,"Kent Surrey Sussex Region",'caseload data'!$B:$B,"custody")</f>
        <v>0</v>
      </c>
      <c r="O165" s="94">
        <f>SUMIFS('caseload data'!P:P,'caseload data'!$D:$D,"SPO",'caseload data'!$A:$A,"Kent Surrey Sussex Region",'caseload data'!$B:$B,"custody")</f>
        <v>0</v>
      </c>
      <c r="P165" s="94">
        <f>SUMIFS('caseload data'!Q:Q,'caseload data'!$D:$D,"SPO",'caseload data'!$A:$A,"Kent Surrey Sussex Region",'caseload data'!$B:$B,"custody")</f>
        <v>0</v>
      </c>
      <c r="Q165" s="94">
        <f>SUMIFS('caseload data'!R:R,'caseload data'!$D:$D,"SPO",'caseload data'!$A:$A,"Kent Surrey Sussex Region",'caseload data'!$B:$B,"custody")</f>
        <v>0</v>
      </c>
      <c r="R165" s="94">
        <f>SUMIFS('caseload data'!S:S,'caseload data'!$D:$D,"SPO",'caseload data'!$A:$A,"Kent Surrey Sussex Region",'caseload data'!$B:$B,"custody")</f>
        <v>0</v>
      </c>
      <c r="S165" s="94">
        <f>SUMIFS('caseload data'!T:T,'caseload data'!$D:$D,"SPO",'caseload data'!$A:$A,"Kent Surrey Sussex Region",'caseload data'!$B:$B,"custody")</f>
        <v>0</v>
      </c>
      <c r="T165" s="94">
        <f>SUMIFS('caseload data'!V:V,'caseload data'!$D:$D,"SPO",'caseload data'!$A:$A,"Kent Surrey Sussex Region",'caseload data'!$B:$B,"custody")</f>
        <v>0</v>
      </c>
      <c r="U165" s="64"/>
      <c r="V165" s="64"/>
      <c r="W165" s="504"/>
      <c r="X165" s="129" t="s">
        <v>954</v>
      </c>
      <c r="Y165" s="167" t="e">
        <f t="shared" si="91"/>
        <v>#DIV/0!</v>
      </c>
      <c r="Z165" s="167" t="e">
        <f t="shared" si="90"/>
        <v>#DIV/0!</v>
      </c>
      <c r="AA165" s="167" t="e">
        <f t="shared" si="90"/>
        <v>#DIV/0!</v>
      </c>
      <c r="AB165" s="167" t="e">
        <f t="shared" si="90"/>
        <v>#DIV/0!</v>
      </c>
      <c r="AC165" s="167" t="e">
        <f t="shared" si="90"/>
        <v>#DIV/0!</v>
      </c>
      <c r="AD165" s="167" t="e">
        <f t="shared" si="90"/>
        <v>#DIV/0!</v>
      </c>
      <c r="AE165" s="167" t="e">
        <f t="shared" si="90"/>
        <v>#DIV/0!</v>
      </c>
      <c r="AF165" s="167" t="e">
        <f t="shared" si="90"/>
        <v>#DIV/0!</v>
      </c>
      <c r="AG165" s="167" t="e">
        <f t="shared" si="90"/>
        <v>#DIV/0!</v>
      </c>
      <c r="AH165" s="167" t="e">
        <f t="shared" si="90"/>
        <v>#DIV/0!</v>
      </c>
      <c r="AI165" s="167" t="e">
        <f t="shared" si="90"/>
        <v>#DIV/0!</v>
      </c>
      <c r="AJ165" s="167" t="e">
        <f t="shared" si="90"/>
        <v>#DIV/0!</v>
      </c>
      <c r="AK165" s="167" t="e">
        <f t="shared" si="90"/>
        <v>#DIV/0!</v>
      </c>
      <c r="AL165" s="167" t="e">
        <f t="shared" si="90"/>
        <v>#DIV/0!</v>
      </c>
      <c r="AM165" s="167" t="e">
        <f t="shared" si="90"/>
        <v>#DIV/0!</v>
      </c>
      <c r="AN165" s="167" t="e">
        <f t="shared" si="90"/>
        <v>#DIV/0!</v>
      </c>
      <c r="AO165" s="167" t="e">
        <f t="shared" si="90"/>
        <v>#DIV/0!</v>
      </c>
    </row>
    <row r="166" spans="2:41" x14ac:dyDescent="0.15">
      <c r="B166" s="505"/>
      <c r="C166" s="130" t="s">
        <v>1286</v>
      </c>
      <c r="D166" s="94">
        <f>SUMIFS('caseload data'!E:E,'caseload data'!$D:$D,"DMY",'caseload data'!$A:$A,"Kent Surrey Sussex Region",'caseload data'!$B:$B,"custody")</f>
        <v>0</v>
      </c>
      <c r="E166" s="94">
        <f>SUMIFS('caseload data'!F:F,'caseload data'!$D:$D,"DMY",'caseload data'!$A:$A,"Kent Surrey Sussex Region",'caseload data'!$B:$B,"custody")</f>
        <v>0</v>
      </c>
      <c r="F166" s="94">
        <f>SUMIFS('caseload data'!G:G,'caseload data'!$D:$D,"DMY",'caseload data'!$A:$A,"Kent Surrey Sussex Region",'caseload data'!$B:$B,"custody")</f>
        <v>0</v>
      </c>
      <c r="G166" s="94">
        <f>SUMIFS('caseload data'!H:H,'caseload data'!$D:$D,"DMY",'caseload data'!$A:$A,"Kent Surrey Sussex Region",'caseload data'!$B:$B,"custody")</f>
        <v>0</v>
      </c>
      <c r="H166" s="94">
        <f>SUMIFS('caseload data'!I:I,'caseload data'!$D:$D,"DMY",'caseload data'!$A:$A,"Kent Surrey Sussex Region",'caseload data'!$B:$B,"custody")</f>
        <v>0</v>
      </c>
      <c r="I166" s="94">
        <f>SUMIFS('caseload data'!J:J,'caseload data'!$D:$D,"DMY",'caseload data'!$A:$A,"Kent Surrey Sussex Region",'caseload data'!$B:$B,"custody")</f>
        <v>0</v>
      </c>
      <c r="J166" s="94">
        <f>SUMIFS('caseload data'!K:K,'caseload data'!$D:$D,"DMY",'caseload data'!$A:$A,"Kent Surrey Sussex Region",'caseload data'!$B:$B,"custody")</f>
        <v>0</v>
      </c>
      <c r="K166" s="94">
        <f>SUMIFS('caseload data'!L:L,'caseload data'!$D:$D,"DMY",'caseload data'!$A:$A,"Kent Surrey Sussex Region",'caseload data'!$B:$B,"custody")</f>
        <v>0</v>
      </c>
      <c r="L166" s="94">
        <f>SUMIFS('caseload data'!M:M,'caseload data'!$D:$D,"DMY",'caseload data'!$A:$A,"Kent Surrey Sussex Region",'caseload data'!$B:$B,"custody")</f>
        <v>0</v>
      </c>
      <c r="M166" s="94">
        <f>SUMIFS('caseload data'!N:N,'caseload data'!$D:$D,"DMY",'caseload data'!$A:$A,"Kent Surrey Sussex Region",'caseload data'!$B:$B,"custody")</f>
        <v>0</v>
      </c>
      <c r="N166" s="94">
        <f>SUMIFS('caseload data'!O:O,'caseload data'!$D:$D,"DMY",'caseload data'!$A:$A,"Kent Surrey Sussex Region",'caseload data'!$B:$B,"custody")</f>
        <v>0</v>
      </c>
      <c r="O166" s="94">
        <f>SUMIFS('caseload data'!P:P,'caseload data'!$D:$D,"DMY",'caseload data'!$A:$A,"Kent Surrey Sussex Region",'caseload data'!$B:$B,"custody")</f>
        <v>0</v>
      </c>
      <c r="P166" s="94">
        <f>SUMIFS('caseload data'!Q:Q,'caseload data'!$D:$D,"DMY",'caseload data'!$A:$A,"Kent Surrey Sussex Region",'caseload data'!$B:$B,"custody")</f>
        <v>0</v>
      </c>
      <c r="Q166" s="94">
        <f>SUMIFS('caseload data'!R:R,'caseload data'!$D:$D,"DMY",'caseload data'!$A:$A,"Kent Surrey Sussex Region",'caseload data'!$B:$B,"custody")</f>
        <v>0</v>
      </c>
      <c r="R166" s="94">
        <f>SUMIFS('caseload data'!S:S,'caseload data'!$D:$D,"DMY",'caseload data'!$A:$A,"Kent Surrey Sussex Region",'caseload data'!$B:$B,"custody")</f>
        <v>0</v>
      </c>
      <c r="S166" s="94">
        <f>SUMIFS('caseload data'!T:T,'caseload data'!$D:$D,"DMY",'caseload data'!$A:$A,"Kent Surrey Sussex Region",'caseload data'!$B:$B,"custody")</f>
        <v>0</v>
      </c>
      <c r="T166" s="94">
        <f>SUMIFS('caseload data'!V:V,'caseload data'!$D:$D,"DMY",'caseload data'!$A:$A,"Kent Surrey Sussex Region",'caseload data'!$B:$B,"custody")</f>
        <v>0</v>
      </c>
      <c r="U166" s="64"/>
      <c r="V166" s="64"/>
      <c r="W166" s="505"/>
      <c r="X166" s="130" t="s">
        <v>1286</v>
      </c>
      <c r="Y166" s="167" t="e">
        <f t="shared" si="91"/>
        <v>#DIV/0!</v>
      </c>
      <c r="Z166" s="167" t="e">
        <f t="shared" si="90"/>
        <v>#DIV/0!</v>
      </c>
      <c r="AA166" s="167" t="e">
        <f t="shared" si="90"/>
        <v>#DIV/0!</v>
      </c>
      <c r="AB166" s="167" t="e">
        <f t="shared" si="90"/>
        <v>#DIV/0!</v>
      </c>
      <c r="AC166" s="167" t="e">
        <f t="shared" si="90"/>
        <v>#DIV/0!</v>
      </c>
      <c r="AD166" s="167" t="e">
        <f t="shared" si="90"/>
        <v>#DIV/0!</v>
      </c>
      <c r="AE166" s="167" t="e">
        <f t="shared" si="90"/>
        <v>#DIV/0!</v>
      </c>
      <c r="AF166" s="167" t="e">
        <f t="shared" si="90"/>
        <v>#DIV/0!</v>
      </c>
      <c r="AG166" s="167" t="e">
        <f t="shared" si="90"/>
        <v>#DIV/0!</v>
      </c>
      <c r="AH166" s="167" t="e">
        <f t="shared" si="90"/>
        <v>#DIV/0!</v>
      </c>
      <c r="AI166" s="167" t="e">
        <f t="shared" si="90"/>
        <v>#DIV/0!</v>
      </c>
      <c r="AJ166" s="167" t="e">
        <f t="shared" si="90"/>
        <v>#DIV/0!</v>
      </c>
      <c r="AK166" s="167" t="e">
        <f t="shared" si="90"/>
        <v>#DIV/0!</v>
      </c>
      <c r="AL166" s="167" t="e">
        <f t="shared" si="90"/>
        <v>#DIV/0!</v>
      </c>
      <c r="AM166" s="167" t="e">
        <f t="shared" si="90"/>
        <v>#DIV/0!</v>
      </c>
      <c r="AN166" s="167" t="e">
        <f t="shared" si="90"/>
        <v>#DIV/0!</v>
      </c>
      <c r="AO166" s="167" t="e">
        <f t="shared" si="90"/>
        <v>#DIV/0!</v>
      </c>
    </row>
    <row r="167" spans="2:41" x14ac:dyDescent="0.15">
      <c r="B167" s="503" t="s">
        <v>21</v>
      </c>
      <c r="C167" s="128" t="s">
        <v>947</v>
      </c>
      <c r="D167" s="94">
        <f>SUMIFS('caseload data'!E:E,'caseload data'!$D:$D,"PO",'caseload data'!$A:$A,$B$167,'caseload data'!$B:$B,"custody")</f>
        <v>0</v>
      </c>
      <c r="E167" s="94">
        <f>SUMIFS('caseload data'!F:F,'caseload data'!$D:$D,"PO",'caseload data'!$A:$A,$B$167,'caseload data'!$B:$B,"custody")</f>
        <v>0</v>
      </c>
      <c r="F167" s="94">
        <f>SUMIFS('caseload data'!G:G,'caseload data'!$D:$D,"PO",'caseload data'!$A:$A,$B$167,'caseload data'!$B:$B,"custody")</f>
        <v>0</v>
      </c>
      <c r="G167" s="94">
        <f>SUMIFS('caseload data'!H:H,'caseload data'!$D:$D,"PO",'caseload data'!$A:$A,$B$167,'caseload data'!$B:$B,"custody")</f>
        <v>0</v>
      </c>
      <c r="H167" s="94">
        <f>SUMIFS('caseload data'!I:I,'caseload data'!$D:$D,"PO",'caseload data'!$A:$A,$B$167,'caseload data'!$B:$B,"custody")</f>
        <v>0</v>
      </c>
      <c r="I167" s="94">
        <f>SUMIFS('caseload data'!J:J,'caseload data'!$D:$D,"PO",'caseload data'!$A:$A,$B$167,'caseload data'!$B:$B,"custody")</f>
        <v>0</v>
      </c>
      <c r="J167" s="94">
        <f>SUMIFS('caseload data'!K:K,'caseload data'!$D:$D,"PO",'caseload data'!$A:$A,$B$167,'caseload data'!$B:$B,"custody")</f>
        <v>0</v>
      </c>
      <c r="K167" s="94">
        <f>SUMIFS('caseload data'!L:L,'caseload data'!$D:$D,"PO",'caseload data'!$A:$A,$B$167,'caseload data'!$B:$B,"custody")</f>
        <v>0</v>
      </c>
      <c r="L167" s="94">
        <f>SUMIFS('caseload data'!M:M,'caseload data'!$D:$D,"PO",'caseload data'!$A:$A,$B$167,'caseload data'!$B:$B,"custody")</f>
        <v>0</v>
      </c>
      <c r="M167" s="94">
        <f>SUMIFS('caseload data'!N:N,'caseload data'!$D:$D,"PO",'caseload data'!$A:$A,$B$167,'caseload data'!$B:$B,"custody")</f>
        <v>0</v>
      </c>
      <c r="N167" s="94">
        <f>SUMIFS('caseload data'!O:O,'caseload data'!$D:$D,"PO",'caseload data'!$A:$A,$B$167,'caseload data'!$B:$B,"custody")</f>
        <v>0</v>
      </c>
      <c r="O167" s="94">
        <f>SUMIFS('caseload data'!P:P,'caseload data'!$D:$D,"PO",'caseload data'!$A:$A,$B$167,'caseload data'!$B:$B,"custody")</f>
        <v>0</v>
      </c>
      <c r="P167" s="94">
        <f>SUMIFS('caseload data'!Q:Q,'caseload data'!$D:$D,"PO",'caseload data'!$A:$A,$B$167,'caseload data'!$B:$B,"custody")</f>
        <v>0</v>
      </c>
      <c r="Q167" s="94">
        <f>SUMIFS('caseload data'!R:R,'caseload data'!$D:$D,"PO",'caseload data'!$A:$A,$B$167,'caseload data'!$B:$B,"custody")</f>
        <v>0</v>
      </c>
      <c r="R167" s="94">
        <f>SUMIFS('caseload data'!S:S,'caseload data'!$D:$D,"PO",'caseload data'!$A:$A,$B$167,'caseload data'!$B:$B,"custody")</f>
        <v>0</v>
      </c>
      <c r="S167" s="94">
        <f>SUMIFS('caseload data'!T:T,'caseload data'!$D:$D,"PO",'caseload data'!$A:$A,$B$167,'caseload data'!$B:$B,"custody")</f>
        <v>0</v>
      </c>
      <c r="T167" s="94">
        <f>SUMIFS('caseload data'!V:V,'caseload data'!D:D,"PO",'caseload data'!A:A,B167,'caseload data'!B:B,"custody")</f>
        <v>0</v>
      </c>
      <c r="U167" s="64"/>
      <c r="V167" s="64"/>
      <c r="W167" s="503" t="s">
        <v>21</v>
      </c>
      <c r="X167" s="128" t="s">
        <v>947</v>
      </c>
      <c r="Y167" s="167" t="e">
        <f>SUM(D167)/SUM(D$167:D$171)</f>
        <v>#DIV/0!</v>
      </c>
      <c r="Z167" s="167" t="e">
        <f t="shared" ref="Z167:AO171" si="92">SUM(E167)/SUM(E$167:E$171)</f>
        <v>#DIV/0!</v>
      </c>
      <c r="AA167" s="167" t="e">
        <f t="shared" si="92"/>
        <v>#DIV/0!</v>
      </c>
      <c r="AB167" s="167" t="e">
        <f t="shared" si="92"/>
        <v>#DIV/0!</v>
      </c>
      <c r="AC167" s="167" t="e">
        <f t="shared" si="92"/>
        <v>#DIV/0!</v>
      </c>
      <c r="AD167" s="167" t="e">
        <f t="shared" si="92"/>
        <v>#DIV/0!</v>
      </c>
      <c r="AE167" s="167" t="e">
        <f t="shared" si="92"/>
        <v>#DIV/0!</v>
      </c>
      <c r="AF167" s="167" t="e">
        <f t="shared" si="92"/>
        <v>#DIV/0!</v>
      </c>
      <c r="AG167" s="167" t="e">
        <f t="shared" si="92"/>
        <v>#DIV/0!</v>
      </c>
      <c r="AH167" s="167" t="e">
        <f t="shared" si="92"/>
        <v>#DIV/0!</v>
      </c>
      <c r="AI167" s="167" t="e">
        <f t="shared" si="92"/>
        <v>#DIV/0!</v>
      </c>
      <c r="AJ167" s="167" t="e">
        <f t="shared" si="92"/>
        <v>#DIV/0!</v>
      </c>
      <c r="AK167" s="167" t="e">
        <f t="shared" si="92"/>
        <v>#DIV/0!</v>
      </c>
      <c r="AL167" s="167" t="e">
        <f t="shared" si="92"/>
        <v>#DIV/0!</v>
      </c>
      <c r="AM167" s="167" t="e">
        <f t="shared" si="92"/>
        <v>#DIV/0!</v>
      </c>
      <c r="AN167" s="167" t="e">
        <f t="shared" si="92"/>
        <v>#DIV/0!</v>
      </c>
      <c r="AO167" s="167" t="e">
        <f t="shared" si="92"/>
        <v>#DIV/0!</v>
      </c>
    </row>
    <row r="168" spans="2:41" x14ac:dyDescent="0.15">
      <c r="B168" s="504"/>
      <c r="C168" s="129" t="s">
        <v>952</v>
      </c>
      <c r="D168" s="94">
        <f>SUMIFS('caseload data'!E:E,'caseload data'!$D:$D,"PSO",'caseload data'!$A:$A,"London",'caseload data'!$B:$B,"custody")</f>
        <v>0</v>
      </c>
      <c r="E168" s="94">
        <f>SUMIFS('caseload data'!F:F,'caseload data'!$D:$D,"PSO",'caseload data'!$A:$A,"London",'caseload data'!$B:$B,"custody")</f>
        <v>0</v>
      </c>
      <c r="F168" s="94">
        <f>SUMIFS('caseload data'!G:G,'caseload data'!$D:$D,"PSO",'caseload data'!$A:$A,"London",'caseload data'!$B:$B,"custody")</f>
        <v>0</v>
      </c>
      <c r="G168" s="94">
        <f>SUMIFS('caseload data'!H:H,'caseload data'!$D:$D,"PSO",'caseload data'!$A:$A,"London",'caseload data'!$B:$B,"custody")</f>
        <v>0</v>
      </c>
      <c r="H168" s="94">
        <f>SUMIFS('caseload data'!I:I,'caseload data'!$D:$D,"PSO",'caseload data'!$A:$A,"London",'caseload data'!$B:$B,"custody")</f>
        <v>0</v>
      </c>
      <c r="I168" s="94">
        <f>SUMIFS('caseload data'!J:J,'caseload data'!$D:$D,"PSO",'caseload data'!$A:$A,"London",'caseload data'!$B:$B,"custody")</f>
        <v>0</v>
      </c>
      <c r="J168" s="94">
        <f>SUMIFS('caseload data'!K:K,'caseload data'!$D:$D,"PSO",'caseload data'!$A:$A,"London",'caseload data'!$B:$B,"custody")</f>
        <v>0</v>
      </c>
      <c r="K168" s="94">
        <f>SUMIFS('caseload data'!L:L,'caseload data'!$D:$D,"PSO",'caseload data'!$A:$A,"London",'caseload data'!$B:$B,"custody")</f>
        <v>0</v>
      </c>
      <c r="L168" s="94">
        <f>SUMIFS('caseload data'!M:M,'caseload data'!$D:$D,"PSO",'caseload data'!$A:$A,"London",'caseload data'!$B:$B,"custody")</f>
        <v>0</v>
      </c>
      <c r="M168" s="94">
        <f>SUMIFS('caseload data'!N:N,'caseload data'!$D:$D,"PSO",'caseload data'!$A:$A,"London",'caseload data'!$B:$B,"custody")</f>
        <v>0</v>
      </c>
      <c r="N168" s="94">
        <f>SUMIFS('caseload data'!O:O,'caseload data'!$D:$D,"PSO",'caseload data'!$A:$A,"London",'caseload data'!$B:$B,"custody")</f>
        <v>0</v>
      </c>
      <c r="O168" s="94">
        <f>SUMIFS('caseload data'!P:P,'caseload data'!$D:$D,"PSO",'caseload data'!$A:$A,"London",'caseload data'!$B:$B,"custody")</f>
        <v>0</v>
      </c>
      <c r="P168" s="94">
        <f>SUMIFS('caseload data'!Q:Q,'caseload data'!$D:$D,"PSO",'caseload data'!$A:$A,"London",'caseload data'!$B:$B,"custody")</f>
        <v>0</v>
      </c>
      <c r="Q168" s="94">
        <f>SUMIFS('caseload data'!R:R,'caseload data'!$D:$D,"PSO",'caseload data'!$A:$A,"London",'caseload data'!$B:$B,"custody")</f>
        <v>0</v>
      </c>
      <c r="R168" s="94">
        <f>SUMIFS('caseload data'!S:S,'caseload data'!$D:$D,"PSO",'caseload data'!$A:$A,"London",'caseload data'!$B:$B,"custody")</f>
        <v>0</v>
      </c>
      <c r="S168" s="94">
        <f>SUMIFS('caseload data'!T:T,'caseload data'!$D:$D,"PSO",'caseload data'!$A:$A,"London",'caseload data'!$B:$B,"custody")</f>
        <v>0</v>
      </c>
      <c r="T168" s="94">
        <f>SUMIFS('caseload data'!V:V,'caseload data'!D:D,"PSO",'caseload data'!A:A,"London",'caseload data'!B:B,"custody")</f>
        <v>0</v>
      </c>
      <c r="U168" s="64"/>
      <c r="V168" s="64"/>
      <c r="W168" s="504"/>
      <c r="X168" s="129" t="s">
        <v>952</v>
      </c>
      <c r="Y168" s="167" t="e">
        <f t="shared" ref="Y168:Y171" si="93">SUM(D168)/SUM(D$167:D$171)</f>
        <v>#DIV/0!</v>
      </c>
      <c r="Z168" s="167" t="e">
        <f t="shared" si="92"/>
        <v>#DIV/0!</v>
      </c>
      <c r="AA168" s="167" t="e">
        <f t="shared" si="92"/>
        <v>#DIV/0!</v>
      </c>
      <c r="AB168" s="167" t="e">
        <f t="shared" si="92"/>
        <v>#DIV/0!</v>
      </c>
      <c r="AC168" s="167" t="e">
        <f t="shared" si="92"/>
        <v>#DIV/0!</v>
      </c>
      <c r="AD168" s="167" t="e">
        <f t="shared" si="92"/>
        <v>#DIV/0!</v>
      </c>
      <c r="AE168" s="167" t="e">
        <f t="shared" si="92"/>
        <v>#DIV/0!</v>
      </c>
      <c r="AF168" s="167" t="e">
        <f t="shared" si="92"/>
        <v>#DIV/0!</v>
      </c>
      <c r="AG168" s="167" t="e">
        <f t="shared" si="92"/>
        <v>#DIV/0!</v>
      </c>
      <c r="AH168" s="167" t="e">
        <f t="shared" si="92"/>
        <v>#DIV/0!</v>
      </c>
      <c r="AI168" s="167" t="e">
        <f t="shared" si="92"/>
        <v>#DIV/0!</v>
      </c>
      <c r="AJ168" s="167" t="e">
        <f t="shared" si="92"/>
        <v>#DIV/0!</v>
      </c>
      <c r="AK168" s="167" t="e">
        <f t="shared" si="92"/>
        <v>#DIV/0!</v>
      </c>
      <c r="AL168" s="167" t="e">
        <f t="shared" si="92"/>
        <v>#DIV/0!</v>
      </c>
      <c r="AM168" s="167" t="e">
        <f t="shared" si="92"/>
        <v>#DIV/0!</v>
      </c>
      <c r="AN168" s="167" t="e">
        <f t="shared" si="92"/>
        <v>#DIV/0!</v>
      </c>
      <c r="AO168" s="167" t="e">
        <f t="shared" si="92"/>
        <v>#DIV/0!</v>
      </c>
    </row>
    <row r="169" spans="2:41" x14ac:dyDescent="0.15">
      <c r="B169" s="504"/>
      <c r="C169" s="129" t="s">
        <v>953</v>
      </c>
      <c r="D169" s="94">
        <f>SUMIFS('caseload data'!E:E,'caseload data'!$D:$D,"TPO",'caseload data'!$A:$A,"London",'caseload data'!$B:$B,"custody")</f>
        <v>0</v>
      </c>
      <c r="E169" s="94">
        <f>SUMIFS('caseload data'!F:F,'caseload data'!$D:$D,"TPO",'caseload data'!$A:$A,"London",'caseload data'!$B:$B,"custody")</f>
        <v>0</v>
      </c>
      <c r="F169" s="94">
        <f>SUMIFS('caseload data'!G:G,'caseload data'!$D:$D,"TPO",'caseload data'!$A:$A,"London",'caseload data'!$B:$B,"custody")</f>
        <v>0</v>
      </c>
      <c r="G169" s="94">
        <f>SUMIFS('caseload data'!H:H,'caseload data'!$D:$D,"TPO",'caseload data'!$A:$A,"London",'caseload data'!$B:$B,"custody")</f>
        <v>0</v>
      </c>
      <c r="H169" s="94">
        <f>SUMIFS('caseload data'!I:I,'caseload data'!$D:$D,"TPO",'caseload data'!$A:$A,"London",'caseload data'!$B:$B,"custody")</f>
        <v>0</v>
      </c>
      <c r="I169" s="94">
        <f>SUMIFS('caseload data'!J:J,'caseload data'!$D:$D,"TPO",'caseload data'!$A:$A,"London",'caseload data'!$B:$B,"custody")</f>
        <v>0</v>
      </c>
      <c r="J169" s="94">
        <f>SUMIFS('caseload data'!K:K,'caseload data'!$D:$D,"TPO",'caseload data'!$A:$A,"London",'caseload data'!$B:$B,"custody")</f>
        <v>0</v>
      </c>
      <c r="K169" s="94">
        <f>SUMIFS('caseload data'!L:L,'caseload data'!$D:$D,"TPO",'caseload data'!$A:$A,"London",'caseload data'!$B:$B,"custody")</f>
        <v>0</v>
      </c>
      <c r="L169" s="94">
        <f>SUMIFS('caseload data'!M:M,'caseload data'!$D:$D,"TPO",'caseload data'!$A:$A,"London",'caseload data'!$B:$B,"custody")</f>
        <v>0</v>
      </c>
      <c r="M169" s="94">
        <f>SUMIFS('caseload data'!N:N,'caseload data'!$D:$D,"TPO",'caseload data'!$A:$A,"London",'caseload data'!$B:$B,"custody")</f>
        <v>0</v>
      </c>
      <c r="N169" s="94">
        <f>SUMIFS('caseload data'!O:O,'caseload data'!$D:$D,"TPO",'caseload data'!$A:$A,"London",'caseload data'!$B:$B,"custody")</f>
        <v>0</v>
      </c>
      <c r="O169" s="94">
        <f>SUMIFS('caseload data'!P:P,'caseload data'!$D:$D,"TPO",'caseload data'!$A:$A,"London",'caseload data'!$B:$B,"custody")</f>
        <v>0</v>
      </c>
      <c r="P169" s="94">
        <f>SUMIFS('caseload data'!Q:Q,'caseload data'!$D:$D,"TPO",'caseload data'!$A:$A,"London",'caseload data'!$B:$B,"custody")</f>
        <v>0</v>
      </c>
      <c r="Q169" s="94">
        <f>SUMIFS('caseload data'!R:R,'caseload data'!$D:$D,"TPO",'caseload data'!$A:$A,"London",'caseload data'!$B:$B,"custody")</f>
        <v>0</v>
      </c>
      <c r="R169" s="94">
        <f>SUMIFS('caseload data'!S:S,'caseload data'!$D:$D,"TPO",'caseload data'!$A:$A,"London",'caseload data'!$B:$B,"custody")</f>
        <v>0</v>
      </c>
      <c r="S169" s="94">
        <f>SUMIFS('caseload data'!T:T,'caseload data'!$D:$D,"TPO",'caseload data'!$A:$A,"London",'caseload data'!$B:$B,"custody")</f>
        <v>0</v>
      </c>
      <c r="T169" s="94">
        <f>SUMIFS('caseload data'!V:V,'caseload data'!D:D,"TPO",'caseload data'!A:A,"London",'caseload data'!B:B,"custody")</f>
        <v>0</v>
      </c>
      <c r="U169" s="64"/>
      <c r="V169" s="64"/>
      <c r="W169" s="504"/>
      <c r="X169" s="129" t="s">
        <v>953</v>
      </c>
      <c r="Y169" s="167" t="e">
        <f t="shared" si="93"/>
        <v>#DIV/0!</v>
      </c>
      <c r="Z169" s="167" t="e">
        <f t="shared" si="92"/>
        <v>#DIV/0!</v>
      </c>
      <c r="AA169" s="167" t="e">
        <f t="shared" si="92"/>
        <v>#DIV/0!</v>
      </c>
      <c r="AB169" s="167" t="e">
        <f t="shared" si="92"/>
        <v>#DIV/0!</v>
      </c>
      <c r="AC169" s="167" t="e">
        <f t="shared" si="92"/>
        <v>#DIV/0!</v>
      </c>
      <c r="AD169" s="167" t="e">
        <f t="shared" si="92"/>
        <v>#DIV/0!</v>
      </c>
      <c r="AE169" s="167" t="e">
        <f t="shared" si="92"/>
        <v>#DIV/0!</v>
      </c>
      <c r="AF169" s="167" t="e">
        <f t="shared" si="92"/>
        <v>#DIV/0!</v>
      </c>
      <c r="AG169" s="167" t="e">
        <f t="shared" si="92"/>
        <v>#DIV/0!</v>
      </c>
      <c r="AH169" s="167" t="e">
        <f t="shared" si="92"/>
        <v>#DIV/0!</v>
      </c>
      <c r="AI169" s="167" t="e">
        <f t="shared" si="92"/>
        <v>#DIV/0!</v>
      </c>
      <c r="AJ169" s="167" t="e">
        <f t="shared" si="92"/>
        <v>#DIV/0!</v>
      </c>
      <c r="AK169" s="167" t="e">
        <f t="shared" si="92"/>
        <v>#DIV/0!</v>
      </c>
      <c r="AL169" s="167" t="e">
        <f t="shared" si="92"/>
        <v>#DIV/0!</v>
      </c>
      <c r="AM169" s="167" t="e">
        <f t="shared" si="92"/>
        <v>#DIV/0!</v>
      </c>
      <c r="AN169" s="167" t="e">
        <f t="shared" si="92"/>
        <v>#DIV/0!</v>
      </c>
      <c r="AO169" s="167" t="e">
        <f t="shared" si="92"/>
        <v>#DIV/0!</v>
      </c>
    </row>
    <row r="170" spans="2:41" x14ac:dyDescent="0.15">
      <c r="B170" s="504"/>
      <c r="C170" s="129" t="s">
        <v>954</v>
      </c>
      <c r="D170" s="94">
        <f>SUMIFS('caseload data'!E:E,'caseload data'!$D:$D,"SPO",'caseload data'!$A:$A,"London",'caseload data'!$B:$B,"custody")</f>
        <v>0</v>
      </c>
      <c r="E170" s="94">
        <f>SUMIFS('caseload data'!F:F,'caseload data'!$D:$D,"SPO",'caseload data'!$A:$A,"London",'caseload data'!$B:$B,"custody")</f>
        <v>0</v>
      </c>
      <c r="F170" s="94">
        <f>SUMIFS('caseload data'!G:G,'caseload data'!$D:$D,"SPO",'caseload data'!$A:$A,"London",'caseload data'!$B:$B,"custody")</f>
        <v>0</v>
      </c>
      <c r="G170" s="94">
        <f>SUMIFS('caseload data'!H:H,'caseload data'!$D:$D,"SPO",'caseload data'!$A:$A,"London",'caseload data'!$B:$B,"custody")</f>
        <v>0</v>
      </c>
      <c r="H170" s="94">
        <f>SUMIFS('caseload data'!I:I,'caseload data'!$D:$D,"SPO",'caseload data'!$A:$A,"London",'caseload data'!$B:$B,"custody")</f>
        <v>0</v>
      </c>
      <c r="I170" s="94">
        <f>SUMIFS('caseload data'!J:J,'caseload data'!$D:$D,"SPO",'caseload data'!$A:$A,"London",'caseload data'!$B:$B,"custody")</f>
        <v>0</v>
      </c>
      <c r="J170" s="94">
        <f>SUMIFS('caseload data'!K:K,'caseload data'!$D:$D,"SPO",'caseload data'!$A:$A,"London",'caseload data'!$B:$B,"custody")</f>
        <v>0</v>
      </c>
      <c r="K170" s="94">
        <f>SUMIFS('caseload data'!L:L,'caseload data'!$D:$D,"SPO",'caseload data'!$A:$A,"London",'caseload data'!$B:$B,"custody")</f>
        <v>0</v>
      </c>
      <c r="L170" s="94">
        <f>SUMIFS('caseload data'!M:M,'caseload data'!$D:$D,"SPO",'caseload data'!$A:$A,"London",'caseload data'!$B:$B,"custody")</f>
        <v>0</v>
      </c>
      <c r="M170" s="94">
        <f>SUMIFS('caseload data'!N:N,'caseload data'!$D:$D,"SPO",'caseload data'!$A:$A,"London",'caseload data'!$B:$B,"custody")</f>
        <v>0</v>
      </c>
      <c r="N170" s="94">
        <f>SUMIFS('caseload data'!O:O,'caseload data'!$D:$D,"SPO",'caseload data'!$A:$A,"London",'caseload data'!$B:$B,"custody")</f>
        <v>0</v>
      </c>
      <c r="O170" s="94">
        <f>SUMIFS('caseload data'!P:P,'caseload data'!$D:$D,"SPO",'caseload data'!$A:$A,"London",'caseload data'!$B:$B,"custody")</f>
        <v>0</v>
      </c>
      <c r="P170" s="94">
        <f>SUMIFS('caseload data'!Q:Q,'caseload data'!$D:$D,"SPO",'caseload data'!$A:$A,"London",'caseload data'!$B:$B,"custody")</f>
        <v>0</v>
      </c>
      <c r="Q170" s="94">
        <f>SUMIFS('caseload data'!R:R,'caseload data'!$D:$D,"SPO",'caseload data'!$A:$A,"London",'caseload data'!$B:$B,"custody")</f>
        <v>0</v>
      </c>
      <c r="R170" s="94">
        <f>SUMIFS('caseload data'!S:S,'caseload data'!$D:$D,"SPO",'caseload data'!$A:$A,"London",'caseload data'!$B:$B,"custody")</f>
        <v>0</v>
      </c>
      <c r="S170" s="94">
        <f>SUMIFS('caseload data'!T:T,'caseload data'!$D:$D,"SPO",'caseload data'!$A:$A,"London",'caseload data'!$B:$B,"custody")</f>
        <v>0</v>
      </c>
      <c r="T170" s="94">
        <f>SUMIFS('caseload data'!V:V,'caseload data'!$D:$D,"SPO",'caseload data'!$A:$A,"London",'caseload data'!$B:$B,"custody")</f>
        <v>0</v>
      </c>
      <c r="U170" s="64"/>
      <c r="V170" s="64"/>
      <c r="W170" s="504"/>
      <c r="X170" s="129" t="s">
        <v>954</v>
      </c>
      <c r="Y170" s="167" t="e">
        <f t="shared" si="93"/>
        <v>#DIV/0!</v>
      </c>
      <c r="Z170" s="167" t="e">
        <f t="shared" si="92"/>
        <v>#DIV/0!</v>
      </c>
      <c r="AA170" s="167" t="e">
        <f t="shared" si="92"/>
        <v>#DIV/0!</v>
      </c>
      <c r="AB170" s="167" t="e">
        <f t="shared" si="92"/>
        <v>#DIV/0!</v>
      </c>
      <c r="AC170" s="167" t="e">
        <f t="shared" si="92"/>
        <v>#DIV/0!</v>
      </c>
      <c r="AD170" s="167" t="e">
        <f t="shared" si="92"/>
        <v>#DIV/0!</v>
      </c>
      <c r="AE170" s="167" t="e">
        <f t="shared" si="92"/>
        <v>#DIV/0!</v>
      </c>
      <c r="AF170" s="167" t="e">
        <f t="shared" si="92"/>
        <v>#DIV/0!</v>
      </c>
      <c r="AG170" s="167" t="e">
        <f t="shared" si="92"/>
        <v>#DIV/0!</v>
      </c>
      <c r="AH170" s="167" t="e">
        <f t="shared" si="92"/>
        <v>#DIV/0!</v>
      </c>
      <c r="AI170" s="167" t="e">
        <f t="shared" si="92"/>
        <v>#DIV/0!</v>
      </c>
      <c r="AJ170" s="167" t="e">
        <f t="shared" si="92"/>
        <v>#DIV/0!</v>
      </c>
      <c r="AK170" s="167" t="e">
        <f t="shared" si="92"/>
        <v>#DIV/0!</v>
      </c>
      <c r="AL170" s="167" t="e">
        <f t="shared" si="92"/>
        <v>#DIV/0!</v>
      </c>
      <c r="AM170" s="167" t="e">
        <f t="shared" si="92"/>
        <v>#DIV/0!</v>
      </c>
      <c r="AN170" s="167" t="e">
        <f t="shared" si="92"/>
        <v>#DIV/0!</v>
      </c>
      <c r="AO170" s="167" t="e">
        <f t="shared" si="92"/>
        <v>#DIV/0!</v>
      </c>
    </row>
    <row r="171" spans="2:41" x14ac:dyDescent="0.15">
      <c r="B171" s="505"/>
      <c r="C171" s="130" t="s">
        <v>1286</v>
      </c>
      <c r="D171" s="94">
        <f>SUMIFS('caseload data'!E:E,'caseload data'!$D:$D,"DMY",'caseload data'!$A:$A,"London",'caseload data'!$B:$B,"custody")</f>
        <v>0</v>
      </c>
      <c r="E171" s="94">
        <f>SUMIFS('caseload data'!F:F,'caseload data'!$D:$D,"DMY",'caseload data'!$A:$A,"London",'caseload data'!$B:$B,"custody")</f>
        <v>0</v>
      </c>
      <c r="F171" s="94">
        <f>SUMIFS('caseload data'!G:G,'caseload data'!$D:$D,"DMY",'caseload data'!$A:$A,"London",'caseload data'!$B:$B,"custody")</f>
        <v>0</v>
      </c>
      <c r="G171" s="94">
        <f>SUMIFS('caseload data'!H:H,'caseload data'!$D:$D,"DMY",'caseload data'!$A:$A,"London",'caseload data'!$B:$B,"custody")</f>
        <v>0</v>
      </c>
      <c r="H171" s="94">
        <f>SUMIFS('caseload data'!I:I,'caseload data'!$D:$D,"DMY",'caseload data'!$A:$A,"London",'caseload data'!$B:$B,"custody")</f>
        <v>0</v>
      </c>
      <c r="I171" s="94">
        <f>SUMIFS('caseload data'!J:J,'caseload data'!$D:$D,"DMY",'caseload data'!$A:$A,"London",'caseload data'!$B:$B,"custody")</f>
        <v>0</v>
      </c>
      <c r="J171" s="94">
        <f>SUMIFS('caseload data'!K:K,'caseload data'!$D:$D,"DMY",'caseload data'!$A:$A,"London",'caseload data'!$B:$B,"custody")</f>
        <v>0</v>
      </c>
      <c r="K171" s="94">
        <f>SUMIFS('caseload data'!L:L,'caseload data'!$D:$D,"DMY",'caseload data'!$A:$A,"London",'caseload data'!$B:$B,"custody")</f>
        <v>0</v>
      </c>
      <c r="L171" s="94">
        <f>SUMIFS('caseload data'!M:M,'caseload data'!$D:$D,"DMY",'caseload data'!$A:$A,"London",'caseload data'!$B:$B,"custody")</f>
        <v>0</v>
      </c>
      <c r="M171" s="94">
        <f>SUMIFS('caseload data'!N:N,'caseload data'!$D:$D,"DMY",'caseload data'!$A:$A,"London",'caseload data'!$B:$B,"custody")</f>
        <v>0</v>
      </c>
      <c r="N171" s="94">
        <f>SUMIFS('caseload data'!O:O,'caseload data'!$D:$D,"DMY",'caseload data'!$A:$A,"London",'caseload data'!$B:$B,"custody")</f>
        <v>0</v>
      </c>
      <c r="O171" s="94">
        <f>SUMIFS('caseload data'!P:P,'caseload data'!$D:$D,"DMY",'caseload data'!$A:$A,"London",'caseload data'!$B:$B,"custody")</f>
        <v>0</v>
      </c>
      <c r="P171" s="94">
        <f>SUMIFS('caseload data'!Q:Q,'caseload data'!$D:$D,"DMY",'caseload data'!$A:$A,"London",'caseload data'!$B:$B,"custody")</f>
        <v>0</v>
      </c>
      <c r="Q171" s="94">
        <f>SUMIFS('caseload data'!R:R,'caseload data'!$D:$D,"DMY",'caseload data'!$A:$A,"London",'caseload data'!$B:$B,"custody")</f>
        <v>0</v>
      </c>
      <c r="R171" s="94">
        <f>SUMIFS('caseload data'!S:S,'caseload data'!$D:$D,"DMY",'caseload data'!$A:$A,"London",'caseload data'!$B:$B,"custody")</f>
        <v>0</v>
      </c>
      <c r="S171" s="94">
        <f>SUMIFS('caseload data'!T:T,'caseload data'!$D:$D,"DMY",'caseload data'!$A:$A,"London",'caseload data'!$B:$B,"custody")</f>
        <v>0</v>
      </c>
      <c r="T171" s="94">
        <f>SUMIFS('caseload data'!V:V,'caseload data'!$D:$D,"DMY",'caseload data'!$A:$A,"London",'caseload data'!$B:$B,"custody")</f>
        <v>0</v>
      </c>
      <c r="U171" s="64"/>
      <c r="V171" s="64"/>
      <c r="W171" s="505"/>
      <c r="X171" s="130" t="s">
        <v>1286</v>
      </c>
      <c r="Y171" s="167" t="e">
        <f t="shared" si="93"/>
        <v>#DIV/0!</v>
      </c>
      <c r="Z171" s="167" t="e">
        <f t="shared" si="92"/>
        <v>#DIV/0!</v>
      </c>
      <c r="AA171" s="167" t="e">
        <f t="shared" si="92"/>
        <v>#DIV/0!</v>
      </c>
      <c r="AB171" s="167" t="e">
        <f t="shared" si="92"/>
        <v>#DIV/0!</v>
      </c>
      <c r="AC171" s="167" t="e">
        <f t="shared" si="92"/>
        <v>#DIV/0!</v>
      </c>
      <c r="AD171" s="167" t="e">
        <f t="shared" si="92"/>
        <v>#DIV/0!</v>
      </c>
      <c r="AE171" s="167" t="e">
        <f t="shared" si="92"/>
        <v>#DIV/0!</v>
      </c>
      <c r="AF171" s="167" t="e">
        <f t="shared" si="92"/>
        <v>#DIV/0!</v>
      </c>
      <c r="AG171" s="167" t="e">
        <f t="shared" si="92"/>
        <v>#DIV/0!</v>
      </c>
      <c r="AH171" s="167" t="e">
        <f t="shared" si="92"/>
        <v>#DIV/0!</v>
      </c>
      <c r="AI171" s="167" t="e">
        <f t="shared" si="92"/>
        <v>#DIV/0!</v>
      </c>
      <c r="AJ171" s="167" t="e">
        <f t="shared" si="92"/>
        <v>#DIV/0!</v>
      </c>
      <c r="AK171" s="167" t="e">
        <f t="shared" si="92"/>
        <v>#DIV/0!</v>
      </c>
      <c r="AL171" s="167" t="e">
        <f t="shared" si="92"/>
        <v>#DIV/0!</v>
      </c>
      <c r="AM171" s="167" t="e">
        <f t="shared" si="92"/>
        <v>#DIV/0!</v>
      </c>
      <c r="AN171" s="167" t="e">
        <f t="shared" si="92"/>
        <v>#DIV/0!</v>
      </c>
      <c r="AO171" s="167" t="e">
        <f t="shared" si="92"/>
        <v>#DIV/0!</v>
      </c>
    </row>
    <row r="172" spans="2:41" x14ac:dyDescent="0.15">
      <c r="B172" s="503" t="s">
        <v>22</v>
      </c>
      <c r="C172" s="128" t="s">
        <v>947</v>
      </c>
      <c r="D172" s="94">
        <f>SUMIFS('caseload data'!E:E,'caseload data'!$D:$D,"PO",'caseload data'!$A:$A,'national caseload'!$B$172:$B$174,'caseload data'!$B:$B,"custody")</f>
        <v>0</v>
      </c>
      <c r="E172" s="94">
        <f>SUMIFS('caseload data'!F:F,'caseload data'!$D:$D,"PO",'caseload data'!$A:$A,'national caseload'!$B$172:$B$174,'caseload data'!$B:$B,"custody")</f>
        <v>0</v>
      </c>
      <c r="F172" s="94">
        <f>SUMIFS('caseload data'!G:G,'caseload data'!$D:$D,"PO",'caseload data'!$A:$A,'national caseload'!$B$172:$B$174,'caseload data'!$B:$B,"custody")</f>
        <v>0</v>
      </c>
      <c r="G172" s="94">
        <f>SUMIFS('caseload data'!H:H,'caseload data'!$D:$D,"PO",'caseload data'!$A:$A,'national caseload'!$B$172:$B$174,'caseload data'!$B:$B,"custody")</f>
        <v>0</v>
      </c>
      <c r="H172" s="94">
        <f>SUMIFS('caseload data'!I:I,'caseload data'!$D:$D,"PO",'caseload data'!$A:$A,'national caseload'!$B$172:$B$174,'caseload data'!$B:$B,"custody")</f>
        <v>0</v>
      </c>
      <c r="I172" s="94">
        <f>SUMIFS('caseload data'!J:J,'caseload data'!$D:$D,"PO",'caseload data'!$A:$A,'national caseload'!$B$172:$B$174,'caseload data'!$B:$B,"custody")</f>
        <v>0</v>
      </c>
      <c r="J172" s="94">
        <f>SUMIFS('caseload data'!K:K,'caseload data'!$D:$D,"PO",'caseload data'!$A:$A,'national caseload'!$B$172:$B$174,'caseload data'!$B:$B,"custody")</f>
        <v>0</v>
      </c>
      <c r="K172" s="94">
        <f>SUMIFS('caseload data'!L:L,'caseload data'!$D:$D,"PO",'caseload data'!$A:$A,'national caseload'!$B$172:$B$174,'caseload data'!$B:$B,"custody")</f>
        <v>0</v>
      </c>
      <c r="L172" s="94">
        <f>SUMIFS('caseload data'!M:M,'caseload data'!$D:$D,"PO",'caseload data'!$A:$A,'national caseload'!$B$172:$B$174,'caseload data'!$B:$B,"custody")</f>
        <v>0</v>
      </c>
      <c r="M172" s="94">
        <f>SUMIFS('caseload data'!N:N,'caseload data'!$D:$D,"PO",'caseload data'!$A:$A,'national caseload'!$B$172:$B$174,'caseload data'!$B:$B,"custody")</f>
        <v>0</v>
      </c>
      <c r="N172" s="94">
        <f>SUMIFS('caseload data'!O:O,'caseload data'!$D:$D,"PO",'caseload data'!$A:$A,'national caseload'!$B$172:$B$174,'caseload data'!$B:$B,"custody")</f>
        <v>0</v>
      </c>
      <c r="O172" s="94">
        <f>SUMIFS('caseload data'!P:P,'caseload data'!$D:$D,"PO",'caseload data'!$A:$A,'national caseload'!$B$172:$B$174,'caseload data'!$B:$B,"custody")</f>
        <v>0</v>
      </c>
      <c r="P172" s="94">
        <f>SUMIFS('caseload data'!Q:Q,'caseload data'!$D:$D,"PO",'caseload data'!$A:$A,'national caseload'!$B$172:$B$174,'caseload data'!$B:$B,"custody")</f>
        <v>0</v>
      </c>
      <c r="Q172" s="94">
        <f>SUMIFS('caseload data'!R:R,'caseload data'!$D:$D,"PO",'caseload data'!$A:$A,'national caseload'!$B$172:$B$174,'caseload data'!$B:$B,"custody")</f>
        <v>0</v>
      </c>
      <c r="R172" s="94">
        <f>SUMIFS('caseload data'!S:S,'caseload data'!$D:$D,"PO",'caseload data'!$A:$A,'national caseload'!$B$172:$B$174,'caseload data'!$B:$B,"custody")</f>
        <v>0</v>
      </c>
      <c r="S172" s="94">
        <f>SUMIFS('caseload data'!T:T,'caseload data'!$D:$D,"PO",'caseload data'!$A:$A,'national caseload'!$B$172:$B$174,'caseload data'!$B:$B,"custody")</f>
        <v>0</v>
      </c>
      <c r="T172" s="94">
        <f>SUMIFS('caseload data'!V:V,'caseload data'!D:D,"PO",'caseload data'!A:A,'national caseload'!B172:B174,'caseload data'!B:B,"custody")</f>
        <v>0</v>
      </c>
      <c r="U172" s="64"/>
      <c r="V172" s="64"/>
      <c r="W172" s="503" t="s">
        <v>22</v>
      </c>
      <c r="X172" s="128" t="s">
        <v>947</v>
      </c>
      <c r="Y172" s="167" t="e">
        <f>SUM(D172)/SUM(D$172:D$176)</f>
        <v>#DIV/0!</v>
      </c>
      <c r="Z172" s="167" t="e">
        <f t="shared" ref="Z172:AO176" si="94">SUM(E172)/SUM(E$172:E$176)</f>
        <v>#DIV/0!</v>
      </c>
      <c r="AA172" s="167" t="e">
        <f t="shared" si="94"/>
        <v>#DIV/0!</v>
      </c>
      <c r="AB172" s="167" t="e">
        <f t="shared" si="94"/>
        <v>#DIV/0!</v>
      </c>
      <c r="AC172" s="167" t="e">
        <f t="shared" si="94"/>
        <v>#DIV/0!</v>
      </c>
      <c r="AD172" s="167" t="e">
        <f t="shared" si="94"/>
        <v>#DIV/0!</v>
      </c>
      <c r="AE172" s="167" t="e">
        <f t="shared" si="94"/>
        <v>#DIV/0!</v>
      </c>
      <c r="AF172" s="167" t="e">
        <f t="shared" si="94"/>
        <v>#DIV/0!</v>
      </c>
      <c r="AG172" s="167" t="e">
        <f t="shared" si="94"/>
        <v>#DIV/0!</v>
      </c>
      <c r="AH172" s="167" t="e">
        <f t="shared" si="94"/>
        <v>#DIV/0!</v>
      </c>
      <c r="AI172" s="167" t="e">
        <f t="shared" si="94"/>
        <v>#DIV/0!</v>
      </c>
      <c r="AJ172" s="167" t="e">
        <f t="shared" si="94"/>
        <v>#DIV/0!</v>
      </c>
      <c r="AK172" s="167" t="e">
        <f t="shared" si="94"/>
        <v>#DIV/0!</v>
      </c>
      <c r="AL172" s="167" t="e">
        <f t="shared" si="94"/>
        <v>#DIV/0!</v>
      </c>
      <c r="AM172" s="167" t="e">
        <f t="shared" si="94"/>
        <v>#DIV/0!</v>
      </c>
      <c r="AN172" s="167" t="e">
        <f t="shared" si="94"/>
        <v>#DIV/0!</v>
      </c>
      <c r="AO172" s="167" t="e">
        <f t="shared" si="94"/>
        <v>#DIV/0!</v>
      </c>
    </row>
    <row r="173" spans="2:41" x14ac:dyDescent="0.15">
      <c r="B173" s="504"/>
      <c r="C173" s="129" t="s">
        <v>952</v>
      </c>
      <c r="D173" s="94">
        <f>SUMIFS('caseload data'!E:E,'caseload data'!$D:$D,"PSO",'caseload data'!$A:$A,"North East Region",'caseload data'!$B:$B,"custody")</f>
        <v>0</v>
      </c>
      <c r="E173" s="94">
        <f>SUMIFS('caseload data'!F:F,'caseload data'!$D:$D,"PSO",'caseload data'!$A:$A,"North East Region",'caseload data'!$B:$B,"custody")</f>
        <v>0</v>
      </c>
      <c r="F173" s="94">
        <f>SUMIFS('caseload data'!G:G,'caseload data'!$D:$D,"PSO",'caseload data'!$A:$A,"North East Region",'caseload data'!$B:$B,"custody")</f>
        <v>0</v>
      </c>
      <c r="G173" s="94">
        <f>SUMIFS('caseload data'!H:H,'caseload data'!$D:$D,"PSO",'caseload data'!$A:$A,"North East Region",'caseload data'!$B:$B,"custody")</f>
        <v>0</v>
      </c>
      <c r="H173" s="94">
        <f>SUMIFS('caseload data'!I:I,'caseload data'!$D:$D,"PSO",'caseload data'!$A:$A,"North East Region",'caseload data'!$B:$B,"custody")</f>
        <v>0</v>
      </c>
      <c r="I173" s="94">
        <f>SUMIFS('caseload data'!J:J,'caseload data'!$D:$D,"PSO",'caseload data'!$A:$A,"North East Region",'caseload data'!$B:$B,"custody")</f>
        <v>0</v>
      </c>
      <c r="J173" s="94">
        <f>SUMIFS('caseload data'!K:K,'caseload data'!$D:$D,"PSO",'caseload data'!$A:$A,"North East Region",'caseload data'!$B:$B,"custody")</f>
        <v>0</v>
      </c>
      <c r="K173" s="94">
        <f>SUMIFS('caseload data'!L:L,'caseload data'!$D:$D,"PSO",'caseload data'!$A:$A,"North East Region",'caseload data'!$B:$B,"custody")</f>
        <v>0</v>
      </c>
      <c r="L173" s="94">
        <f>SUMIFS('caseload data'!M:M,'caseload data'!$D:$D,"PSO",'caseload data'!$A:$A,"North East Region",'caseload data'!$B:$B,"custody")</f>
        <v>0</v>
      </c>
      <c r="M173" s="94">
        <f>SUMIFS('caseload data'!N:N,'caseload data'!$D:$D,"PSO",'caseload data'!$A:$A,"North East Region",'caseload data'!$B:$B,"custody")</f>
        <v>0</v>
      </c>
      <c r="N173" s="94">
        <f>SUMIFS('caseload data'!O:O,'caseload data'!$D:$D,"PSO",'caseload data'!$A:$A,"North East Region",'caseload data'!$B:$B,"custody")</f>
        <v>0</v>
      </c>
      <c r="O173" s="94">
        <f>SUMIFS('caseload data'!P:P,'caseload data'!$D:$D,"PSO",'caseload data'!$A:$A,"North East Region",'caseload data'!$B:$B,"custody")</f>
        <v>0</v>
      </c>
      <c r="P173" s="94">
        <f>SUMIFS('caseload data'!Q:Q,'caseload data'!$D:$D,"PSO",'caseload data'!$A:$A,"North East Region",'caseload data'!$B:$B,"custody")</f>
        <v>0</v>
      </c>
      <c r="Q173" s="94">
        <f>SUMIFS('caseload data'!R:R,'caseload data'!$D:$D,"PSO",'caseload data'!$A:$A,"North East Region",'caseload data'!$B:$B,"custody")</f>
        <v>0</v>
      </c>
      <c r="R173" s="94">
        <f>SUMIFS('caseload data'!S:S,'caseload data'!$D:$D,"PSO",'caseload data'!$A:$A,"North East Region",'caseload data'!$B:$B,"custody")</f>
        <v>0</v>
      </c>
      <c r="S173" s="94">
        <f>SUMIFS('caseload data'!T:T,'caseload data'!$D:$D,"PSO",'caseload data'!$A:$A,"North East Region",'caseload data'!$B:$B,"custody")</f>
        <v>0</v>
      </c>
      <c r="T173" s="94">
        <f>SUMIFS('caseload data'!V:V,'caseload data'!D:D,"PSO",'caseload data'!A:A,"North East Region",'caseload data'!B:B,"custody")</f>
        <v>0</v>
      </c>
      <c r="U173" s="64"/>
      <c r="V173" s="64"/>
      <c r="W173" s="504"/>
      <c r="X173" s="129" t="s">
        <v>952</v>
      </c>
      <c r="Y173" s="167" t="e">
        <f t="shared" ref="Y173:Y176" si="95">SUM(D173)/SUM(D$172:D$176)</f>
        <v>#DIV/0!</v>
      </c>
      <c r="Z173" s="167" t="e">
        <f t="shared" si="94"/>
        <v>#DIV/0!</v>
      </c>
      <c r="AA173" s="167" t="e">
        <f t="shared" si="94"/>
        <v>#DIV/0!</v>
      </c>
      <c r="AB173" s="167" t="e">
        <f t="shared" si="94"/>
        <v>#DIV/0!</v>
      </c>
      <c r="AC173" s="167" t="e">
        <f t="shared" si="94"/>
        <v>#DIV/0!</v>
      </c>
      <c r="AD173" s="167" t="e">
        <f t="shared" si="94"/>
        <v>#DIV/0!</v>
      </c>
      <c r="AE173" s="167" t="e">
        <f t="shared" si="94"/>
        <v>#DIV/0!</v>
      </c>
      <c r="AF173" s="167" t="e">
        <f t="shared" si="94"/>
        <v>#DIV/0!</v>
      </c>
      <c r="AG173" s="167" t="e">
        <f t="shared" si="94"/>
        <v>#DIV/0!</v>
      </c>
      <c r="AH173" s="167" t="e">
        <f t="shared" si="94"/>
        <v>#DIV/0!</v>
      </c>
      <c r="AI173" s="167" t="e">
        <f t="shared" si="94"/>
        <v>#DIV/0!</v>
      </c>
      <c r="AJ173" s="167" t="e">
        <f t="shared" si="94"/>
        <v>#DIV/0!</v>
      </c>
      <c r="AK173" s="167" t="e">
        <f t="shared" si="94"/>
        <v>#DIV/0!</v>
      </c>
      <c r="AL173" s="167" t="e">
        <f t="shared" si="94"/>
        <v>#DIV/0!</v>
      </c>
      <c r="AM173" s="167" t="e">
        <f t="shared" si="94"/>
        <v>#DIV/0!</v>
      </c>
      <c r="AN173" s="167" t="e">
        <f t="shared" si="94"/>
        <v>#DIV/0!</v>
      </c>
      <c r="AO173" s="167" t="e">
        <f t="shared" si="94"/>
        <v>#DIV/0!</v>
      </c>
    </row>
    <row r="174" spans="2:41" x14ac:dyDescent="0.15">
      <c r="B174" s="504"/>
      <c r="C174" s="129" t="s">
        <v>953</v>
      </c>
      <c r="D174" s="94">
        <f>SUMIFS('caseload data'!E:E,'caseload data'!$D:$D,"TPO",'caseload data'!$A:$A,"North East Region",'caseload data'!$B:$B,"custody")</f>
        <v>0</v>
      </c>
      <c r="E174" s="94">
        <f>SUMIFS('caseload data'!F:F,'caseload data'!$D:$D,"TPO",'caseload data'!$A:$A,"North East Region",'caseload data'!$B:$B,"custody")</f>
        <v>0</v>
      </c>
      <c r="F174" s="94">
        <f>SUMIFS('caseload data'!G:G,'caseload data'!$D:$D,"TPO",'caseload data'!$A:$A,"North East Region",'caseload data'!$B:$B,"custody")</f>
        <v>0</v>
      </c>
      <c r="G174" s="94">
        <f>SUMIFS('caseload data'!H:H,'caseload data'!$D:$D,"TPO",'caseload data'!$A:$A,"North East Region",'caseload data'!$B:$B,"custody")</f>
        <v>0</v>
      </c>
      <c r="H174" s="94">
        <f>SUMIFS('caseload data'!I:I,'caseload data'!$D:$D,"TPO",'caseload data'!$A:$A,"North East Region",'caseload data'!$B:$B,"custody")</f>
        <v>0</v>
      </c>
      <c r="I174" s="94">
        <f>SUMIFS('caseload data'!J:J,'caseload data'!$D:$D,"TPO",'caseload data'!$A:$A,"North East Region",'caseload data'!$B:$B,"custody")</f>
        <v>0</v>
      </c>
      <c r="J174" s="94">
        <f>SUMIFS('caseload data'!K:K,'caseload data'!$D:$D,"TPO",'caseload data'!$A:$A,"North East Region",'caseload data'!$B:$B,"custody")</f>
        <v>0</v>
      </c>
      <c r="K174" s="94">
        <f>SUMIFS('caseload data'!L:L,'caseload data'!$D:$D,"TPO",'caseload data'!$A:$A,"North East Region",'caseload data'!$B:$B,"custody")</f>
        <v>0</v>
      </c>
      <c r="L174" s="94">
        <f>SUMIFS('caseload data'!M:M,'caseload data'!$D:$D,"TPO",'caseload data'!$A:$A,"North East Region",'caseload data'!$B:$B,"custody")</f>
        <v>0</v>
      </c>
      <c r="M174" s="94">
        <f>SUMIFS('caseload data'!N:N,'caseload data'!$D:$D,"TPO",'caseload data'!$A:$A,"North East Region",'caseload data'!$B:$B,"custody")</f>
        <v>0</v>
      </c>
      <c r="N174" s="94">
        <f>SUMIFS('caseload data'!O:O,'caseload data'!$D:$D,"TPO",'caseload data'!$A:$A,"North East Region",'caseload data'!$B:$B,"custody")</f>
        <v>0</v>
      </c>
      <c r="O174" s="94">
        <f>SUMIFS('caseload data'!P:P,'caseload data'!$D:$D,"TPO",'caseload data'!$A:$A,"North East Region",'caseload data'!$B:$B,"custody")</f>
        <v>0</v>
      </c>
      <c r="P174" s="94">
        <f>SUMIFS('caseload data'!Q:Q,'caseload data'!$D:$D,"TPO",'caseload data'!$A:$A,"North East Region",'caseload data'!$B:$B,"custody")</f>
        <v>0</v>
      </c>
      <c r="Q174" s="94">
        <f>SUMIFS('caseload data'!R:R,'caseload data'!$D:$D,"TPO",'caseload data'!$A:$A,"North East Region",'caseload data'!$B:$B,"custody")</f>
        <v>0</v>
      </c>
      <c r="R174" s="94">
        <f>SUMIFS('caseload data'!S:S,'caseload data'!$D:$D,"TPO",'caseload data'!$A:$A,"North East Region",'caseload data'!$B:$B,"custody")</f>
        <v>0</v>
      </c>
      <c r="S174" s="94">
        <f>SUMIFS('caseload data'!T:T,'caseload data'!$D:$D,"TPO",'caseload data'!$A:$A,"North East Region",'caseload data'!$B:$B,"custody")</f>
        <v>0</v>
      </c>
      <c r="T174" s="94">
        <f>SUMIFS('caseload data'!V:V,'caseload data'!D:D,"TPO",'caseload data'!A:A,"North East Region",'caseload data'!B:B,"custody")</f>
        <v>0</v>
      </c>
      <c r="U174" s="64"/>
      <c r="V174" s="64"/>
      <c r="W174" s="504"/>
      <c r="X174" s="129" t="s">
        <v>953</v>
      </c>
      <c r="Y174" s="167" t="e">
        <f t="shared" si="95"/>
        <v>#DIV/0!</v>
      </c>
      <c r="Z174" s="167" t="e">
        <f t="shared" si="94"/>
        <v>#DIV/0!</v>
      </c>
      <c r="AA174" s="167" t="e">
        <f t="shared" si="94"/>
        <v>#DIV/0!</v>
      </c>
      <c r="AB174" s="167" t="e">
        <f t="shared" si="94"/>
        <v>#DIV/0!</v>
      </c>
      <c r="AC174" s="167" t="e">
        <f t="shared" si="94"/>
        <v>#DIV/0!</v>
      </c>
      <c r="AD174" s="167" t="e">
        <f t="shared" si="94"/>
        <v>#DIV/0!</v>
      </c>
      <c r="AE174" s="167" t="e">
        <f t="shared" si="94"/>
        <v>#DIV/0!</v>
      </c>
      <c r="AF174" s="167" t="e">
        <f t="shared" si="94"/>
        <v>#DIV/0!</v>
      </c>
      <c r="AG174" s="167" t="e">
        <f t="shared" si="94"/>
        <v>#DIV/0!</v>
      </c>
      <c r="AH174" s="167" t="e">
        <f t="shared" si="94"/>
        <v>#DIV/0!</v>
      </c>
      <c r="AI174" s="167" t="e">
        <f t="shared" si="94"/>
        <v>#DIV/0!</v>
      </c>
      <c r="AJ174" s="167" t="e">
        <f t="shared" si="94"/>
        <v>#DIV/0!</v>
      </c>
      <c r="AK174" s="167" t="e">
        <f t="shared" si="94"/>
        <v>#DIV/0!</v>
      </c>
      <c r="AL174" s="167" t="e">
        <f t="shared" si="94"/>
        <v>#DIV/0!</v>
      </c>
      <c r="AM174" s="167" t="e">
        <f t="shared" si="94"/>
        <v>#DIV/0!</v>
      </c>
      <c r="AN174" s="167" t="e">
        <f t="shared" si="94"/>
        <v>#DIV/0!</v>
      </c>
      <c r="AO174" s="167" t="e">
        <f t="shared" si="94"/>
        <v>#DIV/0!</v>
      </c>
    </row>
    <row r="175" spans="2:41" x14ac:dyDescent="0.15">
      <c r="B175" s="504"/>
      <c r="C175" s="129" t="s">
        <v>954</v>
      </c>
      <c r="D175" s="94">
        <f>SUMIFS('caseload data'!E:E,'caseload data'!$D:$D,"SPO",'caseload data'!$A:$A,"North East Region",'caseload data'!$B:$B,"custody")</f>
        <v>0</v>
      </c>
      <c r="E175" s="94">
        <f>SUMIFS('caseload data'!F:F,'caseload data'!$D:$D,"SPO",'caseload data'!$A:$A,"North East Region",'caseload data'!$B:$B,"custody")</f>
        <v>0</v>
      </c>
      <c r="F175" s="94">
        <f>SUMIFS('caseload data'!G:G,'caseload data'!$D:$D,"SPO",'caseload data'!$A:$A,"North East Region",'caseload data'!$B:$B,"custody")</f>
        <v>0</v>
      </c>
      <c r="G175" s="94">
        <f>SUMIFS('caseload data'!H:H,'caseload data'!$D:$D,"SPO",'caseload data'!$A:$A,"North East Region",'caseload data'!$B:$B,"custody")</f>
        <v>0</v>
      </c>
      <c r="H175" s="94">
        <f>SUMIFS('caseload data'!I:I,'caseload data'!$D:$D,"SPO",'caseload data'!$A:$A,"North East Region",'caseload data'!$B:$B,"custody")</f>
        <v>0</v>
      </c>
      <c r="I175" s="94">
        <f>SUMIFS('caseload data'!J:J,'caseload data'!$D:$D,"SPO",'caseload data'!$A:$A,"North East Region",'caseload data'!$B:$B,"custody")</f>
        <v>0</v>
      </c>
      <c r="J175" s="94">
        <f>SUMIFS('caseload data'!K:K,'caseload data'!$D:$D,"SPO",'caseload data'!$A:$A,"North East Region",'caseload data'!$B:$B,"custody")</f>
        <v>0</v>
      </c>
      <c r="K175" s="94">
        <f>SUMIFS('caseload data'!L:L,'caseload data'!$D:$D,"SPO",'caseload data'!$A:$A,"North East Region",'caseload data'!$B:$B,"custody")</f>
        <v>0</v>
      </c>
      <c r="L175" s="94">
        <f>SUMIFS('caseload data'!M:M,'caseload data'!$D:$D,"SPO",'caseload data'!$A:$A,"North East Region",'caseload data'!$B:$B,"custody")</f>
        <v>0</v>
      </c>
      <c r="M175" s="94">
        <f>SUMIFS('caseload data'!N:N,'caseload data'!$D:$D,"SPO",'caseload data'!$A:$A,"North East Region",'caseload data'!$B:$B,"custody")</f>
        <v>0</v>
      </c>
      <c r="N175" s="94">
        <f>SUMIFS('caseload data'!O:O,'caseload data'!$D:$D,"SPO",'caseload data'!$A:$A,"North East Region",'caseload data'!$B:$B,"custody")</f>
        <v>0</v>
      </c>
      <c r="O175" s="94">
        <f>SUMIFS('caseload data'!P:P,'caseload data'!$D:$D,"SPO",'caseload data'!$A:$A,"North East Region",'caseload data'!$B:$B,"custody")</f>
        <v>0</v>
      </c>
      <c r="P175" s="94">
        <f>SUMIFS('caseload data'!Q:Q,'caseload data'!$D:$D,"SPO",'caseload data'!$A:$A,"North East Region",'caseload data'!$B:$B,"custody")</f>
        <v>0</v>
      </c>
      <c r="Q175" s="94">
        <f>SUMIFS('caseload data'!R:R,'caseload data'!$D:$D,"SPO",'caseload data'!$A:$A,"North East Region",'caseload data'!$B:$B,"custody")</f>
        <v>0</v>
      </c>
      <c r="R175" s="94">
        <f>SUMIFS('caseload data'!S:S,'caseload data'!$D:$D,"SPO",'caseload data'!$A:$A,"North East Region",'caseload data'!$B:$B,"custody")</f>
        <v>0</v>
      </c>
      <c r="S175" s="94">
        <f>SUMIFS('caseload data'!T:T,'caseload data'!$D:$D,"SPO",'caseload data'!$A:$A,"North East Region",'caseload data'!$B:$B,"custody")</f>
        <v>0</v>
      </c>
      <c r="T175" s="94">
        <f>SUMIFS('caseload data'!V:V,'caseload data'!$D:$D,"SPO",'caseload data'!$A:$A,"North East Region",'caseload data'!$B:$B,"custody")</f>
        <v>0</v>
      </c>
      <c r="U175" s="64"/>
      <c r="V175" s="64"/>
      <c r="W175" s="504"/>
      <c r="X175" s="129" t="s">
        <v>954</v>
      </c>
      <c r="Y175" s="167" t="e">
        <f t="shared" si="95"/>
        <v>#DIV/0!</v>
      </c>
      <c r="Z175" s="167" t="e">
        <f t="shared" si="94"/>
        <v>#DIV/0!</v>
      </c>
      <c r="AA175" s="167" t="e">
        <f t="shared" si="94"/>
        <v>#DIV/0!</v>
      </c>
      <c r="AB175" s="167" t="e">
        <f t="shared" si="94"/>
        <v>#DIV/0!</v>
      </c>
      <c r="AC175" s="167" t="e">
        <f t="shared" si="94"/>
        <v>#DIV/0!</v>
      </c>
      <c r="AD175" s="167" t="e">
        <f t="shared" si="94"/>
        <v>#DIV/0!</v>
      </c>
      <c r="AE175" s="167" t="e">
        <f t="shared" si="94"/>
        <v>#DIV/0!</v>
      </c>
      <c r="AF175" s="167" t="e">
        <f t="shared" si="94"/>
        <v>#DIV/0!</v>
      </c>
      <c r="AG175" s="167" t="e">
        <f t="shared" si="94"/>
        <v>#DIV/0!</v>
      </c>
      <c r="AH175" s="167" t="e">
        <f t="shared" si="94"/>
        <v>#DIV/0!</v>
      </c>
      <c r="AI175" s="167" t="e">
        <f t="shared" si="94"/>
        <v>#DIV/0!</v>
      </c>
      <c r="AJ175" s="167" t="e">
        <f t="shared" si="94"/>
        <v>#DIV/0!</v>
      </c>
      <c r="AK175" s="167" t="e">
        <f t="shared" si="94"/>
        <v>#DIV/0!</v>
      </c>
      <c r="AL175" s="167" t="e">
        <f t="shared" si="94"/>
        <v>#DIV/0!</v>
      </c>
      <c r="AM175" s="167" t="e">
        <f t="shared" si="94"/>
        <v>#DIV/0!</v>
      </c>
      <c r="AN175" s="167" t="e">
        <f t="shared" si="94"/>
        <v>#DIV/0!</v>
      </c>
      <c r="AO175" s="167" t="e">
        <f t="shared" si="94"/>
        <v>#DIV/0!</v>
      </c>
    </row>
    <row r="176" spans="2:41" x14ac:dyDescent="0.15">
      <c r="B176" s="505"/>
      <c r="C176" s="130" t="s">
        <v>1286</v>
      </c>
      <c r="D176" s="94">
        <f>SUMIFS('caseload data'!E:E,'caseload data'!$D:$D,"DMY",'caseload data'!$A:$A,"North East Region",'caseload data'!$B:$B,"custody")</f>
        <v>0</v>
      </c>
      <c r="E176" s="94">
        <f>SUMIFS('caseload data'!F:F,'caseload data'!$D:$D,"DMY",'caseload data'!$A:$A,"North East Region",'caseload data'!$B:$B,"custody")</f>
        <v>0</v>
      </c>
      <c r="F176" s="94">
        <f>SUMIFS('caseload data'!G:G,'caseload data'!$D:$D,"DMY",'caseload data'!$A:$A,"North East Region",'caseload data'!$B:$B,"custody")</f>
        <v>0</v>
      </c>
      <c r="G176" s="94">
        <f>SUMIFS('caseload data'!H:H,'caseload data'!$D:$D,"DMY",'caseload data'!$A:$A,"North East Region",'caseload data'!$B:$B,"custody")</f>
        <v>0</v>
      </c>
      <c r="H176" s="94">
        <f>SUMIFS('caseload data'!I:I,'caseload data'!$D:$D,"DMY",'caseload data'!$A:$A,"North East Region",'caseload data'!$B:$B,"custody")</f>
        <v>0</v>
      </c>
      <c r="I176" s="94">
        <f>SUMIFS('caseload data'!J:J,'caseload data'!$D:$D,"DMY",'caseload data'!$A:$A,"North East Region",'caseload data'!$B:$B,"custody")</f>
        <v>0</v>
      </c>
      <c r="J176" s="94">
        <f>SUMIFS('caseload data'!K:K,'caseload data'!$D:$D,"DMY",'caseload data'!$A:$A,"North East Region",'caseload data'!$B:$B,"custody")</f>
        <v>0</v>
      </c>
      <c r="K176" s="94">
        <f>SUMIFS('caseload data'!L:L,'caseload data'!$D:$D,"DMY",'caseload data'!$A:$A,"North East Region",'caseload data'!$B:$B,"custody")</f>
        <v>0</v>
      </c>
      <c r="L176" s="94">
        <f>SUMIFS('caseload data'!M:M,'caseload data'!$D:$D,"DMY",'caseload data'!$A:$A,"North East Region",'caseload data'!$B:$B,"custody")</f>
        <v>0</v>
      </c>
      <c r="M176" s="94">
        <f>SUMIFS('caseload data'!N:N,'caseload data'!$D:$D,"DMY",'caseload data'!$A:$A,"North East Region",'caseload data'!$B:$B,"custody")</f>
        <v>0</v>
      </c>
      <c r="N176" s="94">
        <f>SUMIFS('caseload data'!O:O,'caseload data'!$D:$D,"DMY",'caseload data'!$A:$A,"North East Region",'caseload data'!$B:$B,"custody")</f>
        <v>0</v>
      </c>
      <c r="O176" s="94">
        <f>SUMIFS('caseload data'!P:P,'caseload data'!$D:$D,"DMY",'caseload data'!$A:$A,"North East Region",'caseload data'!$B:$B,"custody")</f>
        <v>0</v>
      </c>
      <c r="P176" s="94">
        <f>SUMIFS('caseload data'!Q:Q,'caseload data'!$D:$D,"DMY",'caseload data'!$A:$A,"North East Region",'caseload data'!$B:$B,"custody")</f>
        <v>0</v>
      </c>
      <c r="Q176" s="94">
        <f>SUMIFS('caseload data'!R:R,'caseload data'!$D:$D,"DMY",'caseload data'!$A:$A,"North East Region",'caseload data'!$B:$B,"custody")</f>
        <v>0</v>
      </c>
      <c r="R176" s="94">
        <f>SUMIFS('caseload data'!S:S,'caseload data'!$D:$D,"DMY",'caseload data'!$A:$A,"North East Region",'caseload data'!$B:$B,"custody")</f>
        <v>0</v>
      </c>
      <c r="S176" s="94">
        <f>SUMIFS('caseload data'!T:T,'caseload data'!$D:$D,"DMY",'caseload data'!$A:$A,"North East Region",'caseload data'!$B:$B,"custody")</f>
        <v>0</v>
      </c>
      <c r="T176" s="94">
        <f>SUMIFS('caseload data'!V:V,'caseload data'!$D:$D,"DMY",'caseload data'!$A:$A,"North East Region",'caseload data'!$B:$B,"custody")</f>
        <v>0</v>
      </c>
      <c r="U176" s="64"/>
      <c r="V176" s="64"/>
      <c r="W176" s="505"/>
      <c r="X176" s="130" t="s">
        <v>1286</v>
      </c>
      <c r="Y176" s="167" t="e">
        <f t="shared" si="95"/>
        <v>#DIV/0!</v>
      </c>
      <c r="Z176" s="167" t="e">
        <f t="shared" si="94"/>
        <v>#DIV/0!</v>
      </c>
      <c r="AA176" s="167" t="e">
        <f t="shared" si="94"/>
        <v>#DIV/0!</v>
      </c>
      <c r="AB176" s="167" t="e">
        <f t="shared" si="94"/>
        <v>#DIV/0!</v>
      </c>
      <c r="AC176" s="167" t="e">
        <f t="shared" si="94"/>
        <v>#DIV/0!</v>
      </c>
      <c r="AD176" s="167" t="e">
        <f t="shared" si="94"/>
        <v>#DIV/0!</v>
      </c>
      <c r="AE176" s="167" t="e">
        <f t="shared" si="94"/>
        <v>#DIV/0!</v>
      </c>
      <c r="AF176" s="167" t="e">
        <f t="shared" si="94"/>
        <v>#DIV/0!</v>
      </c>
      <c r="AG176" s="167" t="e">
        <f t="shared" si="94"/>
        <v>#DIV/0!</v>
      </c>
      <c r="AH176" s="167" t="e">
        <f t="shared" si="94"/>
        <v>#DIV/0!</v>
      </c>
      <c r="AI176" s="167" t="e">
        <f t="shared" si="94"/>
        <v>#DIV/0!</v>
      </c>
      <c r="AJ176" s="167" t="e">
        <f t="shared" si="94"/>
        <v>#DIV/0!</v>
      </c>
      <c r="AK176" s="167" t="e">
        <f t="shared" si="94"/>
        <v>#DIV/0!</v>
      </c>
      <c r="AL176" s="167" t="e">
        <f t="shared" si="94"/>
        <v>#DIV/0!</v>
      </c>
      <c r="AM176" s="167" t="e">
        <f t="shared" si="94"/>
        <v>#DIV/0!</v>
      </c>
      <c r="AN176" s="167" t="e">
        <f t="shared" si="94"/>
        <v>#DIV/0!</v>
      </c>
      <c r="AO176" s="167" t="e">
        <f t="shared" si="94"/>
        <v>#DIV/0!</v>
      </c>
    </row>
    <row r="177" spans="2:41" x14ac:dyDescent="0.15">
      <c r="B177" s="503" t="s">
        <v>23</v>
      </c>
      <c r="C177" s="128" t="s">
        <v>947</v>
      </c>
      <c r="D177" s="94">
        <f>SUMIFS('caseload data'!E:E,'caseload data'!$D:$D,"PO",'caseload data'!$A:$A,'national caseload'!$B$177:$B$179,'caseload data'!$B:$B,"custody")</f>
        <v>0</v>
      </c>
      <c r="E177" s="94">
        <f>SUMIFS('caseload data'!F:F,'caseload data'!$D:$D,"PO",'caseload data'!$A:$A,'national caseload'!$B$177:$B$179,'caseload data'!$B:$B,"custody")</f>
        <v>0</v>
      </c>
      <c r="F177" s="94">
        <f>SUMIFS('caseload data'!G:G,'caseload data'!$D:$D,"PO",'caseload data'!$A:$A,'national caseload'!$B$177:$B$179,'caseload data'!$B:$B,"custody")</f>
        <v>0</v>
      </c>
      <c r="G177" s="94">
        <f>SUMIFS('caseload data'!H:H,'caseload data'!$D:$D,"PO",'caseload data'!$A:$A,'national caseload'!$B$177:$B$179,'caseload data'!$B:$B,"custody")</f>
        <v>0</v>
      </c>
      <c r="H177" s="94">
        <f>SUMIFS('caseload data'!I:I,'caseload data'!$D:$D,"PO",'caseload data'!$A:$A,'national caseload'!$B$177:$B$179,'caseload data'!$B:$B,"custody")</f>
        <v>0</v>
      </c>
      <c r="I177" s="94">
        <f>SUMIFS('caseload data'!J:J,'caseload data'!$D:$D,"PO",'caseload data'!$A:$A,'national caseload'!$B$177:$B$179,'caseload data'!$B:$B,"custody")</f>
        <v>0</v>
      </c>
      <c r="J177" s="94">
        <f>SUMIFS('caseload data'!K:K,'caseload data'!$D:$D,"PO",'caseload data'!$A:$A,'national caseload'!$B$177:$B$179,'caseload data'!$B:$B,"custody")</f>
        <v>0</v>
      </c>
      <c r="K177" s="94">
        <f>SUMIFS('caseload data'!L:L,'caseload data'!$D:$D,"PO",'caseload data'!$A:$A,'national caseload'!$B$177:$B$179,'caseload data'!$B:$B,"custody")</f>
        <v>0</v>
      </c>
      <c r="L177" s="94">
        <f>SUMIFS('caseload data'!M:M,'caseload data'!$D:$D,"PO",'caseload data'!$A:$A,'national caseload'!$B$177:$B$179,'caseload data'!$B:$B,"custody")</f>
        <v>0</v>
      </c>
      <c r="M177" s="94">
        <f>SUMIFS('caseload data'!N:N,'caseload data'!$D:$D,"PO",'caseload data'!$A:$A,'national caseload'!$B$177:$B$179,'caseload data'!$B:$B,"custody")</f>
        <v>0</v>
      </c>
      <c r="N177" s="94">
        <f>SUMIFS('caseload data'!O:O,'caseload data'!$D:$D,"PO",'caseload data'!$A:$A,'national caseload'!$B$177:$B$179,'caseload data'!$B:$B,"custody")</f>
        <v>0</v>
      </c>
      <c r="O177" s="94">
        <f>SUMIFS('caseload data'!P:P,'caseload data'!$D:$D,"PO",'caseload data'!$A:$A,'national caseload'!$B$177:$B$179,'caseload data'!$B:$B,"custody")</f>
        <v>0</v>
      </c>
      <c r="P177" s="94">
        <f>SUMIFS('caseload data'!Q:Q,'caseload data'!$D:$D,"PO",'caseload data'!$A:$A,'national caseload'!$B$177:$B$179,'caseload data'!$B:$B,"custody")</f>
        <v>0</v>
      </c>
      <c r="Q177" s="94">
        <f>SUMIFS('caseload data'!R:R,'caseload data'!$D:$D,"PO",'caseload data'!$A:$A,'national caseload'!$B$177:$B$179,'caseload data'!$B:$B,"custody")</f>
        <v>0</v>
      </c>
      <c r="R177" s="94">
        <f>SUMIFS('caseload data'!S:S,'caseload data'!$D:$D,"PO",'caseload data'!$A:$A,'national caseload'!$B$177:$B$179,'caseload data'!$B:$B,"custody")</f>
        <v>0</v>
      </c>
      <c r="S177" s="94">
        <f>SUMIFS('caseload data'!T:T,'caseload data'!$D:$D,"PO",'caseload data'!$A:$A,'national caseload'!$B$177:$B$179,'caseload data'!$B:$B,"custody")</f>
        <v>0</v>
      </c>
      <c r="T177" s="94">
        <f>SUMIFS('caseload data'!V:V,'caseload data'!D:D,"PO",'caseload data'!A:A,'national caseload'!B177:B179,'caseload data'!B:B,"custody")</f>
        <v>0</v>
      </c>
      <c r="U177" s="64"/>
      <c r="V177" s="64"/>
      <c r="W177" s="503" t="s">
        <v>23</v>
      </c>
      <c r="X177" s="128" t="s">
        <v>947</v>
      </c>
      <c r="Y177" s="167" t="e">
        <f>SUM(D177)/SUM(D$177:D$181)</f>
        <v>#DIV/0!</v>
      </c>
      <c r="Z177" s="167" t="e">
        <f t="shared" ref="Z177:AO181" si="96">SUM(E177)/SUM(E$177:E$181)</f>
        <v>#DIV/0!</v>
      </c>
      <c r="AA177" s="167" t="e">
        <f t="shared" si="96"/>
        <v>#DIV/0!</v>
      </c>
      <c r="AB177" s="167" t="e">
        <f t="shared" si="96"/>
        <v>#DIV/0!</v>
      </c>
      <c r="AC177" s="167" t="e">
        <f t="shared" si="96"/>
        <v>#DIV/0!</v>
      </c>
      <c r="AD177" s="167" t="e">
        <f t="shared" si="96"/>
        <v>#DIV/0!</v>
      </c>
      <c r="AE177" s="167" t="e">
        <f t="shared" si="96"/>
        <v>#DIV/0!</v>
      </c>
      <c r="AF177" s="167" t="e">
        <f t="shared" si="96"/>
        <v>#DIV/0!</v>
      </c>
      <c r="AG177" s="167" t="e">
        <f t="shared" si="96"/>
        <v>#DIV/0!</v>
      </c>
      <c r="AH177" s="167" t="e">
        <f t="shared" si="96"/>
        <v>#DIV/0!</v>
      </c>
      <c r="AI177" s="167" t="e">
        <f t="shared" si="96"/>
        <v>#DIV/0!</v>
      </c>
      <c r="AJ177" s="167" t="e">
        <f t="shared" si="96"/>
        <v>#DIV/0!</v>
      </c>
      <c r="AK177" s="167" t="e">
        <f t="shared" si="96"/>
        <v>#DIV/0!</v>
      </c>
      <c r="AL177" s="167" t="e">
        <f t="shared" si="96"/>
        <v>#DIV/0!</v>
      </c>
      <c r="AM177" s="167" t="e">
        <f t="shared" si="96"/>
        <v>#DIV/0!</v>
      </c>
      <c r="AN177" s="167" t="e">
        <f t="shared" si="96"/>
        <v>#DIV/0!</v>
      </c>
      <c r="AO177" s="167" t="e">
        <f t="shared" si="96"/>
        <v>#DIV/0!</v>
      </c>
    </row>
    <row r="178" spans="2:41" x14ac:dyDescent="0.15">
      <c r="B178" s="504"/>
      <c r="C178" s="129" t="s">
        <v>952</v>
      </c>
      <c r="D178" s="94">
        <f>SUMIFS('caseload data'!E:E,'caseload data'!$D:$D,"PSO",'caseload data'!$A:$A,"North West Region",'caseload data'!$B:$B,"custody")</f>
        <v>0</v>
      </c>
      <c r="E178" s="94">
        <f>SUMIFS('caseload data'!F:F,'caseload data'!$D:$D,"PSO",'caseload data'!$A:$A,"North West Region",'caseload data'!$B:$B,"custody")</f>
        <v>0</v>
      </c>
      <c r="F178" s="94">
        <f>SUMIFS('caseload data'!G:G,'caseload data'!$D:$D,"PSO",'caseload data'!$A:$A,"North West Region",'caseload data'!$B:$B,"custody")</f>
        <v>0</v>
      </c>
      <c r="G178" s="94">
        <f>SUMIFS('caseload data'!H:H,'caseload data'!$D:$D,"PSO",'caseload data'!$A:$A,"North West Region",'caseload data'!$B:$B,"custody")</f>
        <v>0</v>
      </c>
      <c r="H178" s="94">
        <f>SUMIFS('caseload data'!I:I,'caseload data'!$D:$D,"PSO",'caseload data'!$A:$A,"North West Region",'caseload data'!$B:$B,"custody")</f>
        <v>0</v>
      </c>
      <c r="I178" s="94">
        <f>SUMIFS('caseload data'!J:J,'caseload data'!$D:$D,"PSO",'caseload data'!$A:$A,"North West Region",'caseload data'!$B:$B,"custody")</f>
        <v>0</v>
      </c>
      <c r="J178" s="94">
        <f>SUMIFS('caseload data'!K:K,'caseload data'!$D:$D,"PSO",'caseload data'!$A:$A,"North West Region",'caseload data'!$B:$B,"custody")</f>
        <v>0</v>
      </c>
      <c r="K178" s="94">
        <f>SUMIFS('caseload data'!L:L,'caseload data'!$D:$D,"PSO",'caseload data'!$A:$A,"North West Region",'caseload data'!$B:$B,"custody")</f>
        <v>0</v>
      </c>
      <c r="L178" s="94">
        <f>SUMIFS('caseload data'!M:M,'caseload data'!$D:$D,"PSO",'caseload data'!$A:$A,"North West Region",'caseload data'!$B:$B,"custody")</f>
        <v>0</v>
      </c>
      <c r="M178" s="94">
        <f>SUMIFS('caseload data'!N:N,'caseload data'!$D:$D,"PSO",'caseload data'!$A:$A,"North West Region",'caseload data'!$B:$B,"custody")</f>
        <v>0</v>
      </c>
      <c r="N178" s="94">
        <f>SUMIFS('caseload data'!O:O,'caseload data'!$D:$D,"PSO",'caseload data'!$A:$A,"North West Region",'caseload data'!$B:$B,"custody")</f>
        <v>0</v>
      </c>
      <c r="O178" s="94">
        <f>SUMIFS('caseload data'!P:P,'caseload data'!$D:$D,"PSO",'caseload data'!$A:$A,"North West Region",'caseload data'!$B:$B,"custody")</f>
        <v>0</v>
      </c>
      <c r="P178" s="94">
        <f>SUMIFS('caseload data'!Q:Q,'caseload data'!$D:$D,"PSO",'caseload data'!$A:$A,"North West Region",'caseload data'!$B:$B,"custody")</f>
        <v>0</v>
      </c>
      <c r="Q178" s="94">
        <f>SUMIFS('caseload data'!R:R,'caseload data'!$D:$D,"PSO",'caseload data'!$A:$A,"North West Region",'caseload data'!$B:$B,"custody")</f>
        <v>0</v>
      </c>
      <c r="R178" s="94">
        <f>SUMIFS('caseload data'!S:S,'caseload data'!$D:$D,"PSO",'caseload data'!$A:$A,"North West Region",'caseload data'!$B:$B,"custody")</f>
        <v>0</v>
      </c>
      <c r="S178" s="94">
        <f>SUMIFS('caseload data'!T:T,'caseload data'!$D:$D,"PSO",'caseload data'!$A:$A,"North West Region",'caseload data'!$B:$B,"custody")</f>
        <v>0</v>
      </c>
      <c r="T178" s="94">
        <f>SUMIFS('caseload data'!V:V,'caseload data'!D:D,"PSO",'caseload data'!A:A,"North West Region",'caseload data'!B:B,"custody")</f>
        <v>0</v>
      </c>
      <c r="U178" s="64"/>
      <c r="V178" s="64"/>
      <c r="W178" s="504"/>
      <c r="X178" s="129" t="s">
        <v>952</v>
      </c>
      <c r="Y178" s="167" t="e">
        <f t="shared" ref="Y178:Y181" si="97">SUM(D178)/SUM(D$177:D$181)</f>
        <v>#DIV/0!</v>
      </c>
      <c r="Z178" s="167" t="e">
        <f t="shared" si="96"/>
        <v>#DIV/0!</v>
      </c>
      <c r="AA178" s="167" t="e">
        <f t="shared" si="96"/>
        <v>#DIV/0!</v>
      </c>
      <c r="AB178" s="167" t="e">
        <f t="shared" si="96"/>
        <v>#DIV/0!</v>
      </c>
      <c r="AC178" s="167" t="e">
        <f t="shared" si="96"/>
        <v>#DIV/0!</v>
      </c>
      <c r="AD178" s="167" t="e">
        <f t="shared" si="96"/>
        <v>#DIV/0!</v>
      </c>
      <c r="AE178" s="167" t="e">
        <f t="shared" si="96"/>
        <v>#DIV/0!</v>
      </c>
      <c r="AF178" s="167" t="e">
        <f t="shared" si="96"/>
        <v>#DIV/0!</v>
      </c>
      <c r="AG178" s="167" t="e">
        <f t="shared" si="96"/>
        <v>#DIV/0!</v>
      </c>
      <c r="AH178" s="167" t="e">
        <f t="shared" si="96"/>
        <v>#DIV/0!</v>
      </c>
      <c r="AI178" s="167" t="e">
        <f t="shared" si="96"/>
        <v>#DIV/0!</v>
      </c>
      <c r="AJ178" s="167" t="e">
        <f t="shared" si="96"/>
        <v>#DIV/0!</v>
      </c>
      <c r="AK178" s="167" t="e">
        <f t="shared" si="96"/>
        <v>#DIV/0!</v>
      </c>
      <c r="AL178" s="167" t="e">
        <f t="shared" si="96"/>
        <v>#DIV/0!</v>
      </c>
      <c r="AM178" s="167" t="e">
        <f t="shared" si="96"/>
        <v>#DIV/0!</v>
      </c>
      <c r="AN178" s="167" t="e">
        <f t="shared" si="96"/>
        <v>#DIV/0!</v>
      </c>
      <c r="AO178" s="167" t="e">
        <f t="shared" si="96"/>
        <v>#DIV/0!</v>
      </c>
    </row>
    <row r="179" spans="2:41" x14ac:dyDescent="0.15">
      <c r="B179" s="504"/>
      <c r="C179" s="129" t="s">
        <v>953</v>
      </c>
      <c r="D179" s="94">
        <f>SUMIFS('caseload data'!E:E,'caseload data'!$D:$D,"TPO",'caseload data'!$A:$A,"North West Region",'caseload data'!$B:$B,"custody")</f>
        <v>0</v>
      </c>
      <c r="E179" s="94">
        <f>SUMIFS('caseload data'!F:F,'caseload data'!$D:$D,"TPO",'caseload data'!$A:$A,"North West Region",'caseload data'!$B:$B,"custody")</f>
        <v>0</v>
      </c>
      <c r="F179" s="94">
        <f>SUMIFS('caseload data'!G:G,'caseload data'!$D:$D,"TPO",'caseload data'!$A:$A,"North West Region",'caseload data'!$B:$B,"custody")</f>
        <v>0</v>
      </c>
      <c r="G179" s="94">
        <f>SUMIFS('caseload data'!H:H,'caseload data'!$D:$D,"TPO",'caseload data'!$A:$A,"North West Region",'caseload data'!$B:$B,"custody")</f>
        <v>0</v>
      </c>
      <c r="H179" s="94">
        <f>SUMIFS('caseload data'!I:I,'caseload data'!$D:$D,"TPO",'caseload data'!$A:$A,"North West Region",'caseload data'!$B:$B,"custody")</f>
        <v>0</v>
      </c>
      <c r="I179" s="94">
        <f>SUMIFS('caseload data'!J:J,'caseload data'!$D:$D,"TPO",'caseload data'!$A:$A,"North West Region",'caseload data'!$B:$B,"custody")</f>
        <v>0</v>
      </c>
      <c r="J179" s="94">
        <f>SUMIFS('caseload data'!K:K,'caseload data'!$D:$D,"TPO",'caseload data'!$A:$A,"North West Region",'caseload data'!$B:$B,"custody")</f>
        <v>0</v>
      </c>
      <c r="K179" s="94">
        <f>SUMIFS('caseload data'!L:L,'caseload data'!$D:$D,"TPO",'caseload data'!$A:$A,"North West Region",'caseload data'!$B:$B,"custody")</f>
        <v>0</v>
      </c>
      <c r="L179" s="94">
        <f>SUMIFS('caseload data'!M:M,'caseload data'!$D:$D,"TPO",'caseload data'!$A:$A,"North West Region",'caseload data'!$B:$B,"custody")</f>
        <v>0</v>
      </c>
      <c r="M179" s="94">
        <f>SUMIFS('caseload data'!N:N,'caseload data'!$D:$D,"TPO",'caseload data'!$A:$A,"North West Region",'caseload data'!$B:$B,"custody")</f>
        <v>0</v>
      </c>
      <c r="N179" s="94">
        <f>SUMIFS('caseload data'!O:O,'caseload data'!$D:$D,"TPO",'caseload data'!$A:$A,"North West Region",'caseload data'!$B:$B,"custody")</f>
        <v>0</v>
      </c>
      <c r="O179" s="94">
        <f>SUMIFS('caseload data'!P:P,'caseload data'!$D:$D,"TPO",'caseload data'!$A:$A,"North West Region",'caseload data'!$B:$B,"custody")</f>
        <v>0</v>
      </c>
      <c r="P179" s="94">
        <f>SUMIFS('caseload data'!Q:Q,'caseload data'!$D:$D,"TPO",'caseload data'!$A:$A,"North West Region",'caseload data'!$B:$B,"custody")</f>
        <v>0</v>
      </c>
      <c r="Q179" s="94">
        <f>SUMIFS('caseload data'!R:R,'caseload data'!$D:$D,"TPO",'caseload data'!$A:$A,"North West Region",'caseload data'!$B:$B,"custody")</f>
        <v>0</v>
      </c>
      <c r="R179" s="94">
        <f>SUMIFS('caseload data'!S:S,'caseload data'!$D:$D,"TPO",'caseload data'!$A:$A,"North West Region",'caseload data'!$B:$B,"custody")</f>
        <v>0</v>
      </c>
      <c r="S179" s="94">
        <f>SUMIFS('caseload data'!T:T,'caseload data'!$D:$D,"TPO",'caseload data'!$A:$A,"North West Region",'caseload data'!$B:$B,"custody")</f>
        <v>0</v>
      </c>
      <c r="T179" s="94">
        <f>SUMIFS('caseload data'!V:V,'caseload data'!D:D,"TPO",'caseload data'!A:A,"North West Region",'caseload data'!B:B,"custody")</f>
        <v>0</v>
      </c>
      <c r="U179" s="64"/>
      <c r="V179" s="64"/>
      <c r="W179" s="504"/>
      <c r="X179" s="129" t="s">
        <v>953</v>
      </c>
      <c r="Y179" s="167" t="e">
        <f t="shared" si="97"/>
        <v>#DIV/0!</v>
      </c>
      <c r="Z179" s="167" t="e">
        <f t="shared" si="96"/>
        <v>#DIV/0!</v>
      </c>
      <c r="AA179" s="167" t="e">
        <f t="shared" si="96"/>
        <v>#DIV/0!</v>
      </c>
      <c r="AB179" s="167" t="e">
        <f t="shared" si="96"/>
        <v>#DIV/0!</v>
      </c>
      <c r="AC179" s="167" t="e">
        <f t="shared" si="96"/>
        <v>#DIV/0!</v>
      </c>
      <c r="AD179" s="167" t="e">
        <f t="shared" si="96"/>
        <v>#DIV/0!</v>
      </c>
      <c r="AE179" s="167" t="e">
        <f t="shared" si="96"/>
        <v>#DIV/0!</v>
      </c>
      <c r="AF179" s="167" t="e">
        <f t="shared" si="96"/>
        <v>#DIV/0!</v>
      </c>
      <c r="AG179" s="167" t="e">
        <f t="shared" si="96"/>
        <v>#DIV/0!</v>
      </c>
      <c r="AH179" s="167" t="e">
        <f t="shared" si="96"/>
        <v>#DIV/0!</v>
      </c>
      <c r="AI179" s="167" t="e">
        <f t="shared" si="96"/>
        <v>#DIV/0!</v>
      </c>
      <c r="AJ179" s="167" t="e">
        <f t="shared" si="96"/>
        <v>#DIV/0!</v>
      </c>
      <c r="AK179" s="167" t="e">
        <f t="shared" si="96"/>
        <v>#DIV/0!</v>
      </c>
      <c r="AL179" s="167" t="e">
        <f t="shared" si="96"/>
        <v>#DIV/0!</v>
      </c>
      <c r="AM179" s="167" t="e">
        <f t="shared" si="96"/>
        <v>#DIV/0!</v>
      </c>
      <c r="AN179" s="167" t="e">
        <f t="shared" si="96"/>
        <v>#DIV/0!</v>
      </c>
      <c r="AO179" s="167" t="e">
        <f t="shared" si="96"/>
        <v>#DIV/0!</v>
      </c>
    </row>
    <row r="180" spans="2:41" x14ac:dyDescent="0.15">
      <c r="B180" s="504"/>
      <c r="C180" s="129" t="s">
        <v>954</v>
      </c>
      <c r="D180" s="94">
        <f>SUMIFS('caseload data'!E:E,'caseload data'!$D:$D,"SPO",'caseload data'!$A:$A,"North West Region",'caseload data'!$B:$B,"custody")</f>
        <v>0</v>
      </c>
      <c r="E180" s="94">
        <f>SUMIFS('caseload data'!F:F,'caseload data'!$D:$D,"SPO",'caseload data'!$A:$A,"North West Region",'caseload data'!$B:$B,"custody")</f>
        <v>0</v>
      </c>
      <c r="F180" s="94">
        <f>SUMIFS('caseload data'!G:G,'caseload data'!$D:$D,"SPO",'caseload data'!$A:$A,"North West Region",'caseload data'!$B:$B,"custody")</f>
        <v>0</v>
      </c>
      <c r="G180" s="94">
        <f>SUMIFS('caseload data'!H:H,'caseload data'!$D:$D,"SPO",'caseload data'!$A:$A,"North West Region",'caseload data'!$B:$B,"custody")</f>
        <v>0</v>
      </c>
      <c r="H180" s="94">
        <f>SUMIFS('caseload data'!I:I,'caseload data'!$D:$D,"SPO",'caseload data'!$A:$A,"North West Region",'caseload data'!$B:$B,"custody")</f>
        <v>0</v>
      </c>
      <c r="I180" s="94">
        <f>SUMIFS('caseload data'!J:J,'caseload data'!$D:$D,"SPO",'caseload data'!$A:$A,"North West Region",'caseload data'!$B:$B,"custody")</f>
        <v>0</v>
      </c>
      <c r="J180" s="94">
        <f>SUMIFS('caseload data'!K:K,'caseload data'!$D:$D,"SPO",'caseload data'!$A:$A,"North West Region",'caseload data'!$B:$B,"custody")</f>
        <v>0</v>
      </c>
      <c r="K180" s="94">
        <f>SUMIFS('caseload data'!L:L,'caseload data'!$D:$D,"SPO",'caseload data'!$A:$A,"North West Region",'caseload data'!$B:$B,"custody")</f>
        <v>0</v>
      </c>
      <c r="L180" s="94">
        <f>SUMIFS('caseload data'!M:M,'caseload data'!$D:$D,"SPO",'caseload data'!$A:$A,"North West Region",'caseload data'!$B:$B,"custody")</f>
        <v>0</v>
      </c>
      <c r="M180" s="94">
        <f>SUMIFS('caseload data'!N:N,'caseload data'!$D:$D,"SPO",'caseload data'!$A:$A,"North West Region",'caseload data'!$B:$B,"custody")</f>
        <v>0</v>
      </c>
      <c r="N180" s="94">
        <f>SUMIFS('caseload data'!O:O,'caseload data'!$D:$D,"SPO",'caseload data'!$A:$A,"North West Region",'caseload data'!$B:$B,"custody")</f>
        <v>0</v>
      </c>
      <c r="O180" s="94">
        <f>SUMIFS('caseload data'!P:P,'caseload data'!$D:$D,"SPO",'caseload data'!$A:$A,"North West Region",'caseload data'!$B:$B,"custody")</f>
        <v>0</v>
      </c>
      <c r="P180" s="94">
        <f>SUMIFS('caseload data'!Q:Q,'caseload data'!$D:$D,"SPO",'caseload data'!$A:$A,"North West Region",'caseload data'!$B:$B,"custody")</f>
        <v>0</v>
      </c>
      <c r="Q180" s="94">
        <f>SUMIFS('caseload data'!R:R,'caseload data'!$D:$D,"SPO",'caseload data'!$A:$A,"North West Region",'caseload data'!$B:$B,"custody")</f>
        <v>0</v>
      </c>
      <c r="R180" s="94">
        <f>SUMIFS('caseload data'!S:S,'caseload data'!$D:$D,"SPO",'caseload data'!$A:$A,"North West Region",'caseload data'!$B:$B,"custody")</f>
        <v>0</v>
      </c>
      <c r="S180" s="94">
        <f>SUMIFS('caseload data'!T:T,'caseload data'!$D:$D,"SPO",'caseload data'!$A:$A,"North West Region",'caseload data'!$B:$B,"custody")</f>
        <v>0</v>
      </c>
      <c r="T180" s="94">
        <f>SUMIFS('caseload data'!V:V,'caseload data'!$D:$D,"SPO",'caseload data'!$A:$A,"North West Region",'caseload data'!$B:$B,"custody")</f>
        <v>0</v>
      </c>
      <c r="U180" s="64"/>
      <c r="V180" s="64"/>
      <c r="W180" s="504"/>
      <c r="X180" s="129" t="s">
        <v>954</v>
      </c>
      <c r="Y180" s="167" t="e">
        <f t="shared" si="97"/>
        <v>#DIV/0!</v>
      </c>
      <c r="Z180" s="167" t="e">
        <f t="shared" si="96"/>
        <v>#DIV/0!</v>
      </c>
      <c r="AA180" s="167" t="e">
        <f t="shared" si="96"/>
        <v>#DIV/0!</v>
      </c>
      <c r="AB180" s="167" t="e">
        <f t="shared" si="96"/>
        <v>#DIV/0!</v>
      </c>
      <c r="AC180" s="167" t="e">
        <f t="shared" si="96"/>
        <v>#DIV/0!</v>
      </c>
      <c r="AD180" s="167" t="e">
        <f t="shared" si="96"/>
        <v>#DIV/0!</v>
      </c>
      <c r="AE180" s="167" t="e">
        <f t="shared" si="96"/>
        <v>#DIV/0!</v>
      </c>
      <c r="AF180" s="167" t="e">
        <f t="shared" si="96"/>
        <v>#DIV/0!</v>
      </c>
      <c r="AG180" s="167" t="e">
        <f t="shared" si="96"/>
        <v>#DIV/0!</v>
      </c>
      <c r="AH180" s="167" t="e">
        <f t="shared" si="96"/>
        <v>#DIV/0!</v>
      </c>
      <c r="AI180" s="167" t="e">
        <f t="shared" si="96"/>
        <v>#DIV/0!</v>
      </c>
      <c r="AJ180" s="167" t="e">
        <f t="shared" si="96"/>
        <v>#DIV/0!</v>
      </c>
      <c r="AK180" s="167" t="e">
        <f t="shared" si="96"/>
        <v>#DIV/0!</v>
      </c>
      <c r="AL180" s="167" t="e">
        <f t="shared" si="96"/>
        <v>#DIV/0!</v>
      </c>
      <c r="AM180" s="167" t="e">
        <f t="shared" si="96"/>
        <v>#DIV/0!</v>
      </c>
      <c r="AN180" s="167" t="e">
        <f t="shared" si="96"/>
        <v>#DIV/0!</v>
      </c>
      <c r="AO180" s="167" t="e">
        <f t="shared" si="96"/>
        <v>#DIV/0!</v>
      </c>
    </row>
    <row r="181" spans="2:41" x14ac:dyDescent="0.15">
      <c r="B181" s="505"/>
      <c r="C181" s="130" t="s">
        <v>1286</v>
      </c>
      <c r="D181" s="94">
        <f>SUMIFS('caseload data'!E:E,'caseload data'!$D:$D,"DMY",'caseload data'!$A:$A,"North West Region",'caseload data'!$B:$B,"custody")</f>
        <v>0</v>
      </c>
      <c r="E181" s="94">
        <f>SUMIFS('caseload data'!F:F,'caseload data'!$D:$D,"DMY",'caseload data'!$A:$A,"North West Region",'caseload data'!$B:$B,"custody")</f>
        <v>0</v>
      </c>
      <c r="F181" s="94">
        <f>SUMIFS('caseload data'!G:G,'caseload data'!$D:$D,"DMY",'caseload data'!$A:$A,"North West Region",'caseload data'!$B:$B,"custody")</f>
        <v>0</v>
      </c>
      <c r="G181" s="94">
        <f>SUMIFS('caseload data'!H:H,'caseload data'!$D:$D,"DMY",'caseload data'!$A:$A,"North West Region",'caseload data'!$B:$B,"custody")</f>
        <v>0</v>
      </c>
      <c r="H181" s="94">
        <f>SUMIFS('caseload data'!I:I,'caseload data'!$D:$D,"DMY",'caseload data'!$A:$A,"North West Region",'caseload data'!$B:$B,"custody")</f>
        <v>0</v>
      </c>
      <c r="I181" s="94">
        <f>SUMIFS('caseload data'!J:J,'caseload data'!$D:$D,"DMY",'caseload data'!$A:$A,"North West Region",'caseload data'!$B:$B,"custody")</f>
        <v>0</v>
      </c>
      <c r="J181" s="94">
        <f>SUMIFS('caseload data'!K:K,'caseload data'!$D:$D,"DMY",'caseload data'!$A:$A,"North West Region",'caseload data'!$B:$B,"custody")</f>
        <v>0</v>
      </c>
      <c r="K181" s="94">
        <f>SUMIFS('caseload data'!L:L,'caseload data'!$D:$D,"DMY",'caseload data'!$A:$A,"North West Region",'caseload data'!$B:$B,"custody")</f>
        <v>0</v>
      </c>
      <c r="L181" s="94">
        <f>SUMIFS('caseload data'!M:M,'caseload data'!$D:$D,"DMY",'caseload data'!$A:$A,"North West Region",'caseload data'!$B:$B,"custody")</f>
        <v>0</v>
      </c>
      <c r="M181" s="94">
        <f>SUMIFS('caseload data'!N:N,'caseload data'!$D:$D,"DMY",'caseload data'!$A:$A,"North West Region",'caseload data'!$B:$B,"custody")</f>
        <v>0</v>
      </c>
      <c r="N181" s="94">
        <f>SUMIFS('caseload data'!O:O,'caseload data'!$D:$D,"DMY",'caseload data'!$A:$A,"North West Region",'caseload data'!$B:$B,"custody")</f>
        <v>0</v>
      </c>
      <c r="O181" s="94">
        <f>SUMIFS('caseload data'!P:P,'caseload data'!$D:$D,"DMY",'caseload data'!$A:$A,"North West Region",'caseload data'!$B:$B,"custody")</f>
        <v>0</v>
      </c>
      <c r="P181" s="94">
        <f>SUMIFS('caseload data'!Q:Q,'caseload data'!$D:$D,"DMY",'caseload data'!$A:$A,"North West Region",'caseload data'!$B:$B,"custody")</f>
        <v>0</v>
      </c>
      <c r="Q181" s="94">
        <f>SUMIFS('caseload data'!R:R,'caseload data'!$D:$D,"DMY",'caseload data'!$A:$A,"North West Region",'caseload data'!$B:$B,"custody")</f>
        <v>0</v>
      </c>
      <c r="R181" s="94">
        <f>SUMIFS('caseload data'!S:S,'caseload data'!$D:$D,"DMY",'caseload data'!$A:$A,"North West Region",'caseload data'!$B:$B,"custody")</f>
        <v>0</v>
      </c>
      <c r="S181" s="94">
        <f>SUMIFS('caseload data'!T:T,'caseload data'!$D:$D,"DMY",'caseload data'!$A:$A,"North West Region",'caseload data'!$B:$B,"custody")</f>
        <v>0</v>
      </c>
      <c r="T181" s="94">
        <f>SUMIFS('caseload data'!V:V,'caseload data'!$D:$D,"DMY",'caseload data'!$A:$A,"North West Region",'caseload data'!$B:$B,"custody")</f>
        <v>0</v>
      </c>
      <c r="U181" s="64"/>
      <c r="V181" s="64"/>
      <c r="W181" s="505"/>
      <c r="X181" s="130" t="s">
        <v>1286</v>
      </c>
      <c r="Y181" s="167" t="e">
        <f t="shared" si="97"/>
        <v>#DIV/0!</v>
      </c>
      <c r="Z181" s="167" t="e">
        <f t="shared" si="96"/>
        <v>#DIV/0!</v>
      </c>
      <c r="AA181" s="167" t="e">
        <f t="shared" si="96"/>
        <v>#DIV/0!</v>
      </c>
      <c r="AB181" s="167" t="e">
        <f t="shared" si="96"/>
        <v>#DIV/0!</v>
      </c>
      <c r="AC181" s="167" t="e">
        <f t="shared" si="96"/>
        <v>#DIV/0!</v>
      </c>
      <c r="AD181" s="167" t="e">
        <f t="shared" si="96"/>
        <v>#DIV/0!</v>
      </c>
      <c r="AE181" s="167" t="e">
        <f t="shared" si="96"/>
        <v>#DIV/0!</v>
      </c>
      <c r="AF181" s="167" t="e">
        <f t="shared" si="96"/>
        <v>#DIV/0!</v>
      </c>
      <c r="AG181" s="167" t="e">
        <f t="shared" si="96"/>
        <v>#DIV/0!</v>
      </c>
      <c r="AH181" s="167" t="e">
        <f t="shared" si="96"/>
        <v>#DIV/0!</v>
      </c>
      <c r="AI181" s="167" t="e">
        <f t="shared" si="96"/>
        <v>#DIV/0!</v>
      </c>
      <c r="AJ181" s="167" t="e">
        <f t="shared" si="96"/>
        <v>#DIV/0!</v>
      </c>
      <c r="AK181" s="167" t="e">
        <f t="shared" si="96"/>
        <v>#DIV/0!</v>
      </c>
      <c r="AL181" s="167" t="e">
        <f t="shared" si="96"/>
        <v>#DIV/0!</v>
      </c>
      <c r="AM181" s="167" t="e">
        <f t="shared" si="96"/>
        <v>#DIV/0!</v>
      </c>
      <c r="AN181" s="167" t="e">
        <f t="shared" si="96"/>
        <v>#DIV/0!</v>
      </c>
      <c r="AO181" s="167" t="e">
        <f t="shared" si="96"/>
        <v>#DIV/0!</v>
      </c>
    </row>
    <row r="182" spans="2:41" x14ac:dyDescent="0.15">
      <c r="B182" s="503" t="s">
        <v>24</v>
      </c>
      <c r="C182" s="128" t="s">
        <v>947</v>
      </c>
      <c r="D182" s="94">
        <f>SUMIFS('caseload data'!E:E,'caseload data'!$D:$D,"PO",'caseload data'!$A:$A,'national caseload'!$B$182:$B$184,'caseload data'!$B:$B,"custody")</f>
        <v>0</v>
      </c>
      <c r="E182" s="94">
        <f>SUMIFS('caseload data'!F:F,'caseload data'!$D:$D,"PO",'caseload data'!$A:$A,'national caseload'!$B$182:$B$184,'caseload data'!$B:$B,"custody")</f>
        <v>0</v>
      </c>
      <c r="F182" s="94">
        <f>SUMIFS('caseload data'!G:G,'caseload data'!$D:$D,"PO",'caseload data'!$A:$A,'national caseload'!$B$182:$B$184,'caseload data'!$B:$B,"custody")</f>
        <v>0</v>
      </c>
      <c r="G182" s="94">
        <f>SUMIFS('caseload data'!H:H,'caseload data'!$D:$D,"PO",'caseload data'!$A:$A,'national caseload'!$B$182:$B$184,'caseload data'!$B:$B,"custody")</f>
        <v>0</v>
      </c>
      <c r="H182" s="94">
        <f>SUMIFS('caseload data'!I:I,'caseload data'!$D:$D,"PO",'caseload data'!$A:$A,'national caseload'!$B$182:$B$184,'caseload data'!$B:$B,"custody")</f>
        <v>0</v>
      </c>
      <c r="I182" s="94">
        <f>SUMIFS('caseload data'!J:J,'caseload data'!$D:$D,"PO",'caseload data'!$A:$A,'national caseload'!$B$182:$B$184,'caseload data'!$B:$B,"custody")</f>
        <v>0</v>
      </c>
      <c r="J182" s="94">
        <f>SUMIFS('caseload data'!K:K,'caseload data'!$D:$D,"PO",'caseload data'!$A:$A,'national caseload'!$B$182:$B$184,'caseload data'!$B:$B,"custody")</f>
        <v>0</v>
      </c>
      <c r="K182" s="94">
        <f>SUMIFS('caseload data'!L:L,'caseload data'!$D:$D,"PO",'caseload data'!$A:$A,'national caseload'!$B$182:$B$184,'caseload data'!$B:$B,"custody")</f>
        <v>0</v>
      </c>
      <c r="L182" s="94">
        <f>SUMIFS('caseload data'!M:M,'caseload data'!$D:$D,"PO",'caseload data'!$A:$A,'national caseload'!$B$182:$B$184,'caseload data'!$B:$B,"custody")</f>
        <v>0</v>
      </c>
      <c r="M182" s="94">
        <f>SUMIFS('caseload data'!N:N,'caseload data'!$D:$D,"PO",'caseload data'!$A:$A,'national caseload'!$B$182:$B$184,'caseload data'!$B:$B,"custody")</f>
        <v>0</v>
      </c>
      <c r="N182" s="94">
        <f>SUMIFS('caseload data'!O:O,'caseload data'!$D:$D,"PO",'caseload data'!$A:$A,'national caseload'!$B$182:$B$184,'caseload data'!$B:$B,"custody")</f>
        <v>0</v>
      </c>
      <c r="O182" s="94">
        <f>SUMIFS('caseload data'!P:P,'caseload data'!$D:$D,"PO",'caseload data'!$A:$A,'national caseload'!$B$182:$B$184,'caseload data'!$B:$B,"custody")</f>
        <v>0</v>
      </c>
      <c r="P182" s="94">
        <f>SUMIFS('caseload data'!Q:Q,'caseload data'!$D:$D,"PO",'caseload data'!$A:$A,'national caseload'!$B$182:$B$184,'caseload data'!$B:$B,"custody")</f>
        <v>0</v>
      </c>
      <c r="Q182" s="94">
        <f>SUMIFS('caseload data'!R:R,'caseload data'!$D:$D,"PO",'caseload data'!$A:$A,'national caseload'!$B$182:$B$184,'caseload data'!$B:$B,"custody")</f>
        <v>0</v>
      </c>
      <c r="R182" s="94">
        <f>SUMIFS('caseload data'!S:S,'caseload data'!$D:$D,"PO",'caseload data'!$A:$A,'national caseload'!$B$182:$B$184,'caseload data'!$B:$B,"custody")</f>
        <v>0</v>
      </c>
      <c r="S182" s="94">
        <f>SUMIFS('caseload data'!T:T,'caseload data'!$D:$D,"PO",'caseload data'!$A:$A,'national caseload'!$B$182:$B$184,'caseload data'!$B:$B,"custody")</f>
        <v>0</v>
      </c>
      <c r="T182" s="94">
        <f>SUMIFS('caseload data'!V:V,'caseload data'!D:D,"PO",'caseload data'!A:A,'national caseload'!B182:B184,'caseload data'!B:B,"custody")</f>
        <v>0</v>
      </c>
      <c r="U182" s="64"/>
      <c r="V182" s="64"/>
      <c r="W182" s="503" t="s">
        <v>24</v>
      </c>
      <c r="X182" s="128" t="s">
        <v>947</v>
      </c>
      <c r="Y182" s="167" t="e">
        <f>SUM(D182)/SUM(D$182:D$185)</f>
        <v>#DIV/0!</v>
      </c>
      <c r="Z182" s="167" t="e">
        <f t="shared" ref="Z182:AO186" si="98">SUM(E182)/SUM(E$182:E$185)</f>
        <v>#DIV/0!</v>
      </c>
      <c r="AA182" s="167" t="e">
        <f t="shared" si="98"/>
        <v>#DIV/0!</v>
      </c>
      <c r="AB182" s="167" t="e">
        <f t="shared" si="98"/>
        <v>#DIV/0!</v>
      </c>
      <c r="AC182" s="167" t="e">
        <f t="shared" si="98"/>
        <v>#DIV/0!</v>
      </c>
      <c r="AD182" s="167" t="e">
        <f t="shared" si="98"/>
        <v>#DIV/0!</v>
      </c>
      <c r="AE182" s="167" t="e">
        <f t="shared" si="98"/>
        <v>#DIV/0!</v>
      </c>
      <c r="AF182" s="167" t="e">
        <f t="shared" si="98"/>
        <v>#DIV/0!</v>
      </c>
      <c r="AG182" s="167" t="e">
        <f t="shared" si="98"/>
        <v>#DIV/0!</v>
      </c>
      <c r="AH182" s="167" t="e">
        <f t="shared" si="98"/>
        <v>#DIV/0!</v>
      </c>
      <c r="AI182" s="167" t="e">
        <f t="shared" si="98"/>
        <v>#DIV/0!</v>
      </c>
      <c r="AJ182" s="167" t="e">
        <f t="shared" si="98"/>
        <v>#DIV/0!</v>
      </c>
      <c r="AK182" s="167" t="e">
        <f t="shared" si="98"/>
        <v>#DIV/0!</v>
      </c>
      <c r="AL182" s="167" t="e">
        <f t="shared" si="98"/>
        <v>#DIV/0!</v>
      </c>
      <c r="AM182" s="167" t="e">
        <f t="shared" si="98"/>
        <v>#DIV/0!</v>
      </c>
      <c r="AN182" s="167" t="e">
        <f t="shared" si="98"/>
        <v>#DIV/0!</v>
      </c>
      <c r="AO182" s="167" t="e">
        <f t="shared" si="98"/>
        <v>#DIV/0!</v>
      </c>
    </row>
    <row r="183" spans="2:41" x14ac:dyDescent="0.15">
      <c r="B183" s="504"/>
      <c r="C183" s="129" t="s">
        <v>952</v>
      </c>
      <c r="D183" s="94">
        <f>SUMIFS('caseload data'!E:E,'caseload data'!$D:$D,"PSO",'caseload data'!$A:$A,"South Central",'caseload data'!$B:$B,"custody")</f>
        <v>0</v>
      </c>
      <c r="E183" s="94">
        <f>SUMIFS('caseload data'!F:F,'caseload data'!$D:$D,"PSO",'caseload data'!$A:$A,"South Central",'caseload data'!$B:$B,"custody")</f>
        <v>0</v>
      </c>
      <c r="F183" s="94">
        <f>SUMIFS('caseload data'!G:G,'caseload data'!$D:$D,"PSO",'caseload data'!$A:$A,"South Central",'caseload data'!$B:$B,"custody")</f>
        <v>0</v>
      </c>
      <c r="G183" s="94">
        <f>SUMIFS('caseload data'!H:H,'caseload data'!$D:$D,"PSO",'caseload data'!$A:$A,"South Central",'caseload data'!$B:$B,"custody")</f>
        <v>0</v>
      </c>
      <c r="H183" s="94">
        <f>SUMIFS('caseload data'!I:I,'caseload data'!$D:$D,"PSO",'caseload data'!$A:$A,"South Central",'caseload data'!$B:$B,"custody")</f>
        <v>0</v>
      </c>
      <c r="I183" s="94">
        <f>SUMIFS('caseload data'!J:J,'caseload data'!$D:$D,"PSO",'caseload data'!$A:$A,"South Central",'caseload data'!$B:$B,"custody")</f>
        <v>0</v>
      </c>
      <c r="J183" s="94">
        <f>SUMIFS('caseload data'!K:K,'caseload data'!$D:$D,"PSO",'caseload data'!$A:$A,"South Central",'caseload data'!$B:$B,"custody")</f>
        <v>0</v>
      </c>
      <c r="K183" s="94">
        <f>SUMIFS('caseload data'!L:L,'caseload data'!$D:$D,"PSO",'caseload data'!$A:$A,"South Central",'caseload data'!$B:$B,"custody")</f>
        <v>0</v>
      </c>
      <c r="L183" s="94">
        <f>SUMIFS('caseload data'!M:M,'caseload data'!$D:$D,"PSO",'caseload data'!$A:$A,"South Central",'caseload data'!$B:$B,"custody")</f>
        <v>0</v>
      </c>
      <c r="M183" s="94">
        <f>SUMIFS('caseload data'!N:N,'caseload data'!$D:$D,"PSO",'caseload data'!$A:$A,"South Central",'caseload data'!$B:$B,"custody")</f>
        <v>0</v>
      </c>
      <c r="N183" s="94">
        <f>SUMIFS('caseload data'!O:O,'caseload data'!$D:$D,"PSO",'caseload data'!$A:$A,"South Central",'caseload data'!$B:$B,"custody")</f>
        <v>0</v>
      </c>
      <c r="O183" s="94">
        <f>SUMIFS('caseload data'!P:P,'caseload data'!$D:$D,"PSO",'caseload data'!$A:$A,"South Central",'caseload data'!$B:$B,"custody")</f>
        <v>0</v>
      </c>
      <c r="P183" s="94">
        <f>SUMIFS('caseload data'!Q:Q,'caseload data'!$D:$D,"PSO",'caseload data'!$A:$A,"South Central",'caseload data'!$B:$B,"custody")</f>
        <v>0</v>
      </c>
      <c r="Q183" s="94">
        <f>SUMIFS('caseload data'!R:R,'caseload data'!$D:$D,"PSO",'caseload data'!$A:$A,"South Central",'caseload data'!$B:$B,"custody")</f>
        <v>0</v>
      </c>
      <c r="R183" s="94">
        <f>SUMIFS('caseload data'!S:S,'caseload data'!$D:$D,"PSO",'caseload data'!$A:$A,"South Central",'caseload data'!$B:$B,"custody")</f>
        <v>0</v>
      </c>
      <c r="S183" s="94">
        <f>SUMIFS('caseload data'!T:T,'caseload data'!$D:$D,"PSO",'caseload data'!$A:$A,"South Central",'caseload data'!$B:$B,"custody")</f>
        <v>0</v>
      </c>
      <c r="T183" s="94">
        <f>SUMIFS('caseload data'!V:V,'caseload data'!D:D,"PSO",'caseload data'!A:A,"South Central",'caseload data'!B:B,"custody")</f>
        <v>0</v>
      </c>
      <c r="U183" s="64"/>
      <c r="V183" s="64"/>
      <c r="W183" s="504"/>
      <c r="X183" s="129" t="s">
        <v>952</v>
      </c>
      <c r="Y183" s="167" t="e">
        <f t="shared" ref="Y183:Y186" si="99">SUM(D183)/SUM(D$182:D$185)</f>
        <v>#DIV/0!</v>
      </c>
      <c r="Z183" s="167" t="e">
        <f t="shared" si="98"/>
        <v>#DIV/0!</v>
      </c>
      <c r="AA183" s="167" t="e">
        <f t="shared" si="98"/>
        <v>#DIV/0!</v>
      </c>
      <c r="AB183" s="167" t="e">
        <f t="shared" si="98"/>
        <v>#DIV/0!</v>
      </c>
      <c r="AC183" s="167" t="e">
        <f t="shared" si="98"/>
        <v>#DIV/0!</v>
      </c>
      <c r="AD183" s="167" t="e">
        <f t="shared" si="98"/>
        <v>#DIV/0!</v>
      </c>
      <c r="AE183" s="167" t="e">
        <f t="shared" si="98"/>
        <v>#DIV/0!</v>
      </c>
      <c r="AF183" s="167" t="e">
        <f t="shared" si="98"/>
        <v>#DIV/0!</v>
      </c>
      <c r="AG183" s="167" t="e">
        <f t="shared" si="98"/>
        <v>#DIV/0!</v>
      </c>
      <c r="AH183" s="167" t="e">
        <f t="shared" si="98"/>
        <v>#DIV/0!</v>
      </c>
      <c r="AI183" s="167" t="e">
        <f t="shared" si="98"/>
        <v>#DIV/0!</v>
      </c>
      <c r="AJ183" s="167" t="e">
        <f t="shared" si="98"/>
        <v>#DIV/0!</v>
      </c>
      <c r="AK183" s="167" t="e">
        <f t="shared" si="98"/>
        <v>#DIV/0!</v>
      </c>
      <c r="AL183" s="167" t="e">
        <f t="shared" si="98"/>
        <v>#DIV/0!</v>
      </c>
      <c r="AM183" s="167" t="e">
        <f t="shared" si="98"/>
        <v>#DIV/0!</v>
      </c>
      <c r="AN183" s="167" t="e">
        <f t="shared" si="98"/>
        <v>#DIV/0!</v>
      </c>
      <c r="AO183" s="167" t="e">
        <f t="shared" si="98"/>
        <v>#DIV/0!</v>
      </c>
    </row>
    <row r="184" spans="2:41" x14ac:dyDescent="0.15">
      <c r="B184" s="504"/>
      <c r="C184" s="129" t="s">
        <v>953</v>
      </c>
      <c r="D184" s="94">
        <f>SUMIFS('caseload data'!E:E,'caseload data'!$D:$D,"TPO",'caseload data'!$A:$A,"South Central",'caseload data'!$B:$B,"custody")</f>
        <v>0</v>
      </c>
      <c r="E184" s="94">
        <f>SUMIFS('caseload data'!F:F,'caseload data'!$D:$D,"TPO",'caseload data'!$A:$A,"South Central",'caseload data'!$B:$B,"custody")</f>
        <v>0</v>
      </c>
      <c r="F184" s="94">
        <f>SUMIFS('caseload data'!G:G,'caseload data'!$D:$D,"TPO",'caseload data'!$A:$A,"South Central",'caseload data'!$B:$B,"custody")</f>
        <v>0</v>
      </c>
      <c r="G184" s="94">
        <f>SUMIFS('caseload data'!H:H,'caseload data'!$D:$D,"TPO",'caseload data'!$A:$A,"South Central",'caseload data'!$B:$B,"custody")</f>
        <v>0</v>
      </c>
      <c r="H184" s="94">
        <f>SUMIFS('caseload data'!I:I,'caseload data'!$D:$D,"TPO",'caseload data'!$A:$A,"South Central",'caseload data'!$B:$B,"custody")</f>
        <v>0</v>
      </c>
      <c r="I184" s="94">
        <f>SUMIFS('caseload data'!J:J,'caseload data'!$D:$D,"TPO",'caseload data'!$A:$A,"South Central",'caseload data'!$B:$B,"custody")</f>
        <v>0</v>
      </c>
      <c r="J184" s="94">
        <f>SUMIFS('caseload data'!K:K,'caseload data'!$D:$D,"TPO",'caseload data'!$A:$A,"South Central",'caseload data'!$B:$B,"custody")</f>
        <v>0</v>
      </c>
      <c r="K184" s="94">
        <f>SUMIFS('caseload data'!L:L,'caseload data'!$D:$D,"TPO",'caseload data'!$A:$A,"South Central",'caseload data'!$B:$B,"custody")</f>
        <v>0</v>
      </c>
      <c r="L184" s="94">
        <f>SUMIFS('caseload data'!M:M,'caseload data'!$D:$D,"TPO",'caseload data'!$A:$A,"South Central",'caseload data'!$B:$B,"custody")</f>
        <v>0</v>
      </c>
      <c r="M184" s="94">
        <f>SUMIFS('caseload data'!N:N,'caseload data'!$D:$D,"TPO",'caseload data'!$A:$A,"South Central",'caseload data'!$B:$B,"custody")</f>
        <v>0</v>
      </c>
      <c r="N184" s="94">
        <f>SUMIFS('caseload data'!O:O,'caseload data'!$D:$D,"TPO",'caseload data'!$A:$A,"South Central",'caseload data'!$B:$B,"custody")</f>
        <v>0</v>
      </c>
      <c r="O184" s="94">
        <f>SUMIFS('caseload data'!P:P,'caseload data'!$D:$D,"TPO",'caseload data'!$A:$A,"South Central",'caseload data'!$B:$B,"custody")</f>
        <v>0</v>
      </c>
      <c r="P184" s="94">
        <f>SUMIFS('caseload data'!Q:Q,'caseload data'!$D:$D,"TPO",'caseload data'!$A:$A,"South Central",'caseload data'!$B:$B,"custody")</f>
        <v>0</v>
      </c>
      <c r="Q184" s="94">
        <f>SUMIFS('caseload data'!R:R,'caseload data'!$D:$D,"TPO",'caseload data'!$A:$A,"South Central",'caseload data'!$B:$B,"custody")</f>
        <v>0</v>
      </c>
      <c r="R184" s="94">
        <f>SUMIFS('caseload data'!S:S,'caseload data'!$D:$D,"TPO",'caseload data'!$A:$A,"South Central",'caseload data'!$B:$B,"custody")</f>
        <v>0</v>
      </c>
      <c r="S184" s="94">
        <f>SUMIFS('caseload data'!T:T,'caseload data'!$D:$D,"TPO",'caseload data'!$A:$A,"South Central",'caseload data'!$B:$B,"custody")</f>
        <v>0</v>
      </c>
      <c r="T184" s="94">
        <f>SUMIFS('caseload data'!V:V,'caseload data'!D:D,"TPO",'caseload data'!A:A,"South Central",'caseload data'!B:B,"custody")</f>
        <v>0</v>
      </c>
      <c r="U184" s="64"/>
      <c r="V184" s="64"/>
      <c r="W184" s="504"/>
      <c r="X184" s="129" t="s">
        <v>953</v>
      </c>
      <c r="Y184" s="167" t="e">
        <f t="shared" si="99"/>
        <v>#DIV/0!</v>
      </c>
      <c r="Z184" s="167" t="e">
        <f t="shared" si="98"/>
        <v>#DIV/0!</v>
      </c>
      <c r="AA184" s="167" t="e">
        <f t="shared" si="98"/>
        <v>#DIV/0!</v>
      </c>
      <c r="AB184" s="167" t="e">
        <f t="shared" si="98"/>
        <v>#DIV/0!</v>
      </c>
      <c r="AC184" s="167" t="e">
        <f t="shared" si="98"/>
        <v>#DIV/0!</v>
      </c>
      <c r="AD184" s="167" t="e">
        <f t="shared" si="98"/>
        <v>#DIV/0!</v>
      </c>
      <c r="AE184" s="167" t="e">
        <f t="shared" si="98"/>
        <v>#DIV/0!</v>
      </c>
      <c r="AF184" s="167" t="e">
        <f t="shared" si="98"/>
        <v>#DIV/0!</v>
      </c>
      <c r="AG184" s="167" t="e">
        <f t="shared" si="98"/>
        <v>#DIV/0!</v>
      </c>
      <c r="AH184" s="167" t="e">
        <f t="shared" si="98"/>
        <v>#DIV/0!</v>
      </c>
      <c r="AI184" s="167" t="e">
        <f t="shared" si="98"/>
        <v>#DIV/0!</v>
      </c>
      <c r="AJ184" s="167" t="e">
        <f t="shared" si="98"/>
        <v>#DIV/0!</v>
      </c>
      <c r="AK184" s="167" t="e">
        <f t="shared" si="98"/>
        <v>#DIV/0!</v>
      </c>
      <c r="AL184" s="167" t="e">
        <f t="shared" si="98"/>
        <v>#DIV/0!</v>
      </c>
      <c r="AM184" s="167" t="e">
        <f t="shared" si="98"/>
        <v>#DIV/0!</v>
      </c>
      <c r="AN184" s="167" t="e">
        <f t="shared" si="98"/>
        <v>#DIV/0!</v>
      </c>
      <c r="AO184" s="167" t="e">
        <f t="shared" si="98"/>
        <v>#DIV/0!</v>
      </c>
    </row>
    <row r="185" spans="2:41" x14ac:dyDescent="0.15">
      <c r="B185" s="504"/>
      <c r="C185" s="129" t="s">
        <v>954</v>
      </c>
      <c r="D185" s="94">
        <f>SUMIFS('caseload data'!E:E,'caseload data'!$D:$D,"SPO",'caseload data'!$A:$A,"South Central",'caseload data'!$B:$B,"custody")</f>
        <v>0</v>
      </c>
      <c r="E185" s="94">
        <f>SUMIFS('caseload data'!F:F,'caseload data'!$D:$D,"SPO",'caseload data'!$A:$A,"South Central",'caseload data'!$B:$B,"custody")</f>
        <v>0</v>
      </c>
      <c r="F185" s="94">
        <f>SUMIFS('caseload data'!G:G,'caseload data'!$D:$D,"SPO",'caseload data'!$A:$A,"South Central",'caseload data'!$B:$B,"custody")</f>
        <v>0</v>
      </c>
      <c r="G185" s="94">
        <f>SUMIFS('caseload data'!H:H,'caseload data'!$D:$D,"SPO",'caseload data'!$A:$A,"South Central",'caseload data'!$B:$B,"custody")</f>
        <v>0</v>
      </c>
      <c r="H185" s="94">
        <f>SUMIFS('caseload data'!I:I,'caseload data'!$D:$D,"SPO",'caseload data'!$A:$A,"South Central",'caseload data'!$B:$B,"custody")</f>
        <v>0</v>
      </c>
      <c r="I185" s="94">
        <f>SUMIFS('caseload data'!J:J,'caseload data'!$D:$D,"SPO",'caseload data'!$A:$A,"South Central",'caseload data'!$B:$B,"custody")</f>
        <v>0</v>
      </c>
      <c r="J185" s="94">
        <f>SUMIFS('caseload data'!K:K,'caseload data'!$D:$D,"SPO",'caseload data'!$A:$A,"South Central",'caseload data'!$B:$B,"custody")</f>
        <v>0</v>
      </c>
      <c r="K185" s="94">
        <f>SUMIFS('caseload data'!L:L,'caseload data'!$D:$D,"SPO",'caseload data'!$A:$A,"South Central",'caseload data'!$B:$B,"custody")</f>
        <v>0</v>
      </c>
      <c r="L185" s="94">
        <f>SUMIFS('caseload data'!M:M,'caseload data'!$D:$D,"SPO",'caseload data'!$A:$A,"South Central",'caseload data'!$B:$B,"custody")</f>
        <v>0</v>
      </c>
      <c r="M185" s="94">
        <f>SUMIFS('caseload data'!N:N,'caseload data'!$D:$D,"SPO",'caseload data'!$A:$A,"South Central",'caseload data'!$B:$B,"custody")</f>
        <v>0</v>
      </c>
      <c r="N185" s="94">
        <f>SUMIFS('caseload data'!O:O,'caseload data'!$D:$D,"SPO",'caseload data'!$A:$A,"South Central",'caseload data'!$B:$B,"custody")</f>
        <v>0</v>
      </c>
      <c r="O185" s="94">
        <f>SUMIFS('caseload data'!P:P,'caseload data'!$D:$D,"SPO",'caseload data'!$A:$A,"South Central",'caseload data'!$B:$B,"custody")</f>
        <v>0</v>
      </c>
      <c r="P185" s="94">
        <f>SUMIFS('caseload data'!Q:Q,'caseload data'!$D:$D,"SPO",'caseload data'!$A:$A,"South Central",'caseload data'!$B:$B,"custody")</f>
        <v>0</v>
      </c>
      <c r="Q185" s="94">
        <f>SUMIFS('caseload data'!R:R,'caseload data'!$D:$D,"SPO",'caseload data'!$A:$A,"South Central",'caseload data'!$B:$B,"custody")</f>
        <v>0</v>
      </c>
      <c r="R185" s="94">
        <f>SUMIFS('caseload data'!S:S,'caseload data'!$D:$D,"SPO",'caseload data'!$A:$A,"South Central",'caseload data'!$B:$B,"custody")</f>
        <v>0</v>
      </c>
      <c r="S185" s="94">
        <f>SUMIFS('caseload data'!T:T,'caseload data'!$D:$D,"SPO",'caseload data'!$A:$A,"South Central",'caseload data'!$B:$B,"custody")</f>
        <v>0</v>
      </c>
      <c r="T185" s="94">
        <f>SUMIFS('caseload data'!V:V,'caseload data'!$D:$D,"SPO",'caseload data'!$A:$A,"South Central",'caseload data'!$B:$B,"custody")</f>
        <v>0</v>
      </c>
      <c r="U185" s="64"/>
      <c r="V185" s="64"/>
      <c r="W185" s="504"/>
      <c r="X185" s="129" t="s">
        <v>954</v>
      </c>
      <c r="Y185" s="167" t="e">
        <f t="shared" si="99"/>
        <v>#DIV/0!</v>
      </c>
      <c r="Z185" s="167" t="e">
        <f t="shared" si="98"/>
        <v>#DIV/0!</v>
      </c>
      <c r="AA185" s="167" t="e">
        <f t="shared" si="98"/>
        <v>#DIV/0!</v>
      </c>
      <c r="AB185" s="167" t="e">
        <f t="shared" si="98"/>
        <v>#DIV/0!</v>
      </c>
      <c r="AC185" s="167" t="e">
        <f t="shared" si="98"/>
        <v>#DIV/0!</v>
      </c>
      <c r="AD185" s="167" t="e">
        <f t="shared" si="98"/>
        <v>#DIV/0!</v>
      </c>
      <c r="AE185" s="167" t="e">
        <f t="shared" si="98"/>
        <v>#DIV/0!</v>
      </c>
      <c r="AF185" s="167" t="e">
        <f t="shared" si="98"/>
        <v>#DIV/0!</v>
      </c>
      <c r="AG185" s="167" t="e">
        <f t="shared" si="98"/>
        <v>#DIV/0!</v>
      </c>
      <c r="AH185" s="167" t="e">
        <f t="shared" si="98"/>
        <v>#DIV/0!</v>
      </c>
      <c r="AI185" s="167" t="e">
        <f t="shared" si="98"/>
        <v>#DIV/0!</v>
      </c>
      <c r="AJ185" s="167" t="e">
        <f t="shared" si="98"/>
        <v>#DIV/0!</v>
      </c>
      <c r="AK185" s="167" t="e">
        <f t="shared" si="98"/>
        <v>#DIV/0!</v>
      </c>
      <c r="AL185" s="167" t="e">
        <f t="shared" si="98"/>
        <v>#DIV/0!</v>
      </c>
      <c r="AM185" s="167" t="e">
        <f t="shared" si="98"/>
        <v>#DIV/0!</v>
      </c>
      <c r="AN185" s="167" t="e">
        <f t="shared" si="98"/>
        <v>#DIV/0!</v>
      </c>
      <c r="AO185" s="167" t="e">
        <f t="shared" si="98"/>
        <v>#DIV/0!</v>
      </c>
    </row>
    <row r="186" spans="2:41" x14ac:dyDescent="0.15">
      <c r="B186" s="505"/>
      <c r="C186" s="130" t="s">
        <v>1286</v>
      </c>
      <c r="D186" s="94">
        <f>SUMIFS('caseload data'!E:E,'caseload data'!$D:$D,"DMY",'caseload data'!$A:$A,"South Central",'caseload data'!$B:$B,"custody")</f>
        <v>0</v>
      </c>
      <c r="E186" s="94">
        <f>SUMIFS('caseload data'!F:F,'caseload data'!$D:$D,"DMY",'caseload data'!$A:$A,"South Central",'caseload data'!$B:$B,"custody")</f>
        <v>0</v>
      </c>
      <c r="F186" s="94">
        <f>SUMIFS('caseload data'!G:G,'caseload data'!$D:$D,"DMY",'caseload data'!$A:$A,"South Central",'caseload data'!$B:$B,"custody")</f>
        <v>0</v>
      </c>
      <c r="G186" s="94">
        <f>SUMIFS('caseload data'!H:H,'caseload data'!$D:$D,"DMY",'caseload data'!$A:$A,"South Central",'caseload data'!$B:$B,"custody")</f>
        <v>0</v>
      </c>
      <c r="H186" s="94">
        <f>SUMIFS('caseload data'!I:I,'caseload data'!$D:$D,"DMY",'caseload data'!$A:$A,"South Central",'caseload data'!$B:$B,"custody")</f>
        <v>0</v>
      </c>
      <c r="I186" s="94">
        <f>SUMIFS('caseload data'!J:J,'caseload data'!$D:$D,"DMY",'caseload data'!$A:$A,"South Central",'caseload data'!$B:$B,"custody")</f>
        <v>0</v>
      </c>
      <c r="J186" s="94">
        <f>SUMIFS('caseload data'!K:K,'caseload data'!$D:$D,"DMY",'caseload data'!$A:$A,"South Central",'caseload data'!$B:$B,"custody")</f>
        <v>0</v>
      </c>
      <c r="K186" s="94">
        <f>SUMIFS('caseload data'!L:L,'caseload data'!$D:$D,"DMY",'caseload data'!$A:$A,"South Central",'caseload data'!$B:$B,"custody")</f>
        <v>0</v>
      </c>
      <c r="L186" s="94">
        <f>SUMIFS('caseload data'!M:M,'caseload data'!$D:$D,"DMY",'caseload data'!$A:$A,"South Central",'caseload data'!$B:$B,"custody")</f>
        <v>0</v>
      </c>
      <c r="M186" s="94">
        <f>SUMIFS('caseload data'!N:N,'caseload data'!$D:$D,"DMY",'caseload data'!$A:$A,"South Central",'caseload data'!$B:$B,"custody")</f>
        <v>0</v>
      </c>
      <c r="N186" s="94">
        <f>SUMIFS('caseload data'!O:O,'caseload data'!$D:$D,"DMY",'caseload data'!$A:$A,"South Central",'caseload data'!$B:$B,"custody")</f>
        <v>0</v>
      </c>
      <c r="O186" s="94">
        <f>SUMIFS('caseload data'!P:P,'caseload data'!$D:$D,"DMY",'caseload data'!$A:$A,"South Central",'caseload data'!$B:$B,"custody")</f>
        <v>0</v>
      </c>
      <c r="P186" s="94">
        <f>SUMIFS('caseload data'!Q:Q,'caseload data'!$D:$D,"DMY",'caseload data'!$A:$A,"South Central",'caseload data'!$B:$B,"custody")</f>
        <v>0</v>
      </c>
      <c r="Q186" s="94">
        <f>SUMIFS('caseload data'!R:R,'caseload data'!$D:$D,"DMY",'caseload data'!$A:$A,"South Central",'caseload data'!$B:$B,"custody")</f>
        <v>0</v>
      </c>
      <c r="R186" s="94">
        <f>SUMIFS('caseload data'!S:S,'caseload data'!$D:$D,"DMY",'caseload data'!$A:$A,"South Central",'caseload data'!$B:$B,"custody")</f>
        <v>0</v>
      </c>
      <c r="S186" s="94">
        <f>SUMIFS('caseload data'!T:T,'caseload data'!$D:$D,"DMY",'caseload data'!$A:$A,"South Central",'caseload data'!$B:$B,"custody")</f>
        <v>0</v>
      </c>
      <c r="T186" s="94">
        <f>SUMIFS('caseload data'!V:V,'caseload data'!$D:$D,"DMY",'caseload data'!$A:$A,"South Central",'caseload data'!$B:$B,"custody")</f>
        <v>0</v>
      </c>
      <c r="U186" s="64"/>
      <c r="V186" s="64"/>
      <c r="W186" s="505"/>
      <c r="X186" s="130" t="s">
        <v>1286</v>
      </c>
      <c r="Y186" s="167" t="e">
        <f t="shared" si="99"/>
        <v>#DIV/0!</v>
      </c>
      <c r="Z186" s="167" t="e">
        <f t="shared" si="98"/>
        <v>#DIV/0!</v>
      </c>
      <c r="AA186" s="167" t="e">
        <f t="shared" si="98"/>
        <v>#DIV/0!</v>
      </c>
      <c r="AB186" s="167" t="e">
        <f t="shared" si="98"/>
        <v>#DIV/0!</v>
      </c>
      <c r="AC186" s="167" t="e">
        <f t="shared" si="98"/>
        <v>#DIV/0!</v>
      </c>
      <c r="AD186" s="167" t="e">
        <f t="shared" si="98"/>
        <v>#DIV/0!</v>
      </c>
      <c r="AE186" s="167" t="e">
        <f t="shared" si="98"/>
        <v>#DIV/0!</v>
      </c>
      <c r="AF186" s="167" t="e">
        <f t="shared" si="98"/>
        <v>#DIV/0!</v>
      </c>
      <c r="AG186" s="167" t="e">
        <f t="shared" si="98"/>
        <v>#DIV/0!</v>
      </c>
      <c r="AH186" s="167" t="e">
        <f t="shared" si="98"/>
        <v>#DIV/0!</v>
      </c>
      <c r="AI186" s="167" t="e">
        <f t="shared" si="98"/>
        <v>#DIV/0!</v>
      </c>
      <c r="AJ186" s="167" t="e">
        <f t="shared" si="98"/>
        <v>#DIV/0!</v>
      </c>
      <c r="AK186" s="167" t="e">
        <f t="shared" si="98"/>
        <v>#DIV/0!</v>
      </c>
      <c r="AL186" s="167" t="e">
        <f t="shared" si="98"/>
        <v>#DIV/0!</v>
      </c>
      <c r="AM186" s="167" t="e">
        <f t="shared" si="98"/>
        <v>#DIV/0!</v>
      </c>
      <c r="AN186" s="167" t="e">
        <f t="shared" si="98"/>
        <v>#DIV/0!</v>
      </c>
      <c r="AO186" s="167" t="e">
        <f t="shared" si="98"/>
        <v>#DIV/0!</v>
      </c>
    </row>
    <row r="187" spans="2:41" x14ac:dyDescent="0.15">
      <c r="B187" s="503" t="s">
        <v>25</v>
      </c>
      <c r="C187" s="128" t="s">
        <v>947</v>
      </c>
      <c r="D187" s="94">
        <f>SUMIFS('caseload data'!E:E,'caseload data'!$D:$D,"PO",'caseload data'!$A:$A,'national caseload'!$B$187:$B$189,'caseload data'!$B:$B,"custody")</f>
        <v>0</v>
      </c>
      <c r="E187" s="94">
        <f>SUMIFS('caseload data'!F:F,'caseload data'!$D:$D,"PO",'caseload data'!$A:$A,'national caseload'!$B$187:$B$189,'caseload data'!$B:$B,"custody")</f>
        <v>0</v>
      </c>
      <c r="F187" s="94">
        <f>SUMIFS('caseload data'!G:G,'caseload data'!$D:$D,"PO",'caseload data'!$A:$A,'national caseload'!$B$187:$B$189,'caseload data'!$B:$B,"custody")</f>
        <v>0</v>
      </c>
      <c r="G187" s="94">
        <f>SUMIFS('caseload data'!H:H,'caseload data'!$D:$D,"PO",'caseload data'!$A:$A,'national caseload'!$B$187:$B$189,'caseload data'!$B:$B,"custody")</f>
        <v>0</v>
      </c>
      <c r="H187" s="94">
        <f>SUMIFS('caseload data'!I:I,'caseload data'!$D:$D,"PO",'caseload data'!$A:$A,'national caseload'!$B$187:$B$189,'caseload data'!$B:$B,"custody")</f>
        <v>0</v>
      </c>
      <c r="I187" s="94">
        <f>SUMIFS('caseload data'!J:J,'caseload data'!$D:$D,"PO",'caseload data'!$A:$A,'national caseload'!$B$187:$B$189,'caseload data'!$B:$B,"custody")</f>
        <v>0</v>
      </c>
      <c r="J187" s="94">
        <f>SUMIFS('caseload data'!K:K,'caseload data'!$D:$D,"PO",'caseload data'!$A:$A,'national caseload'!$B$187:$B$189,'caseload data'!$B:$B,"custody")</f>
        <v>0</v>
      </c>
      <c r="K187" s="94">
        <f>SUMIFS('caseload data'!L:L,'caseload data'!$D:$D,"PO",'caseload data'!$A:$A,'national caseload'!$B$187:$B$189,'caseload data'!$B:$B,"custody")</f>
        <v>0</v>
      </c>
      <c r="L187" s="94">
        <f>SUMIFS('caseload data'!M:M,'caseload data'!$D:$D,"PO",'caseload data'!$A:$A,'national caseload'!$B$187:$B$189,'caseload data'!$B:$B,"custody")</f>
        <v>0</v>
      </c>
      <c r="M187" s="94">
        <f>SUMIFS('caseload data'!N:N,'caseload data'!$D:$D,"PO",'caseload data'!$A:$A,'national caseload'!$B$187:$B$189,'caseload data'!$B:$B,"custody")</f>
        <v>0</v>
      </c>
      <c r="N187" s="94">
        <f>SUMIFS('caseload data'!O:O,'caseload data'!$D:$D,"PO",'caseload data'!$A:$A,'national caseload'!$B$187:$B$189,'caseload data'!$B:$B,"custody")</f>
        <v>0</v>
      </c>
      <c r="O187" s="94">
        <f>SUMIFS('caseload data'!P:P,'caseload data'!$D:$D,"PO",'caseload data'!$A:$A,'national caseload'!$B$187:$B$189,'caseload data'!$B:$B,"custody")</f>
        <v>0</v>
      </c>
      <c r="P187" s="94">
        <f>SUMIFS('caseload data'!Q:Q,'caseload data'!$D:$D,"PO",'caseload data'!$A:$A,'national caseload'!$B$187:$B$189,'caseload data'!$B:$B,"custody")</f>
        <v>0</v>
      </c>
      <c r="Q187" s="94">
        <f>SUMIFS('caseload data'!R:R,'caseload data'!$D:$D,"PO",'caseload data'!$A:$A,'national caseload'!$B$187:$B$189,'caseload data'!$B:$B,"custody")</f>
        <v>0</v>
      </c>
      <c r="R187" s="94">
        <f>SUMIFS('caseload data'!S:S,'caseload data'!$D:$D,"PO",'caseload data'!$A:$A,'national caseload'!$B$187:$B$189,'caseload data'!$B:$B,"custody")</f>
        <v>0</v>
      </c>
      <c r="S187" s="94">
        <f>SUMIFS('caseload data'!T:T,'caseload data'!$D:$D,"PO",'caseload data'!$A:$A,'national caseload'!$B$187:$B$189,'caseload data'!$B:$B,"custody")</f>
        <v>0</v>
      </c>
      <c r="T187" s="94">
        <f>SUMIFS('caseload data'!V:V,'caseload data'!D:D,"PO",'caseload data'!A:A,'national caseload'!B187:B189,'caseload data'!B:B,"custody")</f>
        <v>0</v>
      </c>
      <c r="U187" s="64"/>
      <c r="V187" s="64"/>
      <c r="W187" s="503" t="s">
        <v>25</v>
      </c>
      <c r="X187" s="128" t="s">
        <v>947</v>
      </c>
      <c r="Y187" s="167" t="e">
        <f>SUM(D187)/SUM(D$187:D$191)</f>
        <v>#DIV/0!</v>
      </c>
      <c r="Z187" s="167" t="e">
        <f t="shared" ref="Z187:AO191" si="100">SUM(E187)/SUM(E$187:E$191)</f>
        <v>#DIV/0!</v>
      </c>
      <c r="AA187" s="167" t="e">
        <f t="shared" si="100"/>
        <v>#DIV/0!</v>
      </c>
      <c r="AB187" s="167" t="e">
        <f t="shared" si="100"/>
        <v>#DIV/0!</v>
      </c>
      <c r="AC187" s="167" t="e">
        <f t="shared" si="100"/>
        <v>#DIV/0!</v>
      </c>
      <c r="AD187" s="167" t="e">
        <f t="shared" si="100"/>
        <v>#DIV/0!</v>
      </c>
      <c r="AE187" s="167" t="e">
        <f t="shared" si="100"/>
        <v>#DIV/0!</v>
      </c>
      <c r="AF187" s="167" t="e">
        <f t="shared" si="100"/>
        <v>#DIV/0!</v>
      </c>
      <c r="AG187" s="167" t="e">
        <f t="shared" si="100"/>
        <v>#DIV/0!</v>
      </c>
      <c r="AH187" s="167" t="e">
        <f t="shared" si="100"/>
        <v>#DIV/0!</v>
      </c>
      <c r="AI187" s="167" t="e">
        <f t="shared" si="100"/>
        <v>#DIV/0!</v>
      </c>
      <c r="AJ187" s="167" t="e">
        <f t="shared" si="100"/>
        <v>#DIV/0!</v>
      </c>
      <c r="AK187" s="167" t="e">
        <f t="shared" si="100"/>
        <v>#DIV/0!</v>
      </c>
      <c r="AL187" s="167" t="e">
        <f t="shared" si="100"/>
        <v>#DIV/0!</v>
      </c>
      <c r="AM187" s="167" t="e">
        <f t="shared" si="100"/>
        <v>#DIV/0!</v>
      </c>
      <c r="AN187" s="167" t="e">
        <f t="shared" si="100"/>
        <v>#DIV/0!</v>
      </c>
      <c r="AO187" s="167" t="e">
        <f t="shared" si="100"/>
        <v>#DIV/0!</v>
      </c>
    </row>
    <row r="188" spans="2:41" x14ac:dyDescent="0.15">
      <c r="B188" s="504"/>
      <c r="C188" s="129" t="s">
        <v>952</v>
      </c>
      <c r="D188" s="94">
        <f>SUMIFS('caseload data'!E:E,'caseload data'!$D:$D,"PSO",'caseload data'!$A:$A,"South West",'caseload data'!$B:$B,"custody")</f>
        <v>0</v>
      </c>
      <c r="E188" s="94">
        <f>SUMIFS('caseload data'!F:F,'caseload data'!$D:$D,"PSO",'caseload data'!$A:$A,"South West",'caseload data'!$B:$B,"custody")</f>
        <v>0</v>
      </c>
      <c r="F188" s="94">
        <f>SUMIFS('caseload data'!G:G,'caseload data'!$D:$D,"PSO",'caseload data'!$A:$A,"South West",'caseload data'!$B:$B,"custody")</f>
        <v>0</v>
      </c>
      <c r="G188" s="94">
        <f>SUMIFS('caseload data'!H:H,'caseload data'!$D:$D,"PSO",'caseload data'!$A:$A,"South West",'caseload data'!$B:$B,"custody")</f>
        <v>0</v>
      </c>
      <c r="H188" s="94">
        <f>SUMIFS('caseload data'!I:I,'caseload data'!$D:$D,"PSO",'caseload data'!$A:$A,"South West",'caseload data'!$B:$B,"custody")</f>
        <v>0</v>
      </c>
      <c r="I188" s="94">
        <f>SUMIFS('caseload data'!J:J,'caseload data'!$D:$D,"PSO",'caseload data'!$A:$A,"South West",'caseload data'!$B:$B,"custody")</f>
        <v>0</v>
      </c>
      <c r="J188" s="94">
        <f>SUMIFS('caseload data'!K:K,'caseload data'!$D:$D,"PSO",'caseload data'!$A:$A,"South West",'caseload data'!$B:$B,"custody")</f>
        <v>0</v>
      </c>
      <c r="K188" s="94">
        <f>SUMIFS('caseload data'!L:L,'caseload data'!$D:$D,"PSO",'caseload data'!$A:$A,"South West",'caseload data'!$B:$B,"custody")</f>
        <v>0</v>
      </c>
      <c r="L188" s="94">
        <f>SUMIFS('caseload data'!M:M,'caseload data'!$D:$D,"PSO",'caseload data'!$A:$A,"South West",'caseload data'!$B:$B,"custody")</f>
        <v>0</v>
      </c>
      <c r="M188" s="94">
        <f>SUMIFS('caseload data'!N:N,'caseload data'!$D:$D,"PSO",'caseload data'!$A:$A,"South West",'caseload data'!$B:$B,"custody")</f>
        <v>0</v>
      </c>
      <c r="N188" s="94">
        <f>SUMIFS('caseload data'!O:O,'caseload data'!$D:$D,"PSO",'caseload data'!$A:$A,"South West",'caseload data'!$B:$B,"custody")</f>
        <v>0</v>
      </c>
      <c r="O188" s="94">
        <f>SUMIFS('caseload data'!P:P,'caseload data'!$D:$D,"PSO",'caseload data'!$A:$A,"South West",'caseload data'!$B:$B,"custody")</f>
        <v>0</v>
      </c>
      <c r="P188" s="94">
        <f>SUMIFS('caseload data'!Q:Q,'caseload data'!$D:$D,"PSO",'caseload data'!$A:$A,"South West",'caseload data'!$B:$B,"custody")</f>
        <v>0</v>
      </c>
      <c r="Q188" s="94">
        <f>SUMIFS('caseload data'!R:R,'caseload data'!$D:$D,"PSO",'caseload data'!$A:$A,"South West",'caseload data'!$B:$B,"custody")</f>
        <v>0</v>
      </c>
      <c r="R188" s="94">
        <f>SUMIFS('caseload data'!S:S,'caseload data'!$D:$D,"PSO",'caseload data'!$A:$A,"South West",'caseload data'!$B:$B,"custody")</f>
        <v>0</v>
      </c>
      <c r="S188" s="94">
        <f>SUMIFS('caseload data'!T:T,'caseload data'!$D:$D,"PSO",'caseload data'!$A:$A,"South West",'caseload data'!$B:$B,"custody")</f>
        <v>0</v>
      </c>
      <c r="T188" s="94">
        <f>SUMIFS('caseload data'!V:V,'caseload data'!D:D,"PSO",'caseload data'!A:A,"South West",'caseload data'!B:B,"custody")</f>
        <v>0</v>
      </c>
      <c r="U188" s="64"/>
      <c r="V188" s="64"/>
      <c r="W188" s="504"/>
      <c r="X188" s="129" t="s">
        <v>952</v>
      </c>
      <c r="Y188" s="167" t="e">
        <f t="shared" ref="Y188:Y191" si="101">SUM(D188)/SUM(D$187:D$191)</f>
        <v>#DIV/0!</v>
      </c>
      <c r="Z188" s="167" t="e">
        <f t="shared" si="100"/>
        <v>#DIV/0!</v>
      </c>
      <c r="AA188" s="167" t="e">
        <f t="shared" si="100"/>
        <v>#DIV/0!</v>
      </c>
      <c r="AB188" s="167" t="e">
        <f t="shared" si="100"/>
        <v>#DIV/0!</v>
      </c>
      <c r="AC188" s="167" t="e">
        <f t="shared" si="100"/>
        <v>#DIV/0!</v>
      </c>
      <c r="AD188" s="167" t="e">
        <f t="shared" si="100"/>
        <v>#DIV/0!</v>
      </c>
      <c r="AE188" s="167" t="e">
        <f t="shared" si="100"/>
        <v>#DIV/0!</v>
      </c>
      <c r="AF188" s="167" t="e">
        <f t="shared" si="100"/>
        <v>#DIV/0!</v>
      </c>
      <c r="AG188" s="167" t="e">
        <f t="shared" si="100"/>
        <v>#DIV/0!</v>
      </c>
      <c r="AH188" s="167" t="e">
        <f t="shared" si="100"/>
        <v>#DIV/0!</v>
      </c>
      <c r="AI188" s="167" t="e">
        <f t="shared" si="100"/>
        <v>#DIV/0!</v>
      </c>
      <c r="AJ188" s="167" t="e">
        <f t="shared" si="100"/>
        <v>#DIV/0!</v>
      </c>
      <c r="AK188" s="167" t="e">
        <f t="shared" si="100"/>
        <v>#DIV/0!</v>
      </c>
      <c r="AL188" s="167" t="e">
        <f t="shared" si="100"/>
        <v>#DIV/0!</v>
      </c>
      <c r="AM188" s="167" t="e">
        <f t="shared" si="100"/>
        <v>#DIV/0!</v>
      </c>
      <c r="AN188" s="167" t="e">
        <f t="shared" si="100"/>
        <v>#DIV/0!</v>
      </c>
      <c r="AO188" s="167" t="e">
        <f t="shared" si="100"/>
        <v>#DIV/0!</v>
      </c>
    </row>
    <row r="189" spans="2:41" x14ac:dyDescent="0.15">
      <c r="B189" s="504"/>
      <c r="C189" s="129" t="s">
        <v>953</v>
      </c>
      <c r="D189" s="94">
        <f>SUMIFS('caseload data'!E:E,'caseload data'!$D:$D,"TPO",'caseload data'!$A:$A,"South West",'caseload data'!$B:$B,"custody")</f>
        <v>0</v>
      </c>
      <c r="E189" s="94">
        <f>SUMIFS('caseload data'!F:F,'caseload data'!$D:$D,"TPO",'caseload data'!$A:$A,"South West",'caseload data'!$B:$B,"custody")</f>
        <v>0</v>
      </c>
      <c r="F189" s="94">
        <f>SUMIFS('caseload data'!G:G,'caseload data'!$D:$D,"TPO",'caseload data'!$A:$A,"South West",'caseload data'!$B:$B,"custody")</f>
        <v>0</v>
      </c>
      <c r="G189" s="94">
        <f>SUMIFS('caseload data'!H:H,'caseload data'!$D:$D,"TPO",'caseload data'!$A:$A,"South West",'caseload data'!$B:$B,"custody")</f>
        <v>0</v>
      </c>
      <c r="H189" s="94">
        <f>SUMIFS('caseload data'!I:I,'caseload data'!$D:$D,"TPO",'caseload data'!$A:$A,"South West",'caseload data'!$B:$B,"custody")</f>
        <v>0</v>
      </c>
      <c r="I189" s="94">
        <f>SUMIFS('caseload data'!J:J,'caseload data'!$D:$D,"TPO",'caseload data'!$A:$A,"South West",'caseload data'!$B:$B,"custody")</f>
        <v>0</v>
      </c>
      <c r="J189" s="94">
        <f>SUMIFS('caseload data'!K:K,'caseload data'!$D:$D,"TPO",'caseload data'!$A:$A,"South West",'caseload data'!$B:$B,"custody")</f>
        <v>0</v>
      </c>
      <c r="K189" s="94">
        <f>SUMIFS('caseload data'!L:L,'caseload data'!$D:$D,"TPO",'caseload data'!$A:$A,"South West",'caseload data'!$B:$B,"custody")</f>
        <v>0</v>
      </c>
      <c r="L189" s="94">
        <f>SUMIFS('caseload data'!M:M,'caseload data'!$D:$D,"TPO",'caseload data'!$A:$A,"South West",'caseload data'!$B:$B,"custody")</f>
        <v>0</v>
      </c>
      <c r="M189" s="94">
        <f>SUMIFS('caseload data'!N:N,'caseload data'!$D:$D,"TPO",'caseload data'!$A:$A,"South West",'caseload data'!$B:$B,"custody")</f>
        <v>0</v>
      </c>
      <c r="N189" s="94">
        <f>SUMIFS('caseload data'!O:O,'caseload data'!$D:$D,"TPO",'caseload data'!$A:$A,"South West",'caseload data'!$B:$B,"custody")</f>
        <v>0</v>
      </c>
      <c r="O189" s="94">
        <f>SUMIFS('caseload data'!P:P,'caseload data'!$D:$D,"TPO",'caseload data'!$A:$A,"South West",'caseload data'!$B:$B,"custody")</f>
        <v>0</v>
      </c>
      <c r="P189" s="94">
        <f>SUMIFS('caseload data'!Q:Q,'caseload data'!$D:$D,"TPO",'caseload data'!$A:$A,"South West",'caseload data'!$B:$B,"custody")</f>
        <v>0</v>
      </c>
      <c r="Q189" s="94">
        <f>SUMIFS('caseload data'!R:R,'caseload data'!$D:$D,"TPO",'caseload data'!$A:$A,"South West",'caseload data'!$B:$B,"custody")</f>
        <v>0</v>
      </c>
      <c r="R189" s="94">
        <f>SUMIFS('caseload data'!S:S,'caseload data'!$D:$D,"TPO",'caseload data'!$A:$A,"South West",'caseload data'!$B:$B,"custody")</f>
        <v>0</v>
      </c>
      <c r="S189" s="94">
        <f>SUMIFS('caseload data'!T:T,'caseload data'!$D:$D,"TPO",'caseload data'!$A:$A,"South West",'caseload data'!$B:$B,"custody")</f>
        <v>0</v>
      </c>
      <c r="T189" s="94">
        <f>SUMIFS('caseload data'!V:V,'caseload data'!D:D,"TPO",'caseload data'!A:A,"South West",'caseload data'!B:B,"custody")</f>
        <v>0</v>
      </c>
      <c r="U189" s="64"/>
      <c r="V189" s="64"/>
      <c r="W189" s="504"/>
      <c r="X189" s="129" t="s">
        <v>953</v>
      </c>
      <c r="Y189" s="167" t="e">
        <f t="shared" si="101"/>
        <v>#DIV/0!</v>
      </c>
      <c r="Z189" s="167" t="e">
        <f t="shared" si="100"/>
        <v>#DIV/0!</v>
      </c>
      <c r="AA189" s="167" t="e">
        <f t="shared" si="100"/>
        <v>#DIV/0!</v>
      </c>
      <c r="AB189" s="167" t="e">
        <f t="shared" si="100"/>
        <v>#DIV/0!</v>
      </c>
      <c r="AC189" s="167" t="e">
        <f t="shared" si="100"/>
        <v>#DIV/0!</v>
      </c>
      <c r="AD189" s="167" t="e">
        <f t="shared" si="100"/>
        <v>#DIV/0!</v>
      </c>
      <c r="AE189" s="167" t="e">
        <f t="shared" si="100"/>
        <v>#DIV/0!</v>
      </c>
      <c r="AF189" s="167" t="e">
        <f t="shared" si="100"/>
        <v>#DIV/0!</v>
      </c>
      <c r="AG189" s="167" t="e">
        <f t="shared" si="100"/>
        <v>#DIV/0!</v>
      </c>
      <c r="AH189" s="167" t="e">
        <f t="shared" si="100"/>
        <v>#DIV/0!</v>
      </c>
      <c r="AI189" s="167" t="e">
        <f t="shared" si="100"/>
        <v>#DIV/0!</v>
      </c>
      <c r="AJ189" s="167" t="e">
        <f t="shared" si="100"/>
        <v>#DIV/0!</v>
      </c>
      <c r="AK189" s="167" t="e">
        <f t="shared" si="100"/>
        <v>#DIV/0!</v>
      </c>
      <c r="AL189" s="167" t="e">
        <f t="shared" si="100"/>
        <v>#DIV/0!</v>
      </c>
      <c r="AM189" s="167" t="e">
        <f t="shared" si="100"/>
        <v>#DIV/0!</v>
      </c>
      <c r="AN189" s="167" t="e">
        <f t="shared" si="100"/>
        <v>#DIV/0!</v>
      </c>
      <c r="AO189" s="167" t="e">
        <f t="shared" si="100"/>
        <v>#DIV/0!</v>
      </c>
    </row>
    <row r="190" spans="2:41" x14ac:dyDescent="0.15">
      <c r="B190" s="504"/>
      <c r="C190" s="129" t="s">
        <v>954</v>
      </c>
      <c r="D190" s="94">
        <f>SUMIFS('caseload data'!E:E,'caseload data'!$D:$D,"SPO",'caseload data'!$A:$A,"South West",'caseload data'!$B:$B,"custody")</f>
        <v>0</v>
      </c>
      <c r="E190" s="94">
        <f>SUMIFS('caseload data'!F:F,'caseload data'!$D:$D,"SPO",'caseload data'!$A:$A,"South West",'caseload data'!$B:$B,"custody")</f>
        <v>0</v>
      </c>
      <c r="F190" s="94">
        <f>SUMIFS('caseload data'!G:G,'caseload data'!$D:$D,"SPO",'caseload data'!$A:$A,"South West",'caseload data'!$B:$B,"custody")</f>
        <v>0</v>
      </c>
      <c r="G190" s="94">
        <f>SUMIFS('caseload data'!H:H,'caseload data'!$D:$D,"SPO",'caseload data'!$A:$A,"South West",'caseload data'!$B:$B,"custody")</f>
        <v>0</v>
      </c>
      <c r="H190" s="94">
        <f>SUMIFS('caseload data'!I:I,'caseload data'!$D:$D,"SPO",'caseload data'!$A:$A,"South West",'caseload data'!$B:$B,"custody")</f>
        <v>0</v>
      </c>
      <c r="I190" s="94">
        <f>SUMIFS('caseload data'!J:J,'caseload data'!$D:$D,"SPO",'caseload data'!$A:$A,"South West",'caseload data'!$B:$B,"custody")</f>
        <v>0</v>
      </c>
      <c r="J190" s="94">
        <f>SUMIFS('caseload data'!K:K,'caseload data'!$D:$D,"SPO",'caseload data'!$A:$A,"South West",'caseload data'!$B:$B,"custody")</f>
        <v>0</v>
      </c>
      <c r="K190" s="94">
        <f>SUMIFS('caseload data'!L:L,'caseload data'!$D:$D,"SPO",'caseload data'!$A:$A,"South West",'caseload data'!$B:$B,"custody")</f>
        <v>0</v>
      </c>
      <c r="L190" s="94">
        <f>SUMIFS('caseload data'!M:M,'caseload data'!$D:$D,"SPO",'caseload data'!$A:$A,"South West",'caseload data'!$B:$B,"custody")</f>
        <v>0</v>
      </c>
      <c r="M190" s="94">
        <f>SUMIFS('caseload data'!N:N,'caseload data'!$D:$D,"SPO",'caseload data'!$A:$A,"South West",'caseload data'!$B:$B,"custody")</f>
        <v>0</v>
      </c>
      <c r="N190" s="94">
        <f>SUMIFS('caseload data'!O:O,'caseload data'!$D:$D,"SPO",'caseload data'!$A:$A,"South West",'caseload data'!$B:$B,"custody")</f>
        <v>0</v>
      </c>
      <c r="O190" s="94">
        <f>SUMIFS('caseload data'!P:P,'caseload data'!$D:$D,"SPO",'caseload data'!$A:$A,"South West",'caseload data'!$B:$B,"custody")</f>
        <v>0</v>
      </c>
      <c r="P190" s="94">
        <f>SUMIFS('caseload data'!Q:Q,'caseload data'!$D:$D,"SPO",'caseload data'!$A:$A,"South West",'caseload data'!$B:$B,"custody")</f>
        <v>0</v>
      </c>
      <c r="Q190" s="94">
        <f>SUMIFS('caseload data'!R:R,'caseload data'!$D:$D,"SPO",'caseload data'!$A:$A,"South West",'caseload data'!$B:$B,"custody")</f>
        <v>0</v>
      </c>
      <c r="R190" s="94">
        <f>SUMIFS('caseload data'!S:S,'caseload data'!$D:$D,"SPO",'caseload data'!$A:$A,"South West",'caseload data'!$B:$B,"custody")</f>
        <v>0</v>
      </c>
      <c r="S190" s="94">
        <f>SUMIFS('caseload data'!T:T,'caseload data'!$D:$D,"SPO",'caseload data'!$A:$A,"South West",'caseload data'!$B:$B,"custody")</f>
        <v>0</v>
      </c>
      <c r="T190" s="94">
        <f>SUMIFS('caseload data'!V:V,'caseload data'!$D:$D,"SPO",'caseload data'!$A:$A,"South West",'caseload data'!$B:$B,"custody")</f>
        <v>0</v>
      </c>
      <c r="U190" s="64"/>
      <c r="V190" s="64"/>
      <c r="W190" s="504"/>
      <c r="X190" s="129" t="s">
        <v>954</v>
      </c>
      <c r="Y190" s="167" t="e">
        <f t="shared" si="101"/>
        <v>#DIV/0!</v>
      </c>
      <c r="Z190" s="167" t="e">
        <f t="shared" si="100"/>
        <v>#DIV/0!</v>
      </c>
      <c r="AA190" s="167" t="e">
        <f t="shared" si="100"/>
        <v>#DIV/0!</v>
      </c>
      <c r="AB190" s="167" t="e">
        <f t="shared" si="100"/>
        <v>#DIV/0!</v>
      </c>
      <c r="AC190" s="167" t="e">
        <f t="shared" si="100"/>
        <v>#DIV/0!</v>
      </c>
      <c r="AD190" s="167" t="e">
        <f t="shared" si="100"/>
        <v>#DIV/0!</v>
      </c>
      <c r="AE190" s="167" t="e">
        <f t="shared" si="100"/>
        <v>#DIV/0!</v>
      </c>
      <c r="AF190" s="167" t="e">
        <f t="shared" si="100"/>
        <v>#DIV/0!</v>
      </c>
      <c r="AG190" s="167" t="e">
        <f t="shared" si="100"/>
        <v>#DIV/0!</v>
      </c>
      <c r="AH190" s="167" t="e">
        <f t="shared" si="100"/>
        <v>#DIV/0!</v>
      </c>
      <c r="AI190" s="167" t="e">
        <f t="shared" si="100"/>
        <v>#DIV/0!</v>
      </c>
      <c r="AJ190" s="167" t="e">
        <f t="shared" si="100"/>
        <v>#DIV/0!</v>
      </c>
      <c r="AK190" s="167" t="e">
        <f t="shared" si="100"/>
        <v>#DIV/0!</v>
      </c>
      <c r="AL190" s="167" t="e">
        <f t="shared" si="100"/>
        <v>#DIV/0!</v>
      </c>
      <c r="AM190" s="167" t="e">
        <f t="shared" si="100"/>
        <v>#DIV/0!</v>
      </c>
      <c r="AN190" s="167" t="e">
        <f t="shared" si="100"/>
        <v>#DIV/0!</v>
      </c>
      <c r="AO190" s="167" t="e">
        <f t="shared" si="100"/>
        <v>#DIV/0!</v>
      </c>
    </row>
    <row r="191" spans="2:41" x14ac:dyDescent="0.15">
      <c r="B191" s="505"/>
      <c r="C191" s="130" t="s">
        <v>1286</v>
      </c>
      <c r="D191" s="94">
        <f>SUMIFS('caseload data'!E:E,'caseload data'!$D:$D,"DMY",'caseload data'!$A:$A,"South West",'caseload data'!$B:$B,"custody")</f>
        <v>0</v>
      </c>
      <c r="E191" s="94">
        <f>SUMIFS('caseload data'!F:F,'caseload data'!$D:$D,"DMY",'caseload data'!$A:$A,"South West",'caseload data'!$B:$B,"custody")</f>
        <v>0</v>
      </c>
      <c r="F191" s="94">
        <f>SUMIFS('caseload data'!G:G,'caseload data'!$D:$D,"DMY",'caseload data'!$A:$A,"South West",'caseload data'!$B:$B,"custody")</f>
        <v>0</v>
      </c>
      <c r="G191" s="94">
        <f>SUMIFS('caseload data'!H:H,'caseload data'!$D:$D,"DMY",'caseload data'!$A:$A,"South West",'caseload data'!$B:$B,"custody")</f>
        <v>0</v>
      </c>
      <c r="H191" s="94">
        <f>SUMIFS('caseload data'!I:I,'caseload data'!$D:$D,"DMY",'caseload data'!$A:$A,"South West",'caseload data'!$B:$B,"custody")</f>
        <v>0</v>
      </c>
      <c r="I191" s="94">
        <f>SUMIFS('caseload data'!J:J,'caseload data'!$D:$D,"DMY",'caseload data'!$A:$A,"South West",'caseload data'!$B:$B,"custody")</f>
        <v>0</v>
      </c>
      <c r="J191" s="94">
        <f>SUMIFS('caseload data'!K:K,'caseload data'!$D:$D,"DMY",'caseload data'!$A:$A,"South West",'caseload data'!$B:$B,"custody")</f>
        <v>0</v>
      </c>
      <c r="K191" s="94">
        <f>SUMIFS('caseload data'!L:L,'caseload data'!$D:$D,"DMY",'caseload data'!$A:$A,"South West",'caseload data'!$B:$B,"custody")</f>
        <v>0</v>
      </c>
      <c r="L191" s="94">
        <f>SUMIFS('caseload data'!M:M,'caseload data'!$D:$D,"DMY",'caseload data'!$A:$A,"South West",'caseload data'!$B:$B,"custody")</f>
        <v>0</v>
      </c>
      <c r="M191" s="94">
        <f>SUMIFS('caseload data'!N:N,'caseload data'!$D:$D,"DMY",'caseload data'!$A:$A,"South West",'caseload data'!$B:$B,"custody")</f>
        <v>0</v>
      </c>
      <c r="N191" s="94">
        <f>SUMIFS('caseload data'!O:O,'caseload data'!$D:$D,"DMY",'caseload data'!$A:$A,"South West",'caseload data'!$B:$B,"custody")</f>
        <v>0</v>
      </c>
      <c r="O191" s="94">
        <f>SUMIFS('caseload data'!P:P,'caseload data'!$D:$D,"DMY",'caseload data'!$A:$A,"South West",'caseload data'!$B:$B,"custody")</f>
        <v>0</v>
      </c>
      <c r="P191" s="94">
        <f>SUMIFS('caseload data'!Q:Q,'caseload data'!$D:$D,"DMY",'caseload data'!$A:$A,"South West",'caseload data'!$B:$B,"custody")</f>
        <v>0</v>
      </c>
      <c r="Q191" s="94">
        <f>SUMIFS('caseload data'!R:R,'caseload data'!$D:$D,"DMY",'caseload data'!$A:$A,"South West",'caseload data'!$B:$B,"custody")</f>
        <v>0</v>
      </c>
      <c r="R191" s="94">
        <f>SUMIFS('caseload data'!S:S,'caseload data'!$D:$D,"DMY",'caseload data'!$A:$A,"South West",'caseload data'!$B:$B,"custody")</f>
        <v>0</v>
      </c>
      <c r="S191" s="94">
        <f>SUMIFS('caseload data'!T:T,'caseload data'!$D:$D,"DMY",'caseload data'!$A:$A,"South West",'caseload data'!$B:$B,"custody")</f>
        <v>0</v>
      </c>
      <c r="T191" s="94">
        <f>SUMIFS('caseload data'!V:V,'caseload data'!$D:$D,"DMY",'caseload data'!$A:$A,"South West",'caseload data'!$B:$B,"custody")</f>
        <v>0</v>
      </c>
      <c r="U191" s="64"/>
      <c r="V191" s="64"/>
      <c r="W191" s="505"/>
      <c r="X191" s="130" t="s">
        <v>1286</v>
      </c>
      <c r="Y191" s="167" t="e">
        <f t="shared" si="101"/>
        <v>#DIV/0!</v>
      </c>
      <c r="Z191" s="167" t="e">
        <f t="shared" si="100"/>
        <v>#DIV/0!</v>
      </c>
      <c r="AA191" s="167" t="e">
        <f t="shared" si="100"/>
        <v>#DIV/0!</v>
      </c>
      <c r="AB191" s="167" t="e">
        <f t="shared" si="100"/>
        <v>#DIV/0!</v>
      </c>
      <c r="AC191" s="167" t="e">
        <f t="shared" si="100"/>
        <v>#DIV/0!</v>
      </c>
      <c r="AD191" s="167" t="e">
        <f t="shared" si="100"/>
        <v>#DIV/0!</v>
      </c>
      <c r="AE191" s="167" t="e">
        <f t="shared" si="100"/>
        <v>#DIV/0!</v>
      </c>
      <c r="AF191" s="167" t="e">
        <f t="shared" si="100"/>
        <v>#DIV/0!</v>
      </c>
      <c r="AG191" s="167" t="e">
        <f t="shared" si="100"/>
        <v>#DIV/0!</v>
      </c>
      <c r="AH191" s="167" t="e">
        <f t="shared" si="100"/>
        <v>#DIV/0!</v>
      </c>
      <c r="AI191" s="167" t="e">
        <f t="shared" si="100"/>
        <v>#DIV/0!</v>
      </c>
      <c r="AJ191" s="167" t="e">
        <f t="shared" si="100"/>
        <v>#DIV/0!</v>
      </c>
      <c r="AK191" s="167" t="e">
        <f t="shared" si="100"/>
        <v>#DIV/0!</v>
      </c>
      <c r="AL191" s="167" t="e">
        <f t="shared" si="100"/>
        <v>#DIV/0!</v>
      </c>
      <c r="AM191" s="167" t="e">
        <f t="shared" si="100"/>
        <v>#DIV/0!</v>
      </c>
      <c r="AN191" s="167" t="e">
        <f t="shared" si="100"/>
        <v>#DIV/0!</v>
      </c>
      <c r="AO191" s="167" t="e">
        <f t="shared" si="100"/>
        <v>#DIV/0!</v>
      </c>
    </row>
    <row r="192" spans="2:41" x14ac:dyDescent="0.15">
      <c r="B192" s="503" t="s">
        <v>26</v>
      </c>
      <c r="C192" s="128" t="s">
        <v>947</v>
      </c>
      <c r="D192" s="94">
        <f>SUMIFS('caseload data'!E:E,'caseload data'!$D:$D,"PO",'caseload data'!$A:$A,$B$192,'caseload data'!$B:$B,"custody")</f>
        <v>0</v>
      </c>
      <c r="E192" s="94">
        <f>SUMIFS('caseload data'!F:F,'caseload data'!$D:$D,"PO",'caseload data'!$A:$A,$B$192,'caseload data'!$B:$B,"custody")</f>
        <v>0</v>
      </c>
      <c r="F192" s="94">
        <f>SUMIFS('caseload data'!G:G,'caseload data'!$D:$D,"PO",'caseload data'!$A:$A,$B$192,'caseload data'!$B:$B,"custody")</f>
        <v>0</v>
      </c>
      <c r="G192" s="94">
        <f>SUMIFS('caseload data'!H:H,'caseload data'!$D:$D,"PO",'caseload data'!$A:$A,$B$192,'caseload data'!$B:$B,"custody")</f>
        <v>0</v>
      </c>
      <c r="H192" s="94">
        <f>SUMIFS('caseload data'!I:I,'caseload data'!$D:$D,"PO",'caseload data'!$A:$A,$B$192,'caseload data'!$B:$B,"custody")</f>
        <v>0</v>
      </c>
      <c r="I192" s="94">
        <f>SUMIFS('caseload data'!J:J,'caseload data'!$D:$D,"PO",'caseload data'!$A:$A,$B$192,'caseload data'!$B:$B,"custody")</f>
        <v>0</v>
      </c>
      <c r="J192" s="94">
        <f>SUMIFS('caseload data'!K:K,'caseload data'!$D:$D,"PO",'caseload data'!$A:$A,$B$192,'caseload data'!$B:$B,"custody")</f>
        <v>0</v>
      </c>
      <c r="K192" s="94">
        <f>SUMIFS('caseload data'!L:L,'caseload data'!$D:$D,"PO",'caseload data'!$A:$A,$B$192,'caseload data'!$B:$B,"custody")</f>
        <v>0</v>
      </c>
      <c r="L192" s="94">
        <f>SUMIFS('caseload data'!M:M,'caseload data'!$D:$D,"PO",'caseload data'!$A:$A,$B$192,'caseload data'!$B:$B,"custody")</f>
        <v>0</v>
      </c>
      <c r="M192" s="94">
        <f>SUMIFS('caseload data'!N:N,'caseload data'!$D:$D,"PO",'caseload data'!$A:$A,$B$192,'caseload data'!$B:$B,"custody")</f>
        <v>0</v>
      </c>
      <c r="N192" s="94">
        <f>SUMIFS('caseload data'!O:O,'caseload data'!$D:$D,"PO",'caseload data'!$A:$A,$B$192,'caseload data'!$B:$B,"custody")</f>
        <v>0</v>
      </c>
      <c r="O192" s="94">
        <f>SUMIFS('caseload data'!P:P,'caseload data'!$D:$D,"PO",'caseload data'!$A:$A,$B$192,'caseload data'!$B:$B,"custody")</f>
        <v>0</v>
      </c>
      <c r="P192" s="94">
        <f>SUMIFS('caseload data'!Q:Q,'caseload data'!$D:$D,"PO",'caseload data'!$A:$A,$B$192,'caseload data'!$B:$B,"custody")</f>
        <v>0</v>
      </c>
      <c r="Q192" s="94">
        <f>SUMIFS('caseload data'!R:R,'caseload data'!$D:$D,"PO",'caseload data'!$A:$A,$B$192,'caseload data'!$B:$B,"custody")</f>
        <v>0</v>
      </c>
      <c r="R192" s="94">
        <f>SUMIFS('caseload data'!S:S,'caseload data'!$D:$D,"PO",'caseload data'!$A:$A,$B$192,'caseload data'!$B:$B,"custody")</f>
        <v>0</v>
      </c>
      <c r="S192" s="94">
        <f>SUMIFS('caseload data'!T:T,'caseload data'!$D:$D,"PO",'caseload data'!$A:$A,$B$192,'caseload data'!$B:$B,"custody")</f>
        <v>0</v>
      </c>
      <c r="T192" s="94">
        <f>SUMIFS('caseload data'!V:V,'caseload data'!D:D,"PO",'caseload data'!A:A,B192,'caseload data'!B:B,"custody")</f>
        <v>0</v>
      </c>
      <c r="U192" s="64"/>
      <c r="V192" s="64"/>
      <c r="W192" s="503" t="s">
        <v>26</v>
      </c>
      <c r="X192" s="128" t="s">
        <v>947</v>
      </c>
      <c r="Y192" s="167" t="e">
        <f>SUM(D192)/SUM(D$192:D$196)</f>
        <v>#DIV/0!</v>
      </c>
      <c r="Z192" s="167" t="e">
        <f t="shared" ref="Z192:AO196" si="102">SUM(E192)/SUM(E$192:E$196)</f>
        <v>#DIV/0!</v>
      </c>
      <c r="AA192" s="167" t="e">
        <f t="shared" si="102"/>
        <v>#DIV/0!</v>
      </c>
      <c r="AB192" s="167" t="e">
        <f t="shared" si="102"/>
        <v>#DIV/0!</v>
      </c>
      <c r="AC192" s="167" t="e">
        <f t="shared" si="102"/>
        <v>#DIV/0!</v>
      </c>
      <c r="AD192" s="167" t="e">
        <f t="shared" si="102"/>
        <v>#DIV/0!</v>
      </c>
      <c r="AE192" s="167" t="e">
        <f t="shared" si="102"/>
        <v>#DIV/0!</v>
      </c>
      <c r="AF192" s="167" t="e">
        <f t="shared" si="102"/>
        <v>#DIV/0!</v>
      </c>
      <c r="AG192" s="167" t="e">
        <f t="shared" si="102"/>
        <v>#DIV/0!</v>
      </c>
      <c r="AH192" s="167" t="e">
        <f t="shared" si="102"/>
        <v>#DIV/0!</v>
      </c>
      <c r="AI192" s="167" t="e">
        <f t="shared" si="102"/>
        <v>#DIV/0!</v>
      </c>
      <c r="AJ192" s="167" t="e">
        <f t="shared" si="102"/>
        <v>#DIV/0!</v>
      </c>
      <c r="AK192" s="167" t="e">
        <f t="shared" si="102"/>
        <v>#DIV/0!</v>
      </c>
      <c r="AL192" s="167" t="e">
        <f t="shared" si="102"/>
        <v>#DIV/0!</v>
      </c>
      <c r="AM192" s="167" t="e">
        <f t="shared" si="102"/>
        <v>#DIV/0!</v>
      </c>
      <c r="AN192" s="167" t="e">
        <f t="shared" si="102"/>
        <v>#DIV/0!</v>
      </c>
      <c r="AO192" s="167" t="e">
        <f t="shared" si="102"/>
        <v>#DIV/0!</v>
      </c>
    </row>
    <row r="193" spans="2:41" x14ac:dyDescent="0.15">
      <c r="B193" s="504"/>
      <c r="C193" s="129" t="s">
        <v>952</v>
      </c>
      <c r="D193" s="94">
        <f>SUMIFS('caseload data'!E:E,'caseload data'!$D:$D,"PSO",'caseload data'!$A:$A,"Wales",'caseload data'!$B:$B,"custody")</f>
        <v>0</v>
      </c>
      <c r="E193" s="94">
        <f>SUMIFS('caseload data'!F:F,'caseload data'!$D:$D,"PSO",'caseload data'!$A:$A,"Wales",'caseload data'!$B:$B,"custody")</f>
        <v>0</v>
      </c>
      <c r="F193" s="94">
        <f>SUMIFS('caseload data'!G:G,'caseload data'!$D:$D,"PSO",'caseload data'!$A:$A,"Wales",'caseload data'!$B:$B,"custody")</f>
        <v>0</v>
      </c>
      <c r="G193" s="94">
        <f>SUMIFS('caseload data'!H:H,'caseload data'!$D:$D,"PSO",'caseload data'!$A:$A,"Wales",'caseload data'!$B:$B,"custody")</f>
        <v>0</v>
      </c>
      <c r="H193" s="94">
        <f>SUMIFS('caseload data'!I:I,'caseload data'!$D:$D,"PSO",'caseload data'!$A:$A,"Wales",'caseload data'!$B:$B,"custody")</f>
        <v>0</v>
      </c>
      <c r="I193" s="94">
        <f>SUMIFS('caseload data'!J:J,'caseload data'!$D:$D,"PSO",'caseload data'!$A:$A,"Wales",'caseload data'!$B:$B,"custody")</f>
        <v>0</v>
      </c>
      <c r="J193" s="94">
        <f>SUMIFS('caseload data'!K:K,'caseload data'!$D:$D,"PSO",'caseload data'!$A:$A,"Wales",'caseload data'!$B:$B,"custody")</f>
        <v>0</v>
      </c>
      <c r="K193" s="94">
        <f>SUMIFS('caseload data'!L:L,'caseload data'!$D:$D,"PSO",'caseload data'!$A:$A,"Wales",'caseload data'!$B:$B,"custody")</f>
        <v>0</v>
      </c>
      <c r="L193" s="94">
        <f>SUMIFS('caseload data'!M:M,'caseload data'!$D:$D,"PSO",'caseload data'!$A:$A,"Wales",'caseload data'!$B:$B,"custody")</f>
        <v>0</v>
      </c>
      <c r="M193" s="94">
        <f>SUMIFS('caseload data'!N:N,'caseload data'!$D:$D,"PSO",'caseload data'!$A:$A,"Wales",'caseload data'!$B:$B,"custody")</f>
        <v>0</v>
      </c>
      <c r="N193" s="94">
        <f>SUMIFS('caseload data'!O:O,'caseload data'!$D:$D,"PSO",'caseload data'!$A:$A,"Wales",'caseload data'!$B:$B,"custody")</f>
        <v>0</v>
      </c>
      <c r="O193" s="94">
        <f>SUMIFS('caseload data'!P:P,'caseload data'!$D:$D,"PSO",'caseload data'!$A:$A,"Wales",'caseload data'!$B:$B,"custody")</f>
        <v>0</v>
      </c>
      <c r="P193" s="94">
        <f>SUMIFS('caseload data'!Q:Q,'caseload data'!$D:$D,"PSO",'caseload data'!$A:$A,"Wales",'caseload data'!$B:$B,"custody")</f>
        <v>0</v>
      </c>
      <c r="Q193" s="94">
        <f>SUMIFS('caseload data'!R:R,'caseload data'!$D:$D,"PSO",'caseload data'!$A:$A,"Wales",'caseload data'!$B:$B,"custody")</f>
        <v>0</v>
      </c>
      <c r="R193" s="94">
        <f>SUMIFS('caseload data'!S:S,'caseload data'!$D:$D,"PSO",'caseload data'!$A:$A,"Wales",'caseload data'!$B:$B,"custody")</f>
        <v>0</v>
      </c>
      <c r="S193" s="94">
        <f>SUMIFS('caseload data'!T:T,'caseload data'!$D:$D,"PSO",'caseload data'!$A:$A,"Wales",'caseload data'!$B:$B,"custody")</f>
        <v>0</v>
      </c>
      <c r="T193" s="94">
        <f>SUMIFS('caseload data'!V:V,'caseload data'!D:D,"PSO",'caseload data'!A:A,"Wales",'caseload data'!B:B,"custody")</f>
        <v>0</v>
      </c>
      <c r="U193" s="64"/>
      <c r="V193" s="64"/>
      <c r="W193" s="504"/>
      <c r="X193" s="129" t="s">
        <v>952</v>
      </c>
      <c r="Y193" s="167" t="e">
        <f t="shared" ref="Y193:Y196" si="103">SUM(D193)/SUM(D$192:D$196)</f>
        <v>#DIV/0!</v>
      </c>
      <c r="Z193" s="167" t="e">
        <f t="shared" si="102"/>
        <v>#DIV/0!</v>
      </c>
      <c r="AA193" s="167" t="e">
        <f t="shared" si="102"/>
        <v>#DIV/0!</v>
      </c>
      <c r="AB193" s="167" t="e">
        <f t="shared" si="102"/>
        <v>#DIV/0!</v>
      </c>
      <c r="AC193" s="167" t="e">
        <f t="shared" si="102"/>
        <v>#DIV/0!</v>
      </c>
      <c r="AD193" s="167" t="e">
        <f t="shared" si="102"/>
        <v>#DIV/0!</v>
      </c>
      <c r="AE193" s="167" t="e">
        <f t="shared" si="102"/>
        <v>#DIV/0!</v>
      </c>
      <c r="AF193" s="167" t="e">
        <f t="shared" si="102"/>
        <v>#DIV/0!</v>
      </c>
      <c r="AG193" s="167" t="e">
        <f t="shared" si="102"/>
        <v>#DIV/0!</v>
      </c>
      <c r="AH193" s="167" t="e">
        <f t="shared" si="102"/>
        <v>#DIV/0!</v>
      </c>
      <c r="AI193" s="167" t="e">
        <f t="shared" si="102"/>
        <v>#DIV/0!</v>
      </c>
      <c r="AJ193" s="167" t="e">
        <f t="shared" si="102"/>
        <v>#DIV/0!</v>
      </c>
      <c r="AK193" s="167" t="e">
        <f t="shared" si="102"/>
        <v>#DIV/0!</v>
      </c>
      <c r="AL193" s="167" t="e">
        <f t="shared" si="102"/>
        <v>#DIV/0!</v>
      </c>
      <c r="AM193" s="167" t="e">
        <f t="shared" si="102"/>
        <v>#DIV/0!</v>
      </c>
      <c r="AN193" s="167" t="e">
        <f t="shared" si="102"/>
        <v>#DIV/0!</v>
      </c>
      <c r="AO193" s="167" t="e">
        <f t="shared" si="102"/>
        <v>#DIV/0!</v>
      </c>
    </row>
    <row r="194" spans="2:41" x14ac:dyDescent="0.15">
      <c r="B194" s="504"/>
      <c r="C194" s="129" t="s">
        <v>953</v>
      </c>
      <c r="D194" s="94">
        <f>SUMIFS('caseload data'!E:E,'caseload data'!$D:$D,"TPO",'caseload data'!$A:$A,"Wales",'caseload data'!$B:$B,"custody")</f>
        <v>0</v>
      </c>
      <c r="E194" s="94">
        <f>SUMIFS('caseload data'!F:F,'caseload data'!$D:$D,"TPO",'caseload data'!$A:$A,"Wales",'caseload data'!$B:$B,"custody")</f>
        <v>0</v>
      </c>
      <c r="F194" s="94">
        <f>SUMIFS('caseload data'!G:G,'caseload data'!$D:$D,"TPO",'caseload data'!$A:$A,"Wales",'caseload data'!$B:$B,"custody")</f>
        <v>0</v>
      </c>
      <c r="G194" s="94">
        <f>SUMIFS('caseload data'!H:H,'caseload data'!$D:$D,"TPO",'caseload data'!$A:$A,"Wales",'caseload data'!$B:$B,"custody")</f>
        <v>0</v>
      </c>
      <c r="H194" s="94">
        <f>SUMIFS('caseload data'!I:I,'caseload data'!$D:$D,"TPO",'caseload data'!$A:$A,"Wales",'caseload data'!$B:$B,"custody")</f>
        <v>0</v>
      </c>
      <c r="I194" s="94">
        <f>SUMIFS('caseload data'!J:J,'caseload data'!$D:$D,"TPO",'caseload data'!$A:$A,"Wales",'caseload data'!$B:$B,"custody")</f>
        <v>0</v>
      </c>
      <c r="J194" s="94">
        <f>SUMIFS('caseload data'!K:K,'caseload data'!$D:$D,"TPO",'caseload data'!$A:$A,"Wales",'caseload data'!$B:$B,"custody")</f>
        <v>0</v>
      </c>
      <c r="K194" s="94">
        <f>SUMIFS('caseload data'!L:L,'caseload data'!$D:$D,"TPO",'caseload data'!$A:$A,"Wales",'caseload data'!$B:$B,"custody")</f>
        <v>0</v>
      </c>
      <c r="L194" s="94">
        <f>SUMIFS('caseload data'!M:M,'caseload data'!$D:$D,"TPO",'caseload data'!$A:$A,"Wales",'caseload data'!$B:$B,"custody")</f>
        <v>0</v>
      </c>
      <c r="M194" s="94">
        <f>SUMIFS('caseload data'!N:N,'caseload data'!$D:$D,"TPO",'caseload data'!$A:$A,"Wales",'caseload data'!$B:$B,"custody")</f>
        <v>0</v>
      </c>
      <c r="N194" s="94">
        <f>SUMIFS('caseload data'!O:O,'caseload data'!$D:$D,"TPO",'caseload data'!$A:$A,"Wales",'caseload data'!$B:$B,"custody")</f>
        <v>0</v>
      </c>
      <c r="O194" s="94">
        <f>SUMIFS('caseload data'!P:P,'caseload data'!$D:$D,"TPO",'caseload data'!$A:$A,"Wales",'caseload data'!$B:$B,"custody")</f>
        <v>0</v>
      </c>
      <c r="P194" s="94">
        <f>SUMIFS('caseload data'!Q:Q,'caseload data'!$D:$D,"TPO",'caseload data'!$A:$A,"Wales",'caseload data'!$B:$B,"custody")</f>
        <v>0</v>
      </c>
      <c r="Q194" s="94">
        <f>SUMIFS('caseload data'!R:R,'caseload data'!$D:$D,"TPO",'caseload data'!$A:$A,"Wales",'caseload data'!$B:$B,"custody")</f>
        <v>0</v>
      </c>
      <c r="R194" s="94">
        <f>SUMIFS('caseload data'!S:S,'caseload data'!$D:$D,"TPO",'caseload data'!$A:$A,"Wales",'caseload data'!$B:$B,"custody")</f>
        <v>0</v>
      </c>
      <c r="S194" s="94">
        <f>SUMIFS('caseload data'!T:T,'caseload data'!$D:$D,"TPO",'caseload data'!$A:$A,"Wales",'caseload data'!$B:$B,"custody")</f>
        <v>0</v>
      </c>
      <c r="T194" s="94">
        <f>SUMIFS('caseload data'!V:V,'caseload data'!D:D,"TPO",'caseload data'!A:A,"Wales",'caseload data'!B:B,"custody")</f>
        <v>0</v>
      </c>
      <c r="U194" s="64"/>
      <c r="V194" s="64"/>
      <c r="W194" s="504"/>
      <c r="X194" s="129" t="s">
        <v>953</v>
      </c>
      <c r="Y194" s="167" t="e">
        <f t="shared" si="103"/>
        <v>#DIV/0!</v>
      </c>
      <c r="Z194" s="167" t="e">
        <f t="shared" si="102"/>
        <v>#DIV/0!</v>
      </c>
      <c r="AA194" s="167" t="e">
        <f t="shared" si="102"/>
        <v>#DIV/0!</v>
      </c>
      <c r="AB194" s="167" t="e">
        <f t="shared" si="102"/>
        <v>#DIV/0!</v>
      </c>
      <c r="AC194" s="167" t="e">
        <f t="shared" si="102"/>
        <v>#DIV/0!</v>
      </c>
      <c r="AD194" s="167" t="e">
        <f t="shared" si="102"/>
        <v>#DIV/0!</v>
      </c>
      <c r="AE194" s="167" t="e">
        <f t="shared" si="102"/>
        <v>#DIV/0!</v>
      </c>
      <c r="AF194" s="167" t="e">
        <f t="shared" si="102"/>
        <v>#DIV/0!</v>
      </c>
      <c r="AG194" s="167" t="e">
        <f t="shared" si="102"/>
        <v>#DIV/0!</v>
      </c>
      <c r="AH194" s="167" t="e">
        <f t="shared" si="102"/>
        <v>#DIV/0!</v>
      </c>
      <c r="AI194" s="167" t="e">
        <f t="shared" si="102"/>
        <v>#DIV/0!</v>
      </c>
      <c r="AJ194" s="167" t="e">
        <f t="shared" si="102"/>
        <v>#DIV/0!</v>
      </c>
      <c r="AK194" s="167" t="e">
        <f t="shared" si="102"/>
        <v>#DIV/0!</v>
      </c>
      <c r="AL194" s="167" t="e">
        <f t="shared" si="102"/>
        <v>#DIV/0!</v>
      </c>
      <c r="AM194" s="167" t="e">
        <f t="shared" si="102"/>
        <v>#DIV/0!</v>
      </c>
      <c r="AN194" s="167" t="e">
        <f t="shared" si="102"/>
        <v>#DIV/0!</v>
      </c>
      <c r="AO194" s="167" t="e">
        <f t="shared" si="102"/>
        <v>#DIV/0!</v>
      </c>
    </row>
    <row r="195" spans="2:41" x14ac:dyDescent="0.15">
      <c r="B195" s="504"/>
      <c r="C195" s="129" t="s">
        <v>954</v>
      </c>
      <c r="D195" s="94">
        <f>SUMIFS('caseload data'!E:E,'caseload data'!$D:$D,"SPO",'caseload data'!$A:$A,"Wales",'caseload data'!$B:$B,"custody")</f>
        <v>0</v>
      </c>
      <c r="E195" s="94">
        <f>SUMIFS('caseload data'!F:F,'caseload data'!$D:$D,"SPO",'caseload data'!$A:$A,"Wales",'caseload data'!$B:$B,"custody")</f>
        <v>0</v>
      </c>
      <c r="F195" s="94">
        <f>SUMIFS('caseload data'!G:G,'caseload data'!$D:$D,"SPO",'caseload data'!$A:$A,"Wales",'caseload data'!$B:$B,"custody")</f>
        <v>0</v>
      </c>
      <c r="G195" s="94">
        <f>SUMIFS('caseload data'!H:H,'caseload data'!$D:$D,"SPO",'caseload data'!$A:$A,"Wales",'caseload data'!$B:$B,"custody")</f>
        <v>0</v>
      </c>
      <c r="H195" s="94">
        <f>SUMIFS('caseload data'!I:I,'caseload data'!$D:$D,"SPO",'caseload data'!$A:$A,"Wales",'caseload data'!$B:$B,"custody")</f>
        <v>0</v>
      </c>
      <c r="I195" s="94">
        <f>SUMIFS('caseload data'!J:J,'caseload data'!$D:$D,"SPO",'caseload data'!$A:$A,"Wales",'caseload data'!$B:$B,"custody")</f>
        <v>0</v>
      </c>
      <c r="J195" s="94">
        <f>SUMIFS('caseload data'!K:K,'caseload data'!$D:$D,"SPO",'caseload data'!$A:$A,"Wales",'caseload data'!$B:$B,"custody")</f>
        <v>0</v>
      </c>
      <c r="K195" s="94">
        <f>SUMIFS('caseload data'!L:L,'caseload data'!$D:$D,"SPO",'caseload data'!$A:$A,"Wales",'caseload data'!$B:$B,"custody")</f>
        <v>0</v>
      </c>
      <c r="L195" s="94">
        <f>SUMIFS('caseload data'!M:M,'caseload data'!$D:$D,"SPO",'caseload data'!$A:$A,"Wales",'caseload data'!$B:$B,"custody")</f>
        <v>0</v>
      </c>
      <c r="M195" s="94">
        <f>SUMIFS('caseload data'!N:N,'caseload data'!$D:$D,"SPO",'caseload data'!$A:$A,"Wales",'caseload data'!$B:$B,"custody")</f>
        <v>0</v>
      </c>
      <c r="N195" s="94">
        <f>SUMIFS('caseload data'!O:O,'caseload data'!$D:$D,"SPO",'caseload data'!$A:$A,"Wales",'caseload data'!$B:$B,"custody")</f>
        <v>0</v>
      </c>
      <c r="O195" s="94">
        <f>SUMIFS('caseload data'!P:P,'caseload data'!$D:$D,"SPO",'caseload data'!$A:$A,"Wales",'caseload data'!$B:$B,"custody")</f>
        <v>0</v>
      </c>
      <c r="P195" s="94">
        <f>SUMIFS('caseload data'!Q:Q,'caseload data'!$D:$D,"SPO",'caseload data'!$A:$A,"Wales",'caseload data'!$B:$B,"custody")</f>
        <v>0</v>
      </c>
      <c r="Q195" s="94">
        <f>SUMIFS('caseload data'!R:R,'caseload data'!$D:$D,"SPO",'caseload data'!$A:$A,"Wales",'caseload data'!$B:$B,"custody")</f>
        <v>0</v>
      </c>
      <c r="R195" s="94">
        <f>SUMIFS('caseload data'!S:S,'caseload data'!$D:$D,"SPO",'caseload data'!$A:$A,"Wales",'caseload data'!$B:$B,"custody")</f>
        <v>0</v>
      </c>
      <c r="S195" s="94">
        <f>SUMIFS('caseload data'!T:T,'caseload data'!$D:$D,"SPO",'caseload data'!$A:$A,"Wales",'caseload data'!$B:$B,"custody")</f>
        <v>0</v>
      </c>
      <c r="T195" s="94">
        <f>SUMIFS('caseload data'!V:V,'caseload data'!$D:$D,"SPO",'caseload data'!$A:$A,"Wales",'caseload data'!$B:$B,"custody")</f>
        <v>0</v>
      </c>
      <c r="U195" s="64"/>
      <c r="V195" s="64"/>
      <c r="W195" s="504"/>
      <c r="X195" s="129" t="s">
        <v>954</v>
      </c>
      <c r="Y195" s="167" t="e">
        <f t="shared" si="103"/>
        <v>#DIV/0!</v>
      </c>
      <c r="Z195" s="167" t="e">
        <f t="shared" si="102"/>
        <v>#DIV/0!</v>
      </c>
      <c r="AA195" s="167" t="e">
        <f t="shared" si="102"/>
        <v>#DIV/0!</v>
      </c>
      <c r="AB195" s="167" t="e">
        <f t="shared" si="102"/>
        <v>#DIV/0!</v>
      </c>
      <c r="AC195" s="167" t="e">
        <f t="shared" si="102"/>
        <v>#DIV/0!</v>
      </c>
      <c r="AD195" s="167" t="e">
        <f t="shared" si="102"/>
        <v>#DIV/0!</v>
      </c>
      <c r="AE195" s="167" t="e">
        <f t="shared" si="102"/>
        <v>#DIV/0!</v>
      </c>
      <c r="AF195" s="167" t="e">
        <f t="shared" si="102"/>
        <v>#DIV/0!</v>
      </c>
      <c r="AG195" s="167" t="e">
        <f t="shared" si="102"/>
        <v>#DIV/0!</v>
      </c>
      <c r="AH195" s="167" t="e">
        <f t="shared" si="102"/>
        <v>#DIV/0!</v>
      </c>
      <c r="AI195" s="167" t="e">
        <f t="shared" si="102"/>
        <v>#DIV/0!</v>
      </c>
      <c r="AJ195" s="167" t="e">
        <f t="shared" si="102"/>
        <v>#DIV/0!</v>
      </c>
      <c r="AK195" s="167" t="e">
        <f t="shared" si="102"/>
        <v>#DIV/0!</v>
      </c>
      <c r="AL195" s="167" t="e">
        <f t="shared" si="102"/>
        <v>#DIV/0!</v>
      </c>
      <c r="AM195" s="167" t="e">
        <f t="shared" si="102"/>
        <v>#DIV/0!</v>
      </c>
      <c r="AN195" s="167" t="e">
        <f t="shared" si="102"/>
        <v>#DIV/0!</v>
      </c>
      <c r="AO195" s="167" t="e">
        <f t="shared" si="102"/>
        <v>#DIV/0!</v>
      </c>
    </row>
    <row r="196" spans="2:41" x14ac:dyDescent="0.15">
      <c r="B196" s="505"/>
      <c r="C196" s="130" t="s">
        <v>1286</v>
      </c>
      <c r="D196" s="94">
        <f>SUMIFS('caseload data'!E:E,'caseload data'!$D:$D,"DMY",'caseload data'!$A:$A,"Wales",'caseload data'!$B:$B,"custody")</f>
        <v>0</v>
      </c>
      <c r="E196" s="94">
        <f>SUMIFS('caseload data'!F:F,'caseload data'!$D:$D,"DMY",'caseload data'!$A:$A,"Wales",'caseload data'!$B:$B,"custody")</f>
        <v>0</v>
      </c>
      <c r="F196" s="94">
        <f>SUMIFS('caseload data'!G:G,'caseload data'!$D:$D,"DMY",'caseload data'!$A:$A,"Wales",'caseload data'!$B:$B,"custody")</f>
        <v>0</v>
      </c>
      <c r="G196" s="94">
        <f>SUMIFS('caseload data'!H:H,'caseload data'!$D:$D,"DMY",'caseload data'!$A:$A,"Wales",'caseload data'!$B:$B,"custody")</f>
        <v>0</v>
      </c>
      <c r="H196" s="94">
        <f>SUMIFS('caseload data'!I:I,'caseload data'!$D:$D,"DMY",'caseload data'!$A:$A,"Wales",'caseload data'!$B:$B,"custody")</f>
        <v>0</v>
      </c>
      <c r="I196" s="94">
        <f>SUMIFS('caseload data'!J:J,'caseload data'!$D:$D,"DMY",'caseload data'!$A:$A,"Wales",'caseload data'!$B:$B,"custody")</f>
        <v>0</v>
      </c>
      <c r="J196" s="94">
        <f>SUMIFS('caseload data'!K:K,'caseload data'!$D:$D,"DMY",'caseload data'!$A:$A,"Wales",'caseload data'!$B:$B,"custody")</f>
        <v>0</v>
      </c>
      <c r="K196" s="94">
        <f>SUMIFS('caseload data'!L:L,'caseload data'!$D:$D,"DMY",'caseload data'!$A:$A,"Wales",'caseload data'!$B:$B,"custody")</f>
        <v>0</v>
      </c>
      <c r="L196" s="94">
        <f>SUMIFS('caseload data'!M:M,'caseload data'!$D:$D,"DMY",'caseload data'!$A:$A,"Wales",'caseload data'!$B:$B,"custody")</f>
        <v>0</v>
      </c>
      <c r="M196" s="94">
        <f>SUMIFS('caseload data'!N:N,'caseload data'!$D:$D,"DMY",'caseload data'!$A:$A,"Wales",'caseload data'!$B:$B,"custody")</f>
        <v>0</v>
      </c>
      <c r="N196" s="94">
        <f>SUMIFS('caseload data'!O:O,'caseload data'!$D:$D,"DMY",'caseload data'!$A:$A,"Wales",'caseload data'!$B:$B,"custody")</f>
        <v>0</v>
      </c>
      <c r="O196" s="94">
        <f>SUMIFS('caseload data'!P:P,'caseload data'!$D:$D,"DMY",'caseload data'!$A:$A,"Wales",'caseload data'!$B:$B,"custody")</f>
        <v>0</v>
      </c>
      <c r="P196" s="94">
        <f>SUMIFS('caseload data'!Q:Q,'caseload data'!$D:$D,"DMY",'caseload data'!$A:$A,"Wales",'caseload data'!$B:$B,"custody")</f>
        <v>0</v>
      </c>
      <c r="Q196" s="94">
        <f>SUMIFS('caseload data'!R:R,'caseload data'!$D:$D,"DMY",'caseload data'!$A:$A,"Wales",'caseload data'!$B:$B,"custody")</f>
        <v>0</v>
      </c>
      <c r="R196" s="94">
        <f>SUMIFS('caseload data'!S:S,'caseload data'!$D:$D,"DMY",'caseload data'!$A:$A,"Wales",'caseload data'!$B:$B,"custody")</f>
        <v>0</v>
      </c>
      <c r="S196" s="94">
        <f>SUMIFS('caseload data'!T:T,'caseload data'!$D:$D,"DMY",'caseload data'!$A:$A,"Wales",'caseload data'!$B:$B,"custody")</f>
        <v>0</v>
      </c>
      <c r="T196" s="94">
        <f>SUMIFS('caseload data'!V:V,'caseload data'!$D:$D,"DMY",'caseload data'!$A:$A,"Wales",'caseload data'!$B:$B,"custody")</f>
        <v>0</v>
      </c>
      <c r="U196" s="64"/>
      <c r="V196" s="64"/>
      <c r="W196" s="505"/>
      <c r="X196" s="130" t="s">
        <v>1286</v>
      </c>
      <c r="Y196" s="167" t="e">
        <f t="shared" si="103"/>
        <v>#DIV/0!</v>
      </c>
      <c r="Z196" s="167" t="e">
        <f t="shared" si="102"/>
        <v>#DIV/0!</v>
      </c>
      <c r="AA196" s="167" t="e">
        <f t="shared" si="102"/>
        <v>#DIV/0!</v>
      </c>
      <c r="AB196" s="167" t="e">
        <f t="shared" si="102"/>
        <v>#DIV/0!</v>
      </c>
      <c r="AC196" s="167" t="e">
        <f t="shared" si="102"/>
        <v>#DIV/0!</v>
      </c>
      <c r="AD196" s="167" t="e">
        <f t="shared" si="102"/>
        <v>#DIV/0!</v>
      </c>
      <c r="AE196" s="167" t="e">
        <f t="shared" si="102"/>
        <v>#DIV/0!</v>
      </c>
      <c r="AF196" s="167" t="e">
        <f t="shared" si="102"/>
        <v>#DIV/0!</v>
      </c>
      <c r="AG196" s="167" t="e">
        <f t="shared" si="102"/>
        <v>#DIV/0!</v>
      </c>
      <c r="AH196" s="167" t="e">
        <f t="shared" si="102"/>
        <v>#DIV/0!</v>
      </c>
      <c r="AI196" s="167" t="e">
        <f t="shared" si="102"/>
        <v>#DIV/0!</v>
      </c>
      <c r="AJ196" s="167" t="e">
        <f t="shared" si="102"/>
        <v>#DIV/0!</v>
      </c>
      <c r="AK196" s="167" t="e">
        <f t="shared" si="102"/>
        <v>#DIV/0!</v>
      </c>
      <c r="AL196" s="167" t="e">
        <f t="shared" si="102"/>
        <v>#DIV/0!</v>
      </c>
      <c r="AM196" s="167" t="e">
        <f t="shared" si="102"/>
        <v>#DIV/0!</v>
      </c>
      <c r="AN196" s="167" t="e">
        <f t="shared" si="102"/>
        <v>#DIV/0!</v>
      </c>
      <c r="AO196" s="167" t="e">
        <f t="shared" si="102"/>
        <v>#DIV/0!</v>
      </c>
    </row>
    <row r="197" spans="2:41" x14ac:dyDescent="0.15">
      <c r="B197" s="503" t="s">
        <v>27</v>
      </c>
      <c r="C197" s="128" t="s">
        <v>947</v>
      </c>
      <c r="D197" s="94">
        <f>SUMIFS('caseload data'!E:E,'caseload data'!$D:$D,"PO",'caseload data'!$A:$A,$B$197,'caseload data'!$B:$B,"custody")</f>
        <v>0</v>
      </c>
      <c r="E197" s="94">
        <f>SUMIFS('caseload data'!F:F,'caseload data'!$D:$D,"PO",'caseload data'!$A:$A,$B$197,'caseload data'!$B:$B,"custody")</f>
        <v>0</v>
      </c>
      <c r="F197" s="94">
        <f>SUMIFS('caseload data'!G:G,'caseload data'!$D:$D,"PO",'caseload data'!$A:$A,$B$197,'caseload data'!$B:$B,"custody")</f>
        <v>0</v>
      </c>
      <c r="G197" s="94">
        <f>SUMIFS('caseload data'!H:H,'caseload data'!$D:$D,"PO",'caseload data'!$A:$A,$B$197,'caseload data'!$B:$B,"custody")</f>
        <v>0</v>
      </c>
      <c r="H197" s="94">
        <f>SUMIFS('caseload data'!I:I,'caseload data'!$D:$D,"PO",'caseload data'!$A:$A,$B$197,'caseload data'!$B:$B,"custody")</f>
        <v>0</v>
      </c>
      <c r="I197" s="94">
        <f>SUMIFS('caseload data'!J:J,'caseload data'!$D:$D,"PO",'caseload data'!$A:$A,$B$197,'caseload data'!$B:$B,"custody")</f>
        <v>0</v>
      </c>
      <c r="J197" s="94">
        <f>SUMIFS('caseload data'!K:K,'caseload data'!$D:$D,"PO",'caseload data'!$A:$A,$B$197,'caseload data'!$B:$B,"custody")</f>
        <v>0</v>
      </c>
      <c r="K197" s="94">
        <f>SUMIFS('caseload data'!L:L,'caseload data'!$D:$D,"PO",'caseload data'!$A:$A,$B$197,'caseload data'!$B:$B,"custody")</f>
        <v>0</v>
      </c>
      <c r="L197" s="94">
        <f>SUMIFS('caseload data'!M:M,'caseload data'!$D:$D,"PO",'caseload data'!$A:$A,$B$197,'caseload data'!$B:$B,"custody")</f>
        <v>0</v>
      </c>
      <c r="M197" s="94">
        <f>SUMIFS('caseload data'!N:N,'caseload data'!$D:$D,"PO",'caseload data'!$A:$A,$B$197,'caseload data'!$B:$B,"custody")</f>
        <v>0</v>
      </c>
      <c r="N197" s="94">
        <f>SUMIFS('caseload data'!O:O,'caseload data'!$D:$D,"PO",'caseload data'!$A:$A,$B$197,'caseload data'!$B:$B,"custody")</f>
        <v>0</v>
      </c>
      <c r="O197" s="94">
        <f>SUMIFS('caseload data'!P:P,'caseload data'!$D:$D,"PO",'caseload data'!$A:$A,$B$197,'caseload data'!$B:$B,"custody")</f>
        <v>0</v>
      </c>
      <c r="P197" s="94">
        <f>SUMIFS('caseload data'!Q:Q,'caseload data'!$D:$D,"PO",'caseload data'!$A:$A,$B$197,'caseload data'!$B:$B,"custody")</f>
        <v>0</v>
      </c>
      <c r="Q197" s="94">
        <f>SUMIFS('caseload data'!R:R,'caseload data'!$D:$D,"PO",'caseload data'!$A:$A,$B$197,'caseload data'!$B:$B,"custody")</f>
        <v>0</v>
      </c>
      <c r="R197" s="94">
        <f>SUMIFS('caseload data'!S:S,'caseload data'!$D:$D,"PO",'caseload data'!$A:$A,$B$197,'caseload data'!$B:$B,"custody")</f>
        <v>0</v>
      </c>
      <c r="S197" s="94">
        <f>SUMIFS('caseload data'!T:T,'caseload data'!$D:$D,"PO",'caseload data'!$A:$A,$B$197,'caseload data'!$B:$B,"custody")</f>
        <v>0</v>
      </c>
      <c r="T197" s="94">
        <f>SUMIFS('caseload data'!V:V,'caseload data'!D:D,"PO",'caseload data'!A:A,B197,'caseload data'!B:B,"custody")</f>
        <v>0</v>
      </c>
      <c r="U197" s="64"/>
      <c r="V197" s="64"/>
      <c r="W197" s="503" t="s">
        <v>27</v>
      </c>
      <c r="X197" s="128" t="s">
        <v>947</v>
      </c>
      <c r="Y197" s="167" t="e">
        <f>SUM(D197)/SUM(D$197:D$201)</f>
        <v>#DIV/0!</v>
      </c>
      <c r="Z197" s="167" t="e">
        <f t="shared" ref="Z197:AO201" si="104">SUM(E197)/SUM(E$197:E$201)</f>
        <v>#DIV/0!</v>
      </c>
      <c r="AA197" s="167" t="e">
        <f t="shared" si="104"/>
        <v>#DIV/0!</v>
      </c>
      <c r="AB197" s="167" t="e">
        <f t="shared" si="104"/>
        <v>#DIV/0!</v>
      </c>
      <c r="AC197" s="167" t="e">
        <f t="shared" si="104"/>
        <v>#DIV/0!</v>
      </c>
      <c r="AD197" s="167" t="e">
        <f t="shared" si="104"/>
        <v>#DIV/0!</v>
      </c>
      <c r="AE197" s="167" t="e">
        <f t="shared" si="104"/>
        <v>#DIV/0!</v>
      </c>
      <c r="AF197" s="167" t="e">
        <f t="shared" si="104"/>
        <v>#DIV/0!</v>
      </c>
      <c r="AG197" s="167" t="e">
        <f t="shared" si="104"/>
        <v>#DIV/0!</v>
      </c>
      <c r="AH197" s="167" t="e">
        <f t="shared" si="104"/>
        <v>#DIV/0!</v>
      </c>
      <c r="AI197" s="167" t="e">
        <f t="shared" si="104"/>
        <v>#DIV/0!</v>
      </c>
      <c r="AJ197" s="167" t="e">
        <f t="shared" si="104"/>
        <v>#DIV/0!</v>
      </c>
      <c r="AK197" s="167" t="e">
        <f t="shared" si="104"/>
        <v>#DIV/0!</v>
      </c>
      <c r="AL197" s="167" t="e">
        <f t="shared" si="104"/>
        <v>#DIV/0!</v>
      </c>
      <c r="AM197" s="167" t="e">
        <f t="shared" si="104"/>
        <v>#DIV/0!</v>
      </c>
      <c r="AN197" s="167" t="e">
        <f t="shared" si="104"/>
        <v>#DIV/0!</v>
      </c>
      <c r="AO197" s="167" t="e">
        <f t="shared" si="104"/>
        <v>#DIV/0!</v>
      </c>
    </row>
    <row r="198" spans="2:41" x14ac:dyDescent="0.15">
      <c r="B198" s="504"/>
      <c r="C198" s="129" t="s">
        <v>952</v>
      </c>
      <c r="D198" s="94">
        <f>SUMIFS('caseload data'!E:E,'caseload data'!$D:$D,"PSO",'caseload data'!$A:$A,B197,'caseload data'!$B:$B,"custody")</f>
        <v>0</v>
      </c>
      <c r="E198" s="94">
        <f>SUMIFS('caseload data'!F:F,'caseload data'!$D:$D,"PSO",'caseload data'!$A:$A,C197,'caseload data'!$B:$B,"custody")</f>
        <v>0</v>
      </c>
      <c r="F198" s="94">
        <f>SUMIFS('caseload data'!G:G,'caseload data'!$D:$D,"PSO",'caseload data'!$A:$A,D197,'caseload data'!$B:$B,"custody")</f>
        <v>0</v>
      </c>
      <c r="G198" s="94">
        <f>SUMIFS('caseload data'!H:H,'caseload data'!$D:$D,"PSO",'caseload data'!$A:$A,E197,'caseload data'!$B:$B,"custody")</f>
        <v>0</v>
      </c>
      <c r="H198" s="94">
        <f>SUMIFS('caseload data'!I:I,'caseload data'!$D:$D,"PSO",'caseload data'!$A:$A,F197,'caseload data'!$B:$B,"custody")</f>
        <v>0</v>
      </c>
      <c r="I198" s="94">
        <f>SUMIFS('caseload data'!J:J,'caseload data'!$D:$D,"PSO",'caseload data'!$A:$A,G197,'caseload data'!$B:$B,"custody")</f>
        <v>0</v>
      </c>
      <c r="J198" s="94">
        <f>SUMIFS('caseload data'!K:K,'caseload data'!$D:$D,"PSO",'caseload data'!$A:$A,H197,'caseload data'!$B:$B,"custody")</f>
        <v>0</v>
      </c>
      <c r="K198" s="94">
        <f>SUMIFS('caseload data'!L:L,'caseload data'!$D:$D,"PSO",'caseload data'!$A:$A,I197,'caseload data'!$B:$B,"custody")</f>
        <v>0</v>
      </c>
      <c r="L198" s="94">
        <f>SUMIFS('caseload data'!M:M,'caseload data'!$D:$D,"PSO",'caseload data'!$A:$A,J197,'caseload data'!$B:$B,"custody")</f>
        <v>0</v>
      </c>
      <c r="M198" s="94">
        <f>SUMIFS('caseload data'!N:N,'caseload data'!$D:$D,"PSO",'caseload data'!$A:$A,K197,'caseload data'!$B:$B,"custody")</f>
        <v>0</v>
      </c>
      <c r="N198" s="94">
        <f>SUMIFS('caseload data'!O:O,'caseload data'!$D:$D,"PSO",'caseload data'!$A:$A,L197,'caseload data'!$B:$B,"custody")</f>
        <v>0</v>
      </c>
      <c r="O198" s="94">
        <f>SUMIFS('caseload data'!P:P,'caseload data'!$D:$D,"PSO",'caseload data'!$A:$A,M197,'caseload data'!$B:$B,"custody")</f>
        <v>0</v>
      </c>
      <c r="P198" s="94">
        <f>SUMIFS('caseload data'!Q:Q,'caseload data'!$D:$D,"PSO",'caseload data'!$A:$A,N197,'caseload data'!$B:$B,"custody")</f>
        <v>0</v>
      </c>
      <c r="Q198" s="94">
        <f>SUMIFS('caseload data'!R:R,'caseload data'!$D:$D,"PSO",'caseload data'!$A:$A,O197,'caseload data'!$B:$B,"custody")</f>
        <v>0</v>
      </c>
      <c r="R198" s="94">
        <f>SUMIFS('caseload data'!S:S,'caseload data'!$D:$D,"PSO",'caseload data'!$A:$A,P197,'caseload data'!$B:$B,"custody")</f>
        <v>0</v>
      </c>
      <c r="S198" s="94">
        <f>SUMIFS('caseload data'!T:T,'caseload data'!$D:$D,"PSO",'caseload data'!$A:$A,Q197,'caseload data'!$B:$B,"custody")</f>
        <v>0</v>
      </c>
      <c r="T198" s="94">
        <f>SUMIFS('caseload data'!V:V,'caseload data'!D:D,"PSO",'caseload data'!A:A,B197)</f>
        <v>0</v>
      </c>
      <c r="U198" s="64"/>
      <c r="V198" s="64"/>
      <c r="W198" s="504"/>
      <c r="X198" s="129" t="s">
        <v>952</v>
      </c>
      <c r="Y198" s="167" t="e">
        <f t="shared" ref="Y198:Y201" si="105">SUM(D198)/SUM(D$197:D$201)</f>
        <v>#DIV/0!</v>
      </c>
      <c r="Z198" s="167" t="e">
        <f t="shared" si="104"/>
        <v>#DIV/0!</v>
      </c>
      <c r="AA198" s="167" t="e">
        <f t="shared" si="104"/>
        <v>#DIV/0!</v>
      </c>
      <c r="AB198" s="167" t="e">
        <f t="shared" si="104"/>
        <v>#DIV/0!</v>
      </c>
      <c r="AC198" s="167" t="e">
        <f t="shared" si="104"/>
        <v>#DIV/0!</v>
      </c>
      <c r="AD198" s="167" t="e">
        <f t="shared" si="104"/>
        <v>#DIV/0!</v>
      </c>
      <c r="AE198" s="167" t="e">
        <f t="shared" si="104"/>
        <v>#DIV/0!</v>
      </c>
      <c r="AF198" s="167" t="e">
        <f t="shared" si="104"/>
        <v>#DIV/0!</v>
      </c>
      <c r="AG198" s="167" t="e">
        <f t="shared" si="104"/>
        <v>#DIV/0!</v>
      </c>
      <c r="AH198" s="167" t="e">
        <f t="shared" si="104"/>
        <v>#DIV/0!</v>
      </c>
      <c r="AI198" s="167" t="e">
        <f t="shared" si="104"/>
        <v>#DIV/0!</v>
      </c>
      <c r="AJ198" s="167" t="e">
        <f t="shared" si="104"/>
        <v>#DIV/0!</v>
      </c>
      <c r="AK198" s="167" t="e">
        <f t="shared" si="104"/>
        <v>#DIV/0!</v>
      </c>
      <c r="AL198" s="167" t="e">
        <f t="shared" si="104"/>
        <v>#DIV/0!</v>
      </c>
      <c r="AM198" s="167" t="e">
        <f t="shared" si="104"/>
        <v>#DIV/0!</v>
      </c>
      <c r="AN198" s="167" t="e">
        <f t="shared" si="104"/>
        <v>#DIV/0!</v>
      </c>
      <c r="AO198" s="167" t="e">
        <f t="shared" si="104"/>
        <v>#DIV/0!</v>
      </c>
    </row>
    <row r="199" spans="2:41" x14ac:dyDescent="0.15">
      <c r="B199" s="504"/>
      <c r="C199" s="129" t="s">
        <v>953</v>
      </c>
      <c r="D199" s="94">
        <f>SUMIFS('caseload data'!E:E,'caseload data'!$D:$D,"TPO",'caseload data'!$A:$A,B197)</f>
        <v>0</v>
      </c>
      <c r="E199" s="94">
        <f>SUMIFS('caseload data'!F:F,'caseload data'!$D:$D,"TPO",'caseload data'!$A:$A,C197)</f>
        <v>0</v>
      </c>
      <c r="F199" s="94">
        <f>SUMIFS('caseload data'!G:G,'caseload data'!$D:$D,"TPO",'caseload data'!$A:$A,D197)</f>
        <v>0</v>
      </c>
      <c r="G199" s="94">
        <f>SUMIFS('caseload data'!H:H,'caseload data'!$D:$D,"TPO",'caseload data'!$A:$A,E197)</f>
        <v>0</v>
      </c>
      <c r="H199" s="94">
        <f>SUMIFS('caseload data'!I:I,'caseload data'!$D:$D,"TPO",'caseload data'!$A:$A,F197)</f>
        <v>0</v>
      </c>
      <c r="I199" s="94">
        <f>SUMIFS('caseload data'!J:J,'caseload data'!$D:$D,"TPO",'caseload data'!$A:$A,G197)</f>
        <v>0</v>
      </c>
      <c r="J199" s="94">
        <f>SUMIFS('caseload data'!K:K,'caseload data'!$D:$D,"TPO",'caseload data'!$A:$A,H197)</f>
        <v>0</v>
      </c>
      <c r="K199" s="94">
        <f>SUMIFS('caseload data'!L:L,'caseload data'!$D:$D,"TPO",'caseload data'!$A:$A,I197)</f>
        <v>0</v>
      </c>
      <c r="L199" s="94">
        <f>SUMIFS('caseload data'!M:M,'caseload data'!$D:$D,"TPO",'caseload data'!$A:$A,J197)</f>
        <v>0</v>
      </c>
      <c r="M199" s="94">
        <f>SUMIFS('caseload data'!N:N,'caseload data'!$D:$D,"TPO",'caseload data'!$A:$A,K197)</f>
        <v>0</v>
      </c>
      <c r="N199" s="94">
        <f>SUMIFS('caseload data'!O:O,'caseload data'!$D:$D,"TPO",'caseload data'!$A:$A,L197)</f>
        <v>0</v>
      </c>
      <c r="O199" s="94">
        <f>SUMIFS('caseload data'!P:P,'caseload data'!$D:$D,"TPO",'caseload data'!$A:$A,M197)</f>
        <v>0</v>
      </c>
      <c r="P199" s="94">
        <f>SUMIFS('caseload data'!Q:Q,'caseload data'!$D:$D,"TPO",'caseload data'!$A:$A,N197)</f>
        <v>0</v>
      </c>
      <c r="Q199" s="94">
        <f>SUMIFS('caseload data'!R:R,'caseload data'!$D:$D,"TPO",'caseload data'!$A:$A,O197)</f>
        <v>0</v>
      </c>
      <c r="R199" s="94">
        <f>SUMIFS('caseload data'!S:S,'caseload data'!$D:$D,"TPO",'caseload data'!$A:$A,P197)</f>
        <v>0</v>
      </c>
      <c r="S199" s="94">
        <f>SUMIFS('caseload data'!T:T,'caseload data'!$D:$D,"TPO",'caseload data'!$A:$A,Q197)</f>
        <v>0</v>
      </c>
      <c r="T199" s="94">
        <f>SUMIFS('caseload data'!V:V,'caseload data'!D:D,"TPO",'caseload data'!A:A,B197,'caseload data'!B:B,"custody")</f>
        <v>0</v>
      </c>
      <c r="U199" s="64"/>
      <c r="V199" s="64"/>
      <c r="W199" s="504"/>
      <c r="X199" s="129" t="s">
        <v>953</v>
      </c>
      <c r="Y199" s="167" t="e">
        <f t="shared" si="105"/>
        <v>#DIV/0!</v>
      </c>
      <c r="Z199" s="167" t="e">
        <f t="shared" si="104"/>
        <v>#DIV/0!</v>
      </c>
      <c r="AA199" s="167" t="e">
        <f t="shared" si="104"/>
        <v>#DIV/0!</v>
      </c>
      <c r="AB199" s="167" t="e">
        <f t="shared" si="104"/>
        <v>#DIV/0!</v>
      </c>
      <c r="AC199" s="167" t="e">
        <f t="shared" si="104"/>
        <v>#DIV/0!</v>
      </c>
      <c r="AD199" s="167" t="e">
        <f t="shared" si="104"/>
        <v>#DIV/0!</v>
      </c>
      <c r="AE199" s="167" t="e">
        <f t="shared" si="104"/>
        <v>#DIV/0!</v>
      </c>
      <c r="AF199" s="167" t="e">
        <f t="shared" si="104"/>
        <v>#DIV/0!</v>
      </c>
      <c r="AG199" s="167" t="e">
        <f t="shared" si="104"/>
        <v>#DIV/0!</v>
      </c>
      <c r="AH199" s="167" t="e">
        <f t="shared" si="104"/>
        <v>#DIV/0!</v>
      </c>
      <c r="AI199" s="167" t="e">
        <f t="shared" si="104"/>
        <v>#DIV/0!</v>
      </c>
      <c r="AJ199" s="167" t="e">
        <f t="shared" si="104"/>
        <v>#DIV/0!</v>
      </c>
      <c r="AK199" s="167" t="e">
        <f t="shared" si="104"/>
        <v>#DIV/0!</v>
      </c>
      <c r="AL199" s="167" t="e">
        <f t="shared" si="104"/>
        <v>#DIV/0!</v>
      </c>
      <c r="AM199" s="167" t="e">
        <f t="shared" si="104"/>
        <v>#DIV/0!</v>
      </c>
      <c r="AN199" s="167" t="e">
        <f t="shared" si="104"/>
        <v>#DIV/0!</v>
      </c>
      <c r="AO199" s="167" t="e">
        <f t="shared" si="104"/>
        <v>#DIV/0!</v>
      </c>
    </row>
    <row r="200" spans="2:41" x14ac:dyDescent="0.15">
      <c r="B200" s="504"/>
      <c r="C200" s="129" t="s">
        <v>954</v>
      </c>
      <c r="D200" s="94">
        <f>SUMIFS('caseload data'!E:E,'caseload data'!$D:$D,"SPO",'caseload data'!$A:$A,"West Midlands Region",'caseload data'!$B:$B,"custody")</f>
        <v>0</v>
      </c>
      <c r="E200" s="94">
        <f>SUMIFS('caseload data'!F:F,'caseload data'!$D:$D,"SPO",'caseload data'!$A:$A,"West Midlands Region",'caseload data'!$B:$B,"custody")</f>
        <v>0</v>
      </c>
      <c r="F200" s="94">
        <f>SUMIFS('caseload data'!G:G,'caseload data'!$D:$D,"SPO",'caseload data'!$A:$A,"West Midlands Region",'caseload data'!$B:$B,"custody")</f>
        <v>0</v>
      </c>
      <c r="G200" s="94">
        <f>SUMIFS('caseload data'!H:H,'caseload data'!$D:$D,"SPO",'caseload data'!$A:$A,"West Midlands Region",'caseload data'!$B:$B,"custody")</f>
        <v>0</v>
      </c>
      <c r="H200" s="94">
        <f>SUMIFS('caseload data'!I:I,'caseload data'!$D:$D,"SPO",'caseload data'!$A:$A,"West Midlands Region",'caseload data'!$B:$B,"custody")</f>
        <v>0</v>
      </c>
      <c r="I200" s="94">
        <f>SUMIFS('caseload data'!J:J,'caseload data'!$D:$D,"SPO",'caseload data'!$A:$A,"West Midlands Region",'caseload data'!$B:$B,"custody")</f>
        <v>0</v>
      </c>
      <c r="J200" s="94">
        <f>SUMIFS('caseload data'!K:K,'caseload data'!$D:$D,"SPO",'caseload data'!$A:$A,"West Midlands Region",'caseload data'!$B:$B,"custody")</f>
        <v>0</v>
      </c>
      <c r="K200" s="94">
        <f>SUMIFS('caseload data'!L:L,'caseload data'!$D:$D,"SPO",'caseload data'!$A:$A,"West Midlands Region",'caseload data'!$B:$B,"custody")</f>
        <v>0</v>
      </c>
      <c r="L200" s="94">
        <f>SUMIFS('caseload data'!M:M,'caseload data'!$D:$D,"SPO",'caseload data'!$A:$A,"West Midlands Region",'caseload data'!$B:$B,"custody")</f>
        <v>0</v>
      </c>
      <c r="M200" s="94">
        <f>SUMIFS('caseload data'!N:N,'caseload data'!$D:$D,"SPO",'caseload data'!$A:$A,"West Midlands Region",'caseload data'!$B:$B,"custody")</f>
        <v>0</v>
      </c>
      <c r="N200" s="94">
        <f>SUMIFS('caseload data'!O:O,'caseload data'!$D:$D,"SPO",'caseload data'!$A:$A,"West Midlands Region",'caseload data'!$B:$B,"custody")</f>
        <v>0</v>
      </c>
      <c r="O200" s="94">
        <f>SUMIFS('caseload data'!P:P,'caseload data'!$D:$D,"SPO",'caseload data'!$A:$A,"West Midlands Region",'caseload data'!$B:$B,"custody")</f>
        <v>0</v>
      </c>
      <c r="P200" s="94">
        <f>SUMIFS('caseload data'!Q:Q,'caseload data'!$D:$D,"SPO",'caseload data'!$A:$A,"West Midlands Region",'caseload data'!$B:$B,"custody")</f>
        <v>0</v>
      </c>
      <c r="Q200" s="94">
        <f>SUMIFS('caseload data'!R:R,'caseload data'!$D:$D,"SPO",'caseload data'!$A:$A,"West Midlands Region",'caseload data'!$B:$B,"custody")</f>
        <v>0</v>
      </c>
      <c r="R200" s="94">
        <f>SUMIFS('caseload data'!S:S,'caseload data'!$D:$D,"SPO",'caseload data'!$A:$A,"West Midlands Region",'caseload data'!$B:$B,"custody")</f>
        <v>0</v>
      </c>
      <c r="S200" s="94">
        <f>SUMIFS('caseload data'!T:T,'caseload data'!$D:$D,"SPO",'caseload data'!$A:$A,"West Midlands Region",'caseload data'!$B:$B,"custody")</f>
        <v>0</v>
      </c>
      <c r="T200" s="94">
        <f>SUMIFS('caseload data'!V:V,'caseload data'!$D:$D,"SPO",'caseload data'!$A:$A,"West Midlands Region",'caseload data'!$B:$B,"custody")</f>
        <v>0</v>
      </c>
      <c r="U200" s="64"/>
      <c r="V200" s="64"/>
      <c r="W200" s="504"/>
      <c r="X200" s="129" t="s">
        <v>954</v>
      </c>
      <c r="Y200" s="167" t="e">
        <f t="shared" si="105"/>
        <v>#DIV/0!</v>
      </c>
      <c r="Z200" s="167" t="e">
        <f t="shared" si="104"/>
        <v>#DIV/0!</v>
      </c>
      <c r="AA200" s="167" t="e">
        <f t="shared" si="104"/>
        <v>#DIV/0!</v>
      </c>
      <c r="AB200" s="167" t="e">
        <f t="shared" si="104"/>
        <v>#DIV/0!</v>
      </c>
      <c r="AC200" s="167" t="e">
        <f t="shared" si="104"/>
        <v>#DIV/0!</v>
      </c>
      <c r="AD200" s="167" t="e">
        <f t="shared" si="104"/>
        <v>#DIV/0!</v>
      </c>
      <c r="AE200" s="167" t="e">
        <f t="shared" si="104"/>
        <v>#DIV/0!</v>
      </c>
      <c r="AF200" s="167" t="e">
        <f t="shared" si="104"/>
        <v>#DIV/0!</v>
      </c>
      <c r="AG200" s="167" t="e">
        <f t="shared" si="104"/>
        <v>#DIV/0!</v>
      </c>
      <c r="AH200" s="167" t="e">
        <f t="shared" si="104"/>
        <v>#DIV/0!</v>
      </c>
      <c r="AI200" s="167" t="e">
        <f t="shared" si="104"/>
        <v>#DIV/0!</v>
      </c>
      <c r="AJ200" s="167" t="e">
        <f t="shared" si="104"/>
        <v>#DIV/0!</v>
      </c>
      <c r="AK200" s="167" t="e">
        <f t="shared" si="104"/>
        <v>#DIV/0!</v>
      </c>
      <c r="AL200" s="167" t="e">
        <f t="shared" si="104"/>
        <v>#DIV/0!</v>
      </c>
      <c r="AM200" s="167" t="e">
        <f t="shared" si="104"/>
        <v>#DIV/0!</v>
      </c>
      <c r="AN200" s="167" t="e">
        <f t="shared" si="104"/>
        <v>#DIV/0!</v>
      </c>
      <c r="AO200" s="167" t="e">
        <f t="shared" si="104"/>
        <v>#DIV/0!</v>
      </c>
    </row>
    <row r="201" spans="2:41" x14ac:dyDescent="0.15">
      <c r="B201" s="505"/>
      <c r="C201" s="130" t="s">
        <v>1286</v>
      </c>
      <c r="D201" s="94">
        <f>SUMIFS('caseload data'!E:E,'caseload data'!$D:$D,"DMY",'caseload data'!$A:$A,"West Midlands Region",'caseload data'!$B:$B,"custody")</f>
        <v>0</v>
      </c>
      <c r="E201" s="94">
        <f>SUMIFS('caseload data'!F:F,'caseload data'!$D:$D,"DMY",'caseload data'!$A:$A,"West Midlands Region",'caseload data'!$B:$B,"custody")</f>
        <v>0</v>
      </c>
      <c r="F201" s="94">
        <f>SUMIFS('caseload data'!G:G,'caseload data'!$D:$D,"DMY",'caseload data'!$A:$A,"West Midlands Region",'caseload data'!$B:$B,"custody")</f>
        <v>0</v>
      </c>
      <c r="G201" s="94">
        <f>SUMIFS('caseload data'!H:H,'caseload data'!$D:$D,"DMY",'caseload data'!$A:$A,"West Midlands Region",'caseload data'!$B:$B,"custody")</f>
        <v>0</v>
      </c>
      <c r="H201" s="94">
        <f>SUMIFS('caseload data'!I:I,'caseload data'!$D:$D,"DMY",'caseload data'!$A:$A,"West Midlands Region",'caseload data'!$B:$B,"custody")</f>
        <v>0</v>
      </c>
      <c r="I201" s="94">
        <f>SUMIFS('caseload data'!J:J,'caseload data'!$D:$D,"DMY",'caseload data'!$A:$A,"West Midlands Region",'caseload data'!$B:$B,"custody")</f>
        <v>0</v>
      </c>
      <c r="J201" s="94">
        <f>SUMIFS('caseload data'!K:K,'caseload data'!$D:$D,"DMY",'caseload data'!$A:$A,"West Midlands Region",'caseload data'!$B:$B,"custody")</f>
        <v>0</v>
      </c>
      <c r="K201" s="94">
        <f>SUMIFS('caseload data'!L:L,'caseload data'!$D:$D,"DMY",'caseload data'!$A:$A,"West Midlands Region",'caseload data'!$B:$B,"custody")</f>
        <v>0</v>
      </c>
      <c r="L201" s="94">
        <f>SUMIFS('caseload data'!M:M,'caseload data'!$D:$D,"DMY",'caseload data'!$A:$A,"West Midlands Region",'caseload data'!$B:$B,"custody")</f>
        <v>0</v>
      </c>
      <c r="M201" s="94">
        <f>SUMIFS('caseload data'!N:N,'caseload data'!$D:$D,"DMY",'caseload data'!$A:$A,"West Midlands Region",'caseload data'!$B:$B,"custody")</f>
        <v>0</v>
      </c>
      <c r="N201" s="94">
        <f>SUMIFS('caseload data'!O:O,'caseload data'!$D:$D,"DMY",'caseload data'!$A:$A,"West Midlands Region",'caseload data'!$B:$B,"custody")</f>
        <v>0</v>
      </c>
      <c r="O201" s="94">
        <f>SUMIFS('caseload data'!P:P,'caseload data'!$D:$D,"DMY",'caseload data'!$A:$A,"West Midlands Region",'caseload data'!$B:$B,"custody")</f>
        <v>0</v>
      </c>
      <c r="P201" s="94">
        <f>SUMIFS('caseload data'!Q:Q,'caseload data'!$D:$D,"DMY",'caseload data'!$A:$A,"West Midlands Region",'caseload data'!$B:$B,"custody")</f>
        <v>0</v>
      </c>
      <c r="Q201" s="94">
        <f>SUMIFS('caseload data'!R:R,'caseload data'!$D:$D,"DMY",'caseload data'!$A:$A,"West Midlands Region",'caseload data'!$B:$B,"custody")</f>
        <v>0</v>
      </c>
      <c r="R201" s="94">
        <f>SUMIFS('caseload data'!S:S,'caseload data'!$D:$D,"DMY",'caseload data'!$A:$A,"West Midlands Region",'caseload data'!$B:$B,"custody")</f>
        <v>0</v>
      </c>
      <c r="S201" s="94">
        <f>SUMIFS('caseload data'!T:T,'caseload data'!$D:$D,"DMY",'caseload data'!$A:$A,"West Midlands Region",'caseload data'!$B:$B,"custody")</f>
        <v>0</v>
      </c>
      <c r="T201" s="94">
        <f>SUMIFS('caseload data'!V:V,'caseload data'!$D:$D,"DMY",'caseload data'!$A:$A,"West Midlands Region",'caseload data'!$B:$B,"custody")</f>
        <v>0</v>
      </c>
      <c r="U201" s="64"/>
      <c r="V201" s="64"/>
      <c r="W201" s="505"/>
      <c r="X201" s="130" t="s">
        <v>1286</v>
      </c>
      <c r="Y201" s="167" t="e">
        <f t="shared" si="105"/>
        <v>#DIV/0!</v>
      </c>
      <c r="Z201" s="167" t="e">
        <f t="shared" si="104"/>
        <v>#DIV/0!</v>
      </c>
      <c r="AA201" s="167" t="e">
        <f t="shared" si="104"/>
        <v>#DIV/0!</v>
      </c>
      <c r="AB201" s="167" t="e">
        <f t="shared" si="104"/>
        <v>#DIV/0!</v>
      </c>
      <c r="AC201" s="167" t="e">
        <f t="shared" si="104"/>
        <v>#DIV/0!</v>
      </c>
      <c r="AD201" s="167" t="e">
        <f t="shared" si="104"/>
        <v>#DIV/0!</v>
      </c>
      <c r="AE201" s="167" t="e">
        <f t="shared" si="104"/>
        <v>#DIV/0!</v>
      </c>
      <c r="AF201" s="167" t="e">
        <f t="shared" si="104"/>
        <v>#DIV/0!</v>
      </c>
      <c r="AG201" s="167" t="e">
        <f t="shared" si="104"/>
        <v>#DIV/0!</v>
      </c>
      <c r="AH201" s="167" t="e">
        <f t="shared" si="104"/>
        <v>#DIV/0!</v>
      </c>
      <c r="AI201" s="167" t="e">
        <f t="shared" si="104"/>
        <v>#DIV/0!</v>
      </c>
      <c r="AJ201" s="167" t="e">
        <f t="shared" si="104"/>
        <v>#DIV/0!</v>
      </c>
      <c r="AK201" s="167" t="e">
        <f t="shared" si="104"/>
        <v>#DIV/0!</v>
      </c>
      <c r="AL201" s="167" t="e">
        <f t="shared" si="104"/>
        <v>#DIV/0!</v>
      </c>
      <c r="AM201" s="167" t="e">
        <f t="shared" si="104"/>
        <v>#DIV/0!</v>
      </c>
      <c r="AN201" s="167" t="e">
        <f t="shared" si="104"/>
        <v>#DIV/0!</v>
      </c>
      <c r="AO201" s="167" t="e">
        <f t="shared" si="104"/>
        <v>#DIV/0!</v>
      </c>
    </row>
    <row r="202" spans="2:41" x14ac:dyDescent="0.15">
      <c r="B202" s="503" t="s">
        <v>28</v>
      </c>
      <c r="C202" s="128" t="s">
        <v>947</v>
      </c>
      <c r="D202" s="94">
        <f>SUMIFS('caseload data'!E:E,'caseload data'!$D:$D,"PO",'caseload data'!$A:$A,$B$202,'caseload data'!$B:$B,"custody")</f>
        <v>0</v>
      </c>
      <c r="E202" s="94">
        <f>SUMIFS('caseload data'!F:F,'caseload data'!$D:$D,"PO",'caseload data'!$A:$A,$B$202,'caseload data'!$B:$B,"custody")</f>
        <v>0</v>
      </c>
      <c r="F202" s="94">
        <f>SUMIFS('caseload data'!G:G,'caseload data'!$D:$D,"PO",'caseload data'!$A:$A,$B$202,'caseload data'!$B:$B,"custody")</f>
        <v>0</v>
      </c>
      <c r="G202" s="94">
        <f>SUMIFS('caseload data'!H:H,'caseload data'!$D:$D,"PO",'caseload data'!$A:$A,$B$202,'caseload data'!$B:$B,"custody")</f>
        <v>0</v>
      </c>
      <c r="H202" s="94">
        <f>SUMIFS('caseload data'!I:I,'caseload data'!$D:$D,"PO",'caseload data'!$A:$A,$B$202,'caseload data'!$B:$B,"custody")</f>
        <v>0</v>
      </c>
      <c r="I202" s="94">
        <f>SUMIFS('caseload data'!J:J,'caseload data'!$D:$D,"PO",'caseload data'!$A:$A,$B$202,'caseload data'!$B:$B,"custody")</f>
        <v>0</v>
      </c>
      <c r="J202" s="94">
        <f>SUMIFS('caseload data'!K:K,'caseload data'!$D:$D,"PO",'caseload data'!$A:$A,$B$202,'caseload data'!$B:$B,"custody")</f>
        <v>0</v>
      </c>
      <c r="K202" s="94">
        <f>SUMIFS('caseload data'!L:L,'caseload data'!$D:$D,"PO",'caseload data'!$A:$A,$B$202,'caseload data'!$B:$B,"custody")</f>
        <v>0</v>
      </c>
      <c r="L202" s="94">
        <f>SUMIFS('caseload data'!M:M,'caseload data'!$D:$D,"PO",'caseload data'!$A:$A,$B$202,'caseload data'!$B:$B,"custody")</f>
        <v>0</v>
      </c>
      <c r="M202" s="94">
        <f>SUMIFS('caseload data'!N:N,'caseload data'!$D:$D,"PO",'caseload data'!$A:$A,$B$202,'caseload data'!$B:$B,"custody")</f>
        <v>0</v>
      </c>
      <c r="N202" s="94">
        <f>SUMIFS('caseload data'!O:O,'caseload data'!$D:$D,"PO",'caseload data'!$A:$A,$B$202,'caseload data'!$B:$B,"custody")</f>
        <v>0</v>
      </c>
      <c r="O202" s="94">
        <f>SUMIFS('caseload data'!P:P,'caseload data'!$D:$D,"PO",'caseload data'!$A:$A,$B$202,'caseload data'!$B:$B,"custody")</f>
        <v>0</v>
      </c>
      <c r="P202" s="94">
        <f>SUMIFS('caseload data'!Q:Q,'caseload data'!$D:$D,"PO",'caseload data'!$A:$A,$B$202,'caseload data'!$B:$B,"custody")</f>
        <v>0</v>
      </c>
      <c r="Q202" s="94">
        <f>SUMIFS('caseload data'!R:R,'caseload data'!$D:$D,"PO",'caseload data'!$A:$A,$B$202,'caseload data'!$B:$B,"custody")</f>
        <v>0</v>
      </c>
      <c r="R202" s="94">
        <f>SUMIFS('caseload data'!S:S,'caseload data'!$D:$D,"PO",'caseload data'!$A:$A,$B$202,'caseload data'!$B:$B,"custody")</f>
        <v>0</v>
      </c>
      <c r="S202" s="94">
        <f>SUMIFS('caseload data'!T:T,'caseload data'!$D:$D,"PO",'caseload data'!$A:$A,$B$202,'caseload data'!$B:$B,"custody")</f>
        <v>0</v>
      </c>
      <c r="T202" s="94">
        <f>SUMIFS('caseload data'!V:V,'caseload data'!D:D,"PO",'caseload data'!A:A,B202,'caseload data'!B:B,"custody")</f>
        <v>0</v>
      </c>
      <c r="U202" s="64"/>
      <c r="V202" s="64"/>
      <c r="W202" s="503" t="s">
        <v>28</v>
      </c>
      <c r="X202" s="128" t="s">
        <v>947</v>
      </c>
      <c r="Y202" s="167" t="e">
        <f>SUM(D202)/SUM(D$202:D$206)</f>
        <v>#DIV/0!</v>
      </c>
      <c r="Z202" s="167" t="e">
        <f t="shared" ref="Z202:AO206" si="106">SUM(E202)/SUM(E$202:E$206)</f>
        <v>#DIV/0!</v>
      </c>
      <c r="AA202" s="167" t="e">
        <f t="shared" si="106"/>
        <v>#DIV/0!</v>
      </c>
      <c r="AB202" s="167" t="e">
        <f t="shared" si="106"/>
        <v>#DIV/0!</v>
      </c>
      <c r="AC202" s="167" t="e">
        <f t="shared" si="106"/>
        <v>#DIV/0!</v>
      </c>
      <c r="AD202" s="167" t="e">
        <f t="shared" si="106"/>
        <v>#DIV/0!</v>
      </c>
      <c r="AE202" s="167" t="e">
        <f t="shared" si="106"/>
        <v>#DIV/0!</v>
      </c>
      <c r="AF202" s="167" t="e">
        <f t="shared" si="106"/>
        <v>#DIV/0!</v>
      </c>
      <c r="AG202" s="167" t="e">
        <f t="shared" si="106"/>
        <v>#DIV/0!</v>
      </c>
      <c r="AH202" s="167" t="e">
        <f t="shared" si="106"/>
        <v>#DIV/0!</v>
      </c>
      <c r="AI202" s="167" t="e">
        <f t="shared" si="106"/>
        <v>#DIV/0!</v>
      </c>
      <c r="AJ202" s="167" t="e">
        <f t="shared" si="106"/>
        <v>#DIV/0!</v>
      </c>
      <c r="AK202" s="167" t="e">
        <f t="shared" si="106"/>
        <v>#DIV/0!</v>
      </c>
      <c r="AL202" s="167" t="e">
        <f t="shared" si="106"/>
        <v>#DIV/0!</v>
      </c>
      <c r="AM202" s="167" t="e">
        <f t="shared" si="106"/>
        <v>#DIV/0!</v>
      </c>
      <c r="AN202" s="167" t="e">
        <f t="shared" si="106"/>
        <v>#DIV/0!</v>
      </c>
      <c r="AO202" s="167" t="e">
        <f t="shared" si="106"/>
        <v>#DIV/0!</v>
      </c>
    </row>
    <row r="203" spans="2:41" x14ac:dyDescent="0.15">
      <c r="B203" s="504"/>
      <c r="C203" s="129" t="s">
        <v>952</v>
      </c>
      <c r="D203" s="94">
        <f>SUMIFS('caseload data'!E:E,'caseload data'!$D:$D,"PSO",'caseload data'!$A:$A,B202,'caseload data'!$B:$B,"custody")</f>
        <v>0</v>
      </c>
      <c r="E203" s="94">
        <f>SUMIFS('caseload data'!F:F,'caseload data'!$D:$D,"PSO",'caseload data'!$A:$A,C202,'caseload data'!$B:$B,"custody")</f>
        <v>0</v>
      </c>
      <c r="F203" s="94">
        <f>SUMIFS('caseload data'!G:G,'caseload data'!$D:$D,"PSO",'caseload data'!$A:$A,D202,'caseload data'!$B:$B,"custody")</f>
        <v>0</v>
      </c>
      <c r="G203" s="94">
        <f>SUMIFS('caseload data'!H:H,'caseload data'!$D:$D,"PSO",'caseload data'!$A:$A,E202,'caseload data'!$B:$B,"custody")</f>
        <v>0</v>
      </c>
      <c r="H203" s="94">
        <f>SUMIFS('caseload data'!I:I,'caseload data'!$D:$D,"PSO",'caseload data'!$A:$A,F202,'caseload data'!$B:$B,"custody")</f>
        <v>0</v>
      </c>
      <c r="I203" s="94">
        <f>SUMIFS('caseload data'!J:J,'caseload data'!$D:$D,"PSO",'caseload data'!$A:$A,G202,'caseload data'!$B:$B,"custody")</f>
        <v>0</v>
      </c>
      <c r="J203" s="94">
        <f>SUMIFS('caseload data'!K:K,'caseload data'!$D:$D,"PSO",'caseload data'!$A:$A,H202,'caseload data'!$B:$B,"custody")</f>
        <v>0</v>
      </c>
      <c r="K203" s="94">
        <f>SUMIFS('caseload data'!L:L,'caseload data'!$D:$D,"PSO",'caseload data'!$A:$A,I202,'caseload data'!$B:$B,"custody")</f>
        <v>0</v>
      </c>
      <c r="L203" s="94">
        <f>SUMIFS('caseload data'!M:M,'caseload data'!$D:$D,"PSO",'caseload data'!$A:$A,J202,'caseload data'!$B:$B,"custody")</f>
        <v>0</v>
      </c>
      <c r="M203" s="94">
        <f>SUMIFS('caseload data'!N:N,'caseload data'!$D:$D,"PSO",'caseload data'!$A:$A,K202,'caseload data'!$B:$B,"custody")</f>
        <v>0</v>
      </c>
      <c r="N203" s="94">
        <f>SUMIFS('caseload data'!O:O,'caseload data'!$D:$D,"PSO",'caseload data'!$A:$A,L202,'caseload data'!$B:$B,"custody")</f>
        <v>0</v>
      </c>
      <c r="O203" s="94">
        <f>SUMIFS('caseload data'!P:P,'caseload data'!$D:$D,"PSO",'caseload data'!$A:$A,M202,'caseload data'!$B:$B,"custody")</f>
        <v>0</v>
      </c>
      <c r="P203" s="94">
        <f>SUMIFS('caseload data'!Q:Q,'caseload data'!$D:$D,"PSO",'caseload data'!$A:$A,N202,'caseload data'!$B:$B,"custody")</f>
        <v>0</v>
      </c>
      <c r="Q203" s="94">
        <f>SUMIFS('caseload data'!R:R,'caseload data'!$D:$D,"PSO",'caseload data'!$A:$A,O202,'caseload data'!$B:$B,"custody")</f>
        <v>0</v>
      </c>
      <c r="R203" s="94">
        <f>SUMIFS('caseload data'!S:S,'caseload data'!$D:$D,"PSO",'caseload data'!$A:$A,P202,'caseload data'!$B:$B,"custody")</f>
        <v>0</v>
      </c>
      <c r="S203" s="94">
        <f>SUMIFS('caseload data'!T:T,'caseload data'!$D:$D,"PSO",'caseload data'!$A:$A,Q202,'caseload data'!$B:$B,"custody")</f>
        <v>0</v>
      </c>
      <c r="T203" s="94">
        <f>SUMIFS('caseload data'!V:V,'caseload data'!D:D,"PSO",'caseload data'!A:A,B202,'caseload data'!B:B,"custody")</f>
        <v>0</v>
      </c>
      <c r="U203" s="64"/>
      <c r="V203" s="64"/>
      <c r="W203" s="504"/>
      <c r="X203" s="129" t="s">
        <v>952</v>
      </c>
      <c r="Y203" s="167" t="e">
        <f t="shared" ref="Y203:Y206" si="107">SUM(D203)/SUM(D$202:D$206)</f>
        <v>#DIV/0!</v>
      </c>
      <c r="Z203" s="167" t="e">
        <f t="shared" si="106"/>
        <v>#DIV/0!</v>
      </c>
      <c r="AA203" s="167" t="e">
        <f t="shared" si="106"/>
        <v>#DIV/0!</v>
      </c>
      <c r="AB203" s="167" t="e">
        <f t="shared" si="106"/>
        <v>#DIV/0!</v>
      </c>
      <c r="AC203" s="167" t="e">
        <f t="shared" si="106"/>
        <v>#DIV/0!</v>
      </c>
      <c r="AD203" s="167" t="e">
        <f t="shared" si="106"/>
        <v>#DIV/0!</v>
      </c>
      <c r="AE203" s="167" t="e">
        <f t="shared" si="106"/>
        <v>#DIV/0!</v>
      </c>
      <c r="AF203" s="167" t="e">
        <f t="shared" si="106"/>
        <v>#DIV/0!</v>
      </c>
      <c r="AG203" s="167" t="e">
        <f t="shared" si="106"/>
        <v>#DIV/0!</v>
      </c>
      <c r="AH203" s="167" t="e">
        <f t="shared" si="106"/>
        <v>#DIV/0!</v>
      </c>
      <c r="AI203" s="167" t="e">
        <f t="shared" si="106"/>
        <v>#DIV/0!</v>
      </c>
      <c r="AJ203" s="167" t="e">
        <f t="shared" si="106"/>
        <v>#DIV/0!</v>
      </c>
      <c r="AK203" s="167" t="e">
        <f t="shared" si="106"/>
        <v>#DIV/0!</v>
      </c>
      <c r="AL203" s="167" t="e">
        <f t="shared" si="106"/>
        <v>#DIV/0!</v>
      </c>
      <c r="AM203" s="167" t="e">
        <f t="shared" si="106"/>
        <v>#DIV/0!</v>
      </c>
      <c r="AN203" s="167" t="e">
        <f t="shared" si="106"/>
        <v>#DIV/0!</v>
      </c>
      <c r="AO203" s="167" t="e">
        <f t="shared" si="106"/>
        <v>#DIV/0!</v>
      </c>
    </row>
    <row r="204" spans="2:41" x14ac:dyDescent="0.15">
      <c r="B204" s="504"/>
      <c r="C204" s="129" t="s">
        <v>953</v>
      </c>
      <c r="D204" s="94">
        <f>SUMIFS('caseload data'!E:E,'caseload data'!$D:$D,"TPO",'caseload data'!$A:$A,B202,'caseload data'!$B:$B,"custody")</f>
        <v>0</v>
      </c>
      <c r="E204" s="94">
        <f>SUMIFS('caseload data'!F:F,'caseload data'!$D:$D,"TPO",'caseload data'!$A:$A,C202,'caseload data'!$B:$B,"custody")</f>
        <v>0</v>
      </c>
      <c r="F204" s="94">
        <f>SUMIFS('caseload data'!G:G,'caseload data'!$D:$D,"TPO",'caseload data'!$A:$A,D202,'caseload data'!$B:$B,"custody")</f>
        <v>0</v>
      </c>
      <c r="G204" s="94">
        <f>SUMIFS('caseload data'!H:H,'caseload data'!$D:$D,"TPO",'caseload data'!$A:$A,E202,'caseload data'!$B:$B,"custody")</f>
        <v>0</v>
      </c>
      <c r="H204" s="94">
        <f>SUMIFS('caseload data'!I:I,'caseload data'!$D:$D,"TPO",'caseload data'!$A:$A,F202,'caseload data'!$B:$B,"custody")</f>
        <v>0</v>
      </c>
      <c r="I204" s="94">
        <f>SUMIFS('caseload data'!J:J,'caseload data'!$D:$D,"TPO",'caseload data'!$A:$A,G202,'caseload data'!$B:$B,"custody")</f>
        <v>0</v>
      </c>
      <c r="J204" s="94">
        <f>SUMIFS('caseload data'!K:K,'caseload data'!$D:$D,"TPO",'caseload data'!$A:$A,H202,'caseload data'!$B:$B,"custody")</f>
        <v>0</v>
      </c>
      <c r="K204" s="94">
        <f>SUMIFS('caseload data'!L:L,'caseload data'!$D:$D,"TPO",'caseload data'!$A:$A,I202,'caseload data'!$B:$B,"custody")</f>
        <v>0</v>
      </c>
      <c r="L204" s="94">
        <f>SUMIFS('caseload data'!M:M,'caseload data'!$D:$D,"TPO",'caseload data'!$A:$A,J202,'caseload data'!$B:$B,"custody")</f>
        <v>0</v>
      </c>
      <c r="M204" s="94">
        <f>SUMIFS('caseload data'!N:N,'caseload data'!$D:$D,"TPO",'caseload data'!$A:$A,K202,'caseload data'!$B:$B,"custody")</f>
        <v>0</v>
      </c>
      <c r="N204" s="94">
        <f>SUMIFS('caseload data'!O:O,'caseload data'!$D:$D,"TPO",'caseload data'!$A:$A,L202,'caseload data'!$B:$B,"custody")</f>
        <v>0</v>
      </c>
      <c r="O204" s="94">
        <f>SUMIFS('caseload data'!P:P,'caseload data'!$D:$D,"TPO",'caseload data'!$A:$A,M202,'caseload data'!$B:$B,"custody")</f>
        <v>0</v>
      </c>
      <c r="P204" s="94">
        <f>SUMIFS('caseload data'!Q:Q,'caseload data'!$D:$D,"TPO",'caseload data'!$A:$A,N202,'caseload data'!$B:$B,"custody")</f>
        <v>0</v>
      </c>
      <c r="Q204" s="94">
        <f>SUMIFS('caseload data'!R:R,'caseload data'!$D:$D,"TPO",'caseload data'!$A:$A,O202,'caseload data'!$B:$B,"custody")</f>
        <v>0</v>
      </c>
      <c r="R204" s="94">
        <f>SUMIFS('caseload data'!S:S,'caseload data'!$D:$D,"TPO",'caseload data'!$A:$A,P202,'caseload data'!$B:$B,"custody")</f>
        <v>0</v>
      </c>
      <c r="S204" s="94">
        <f>SUMIFS('caseload data'!T:T,'caseload data'!$D:$D,"TPO",'caseload data'!$A:$A,Q202,'caseload data'!$B:$B,"custody")</f>
        <v>0</v>
      </c>
      <c r="T204" s="94">
        <f>SUMIFS('caseload data'!V:V,'caseload data'!D:D,"TPO",'caseload data'!A:A,B202,'caseload data'!B:B,"custody")</f>
        <v>0</v>
      </c>
      <c r="U204" s="64"/>
      <c r="V204" s="64"/>
      <c r="W204" s="504"/>
      <c r="X204" s="129" t="s">
        <v>953</v>
      </c>
      <c r="Y204" s="167" t="e">
        <f t="shared" si="107"/>
        <v>#DIV/0!</v>
      </c>
      <c r="Z204" s="167" t="e">
        <f t="shared" si="106"/>
        <v>#DIV/0!</v>
      </c>
      <c r="AA204" s="167" t="e">
        <f t="shared" si="106"/>
        <v>#DIV/0!</v>
      </c>
      <c r="AB204" s="167" t="e">
        <f t="shared" si="106"/>
        <v>#DIV/0!</v>
      </c>
      <c r="AC204" s="167" t="e">
        <f t="shared" si="106"/>
        <v>#DIV/0!</v>
      </c>
      <c r="AD204" s="167" t="e">
        <f t="shared" si="106"/>
        <v>#DIV/0!</v>
      </c>
      <c r="AE204" s="167" t="e">
        <f t="shared" si="106"/>
        <v>#DIV/0!</v>
      </c>
      <c r="AF204" s="167" t="e">
        <f t="shared" si="106"/>
        <v>#DIV/0!</v>
      </c>
      <c r="AG204" s="167" t="e">
        <f t="shared" si="106"/>
        <v>#DIV/0!</v>
      </c>
      <c r="AH204" s="167" t="e">
        <f t="shared" si="106"/>
        <v>#DIV/0!</v>
      </c>
      <c r="AI204" s="167" t="e">
        <f t="shared" si="106"/>
        <v>#DIV/0!</v>
      </c>
      <c r="AJ204" s="167" t="e">
        <f t="shared" si="106"/>
        <v>#DIV/0!</v>
      </c>
      <c r="AK204" s="167" t="e">
        <f t="shared" si="106"/>
        <v>#DIV/0!</v>
      </c>
      <c r="AL204" s="167" t="e">
        <f t="shared" si="106"/>
        <v>#DIV/0!</v>
      </c>
      <c r="AM204" s="167" t="e">
        <f t="shared" si="106"/>
        <v>#DIV/0!</v>
      </c>
      <c r="AN204" s="167" t="e">
        <f t="shared" si="106"/>
        <v>#DIV/0!</v>
      </c>
      <c r="AO204" s="167" t="e">
        <f t="shared" si="106"/>
        <v>#DIV/0!</v>
      </c>
    </row>
    <row r="205" spans="2:41" x14ac:dyDescent="0.15">
      <c r="B205" s="504"/>
      <c r="C205" s="129" t="s">
        <v>954</v>
      </c>
      <c r="D205" s="94">
        <f>SUMIFS('caseload data'!E:E,'caseload data'!$D:$D,"SPO",'caseload data'!$A:$A,"Yorkshire and The Humber",'caseload data'!$B:$B,"custody")</f>
        <v>0</v>
      </c>
      <c r="E205" s="94">
        <f>SUMIFS('caseload data'!F:F,'caseload data'!$D:$D,"SPO",'caseload data'!$A:$A,"Yorkshire and The Humber",'caseload data'!$B:$B,"custody")</f>
        <v>0</v>
      </c>
      <c r="F205" s="94">
        <f>SUMIFS('caseload data'!G:G,'caseload data'!$D:$D,"SPO",'caseload data'!$A:$A,"Yorkshire and The Humber",'caseload data'!$B:$B,"custody")</f>
        <v>0</v>
      </c>
      <c r="G205" s="94">
        <f>SUMIFS('caseload data'!H:H,'caseload data'!$D:$D,"SPO",'caseload data'!$A:$A,"Yorkshire and The Humber",'caseload data'!$B:$B,"custody")</f>
        <v>0</v>
      </c>
      <c r="H205" s="94">
        <f>SUMIFS('caseload data'!I:I,'caseload data'!$D:$D,"SPO",'caseload data'!$A:$A,"Yorkshire and The Humber",'caseload data'!$B:$B,"custody")</f>
        <v>0</v>
      </c>
      <c r="I205" s="94">
        <f>SUMIFS('caseload data'!J:J,'caseload data'!$D:$D,"SPO",'caseload data'!$A:$A,"Yorkshire and The Humber",'caseload data'!$B:$B,"custody")</f>
        <v>0</v>
      </c>
      <c r="J205" s="94">
        <f>SUMIFS('caseload data'!K:K,'caseload data'!$D:$D,"SPO",'caseload data'!$A:$A,"Yorkshire and The Humber",'caseload data'!$B:$B,"custody")</f>
        <v>0</v>
      </c>
      <c r="K205" s="94">
        <f>SUMIFS('caseload data'!L:L,'caseload data'!$D:$D,"SPO",'caseload data'!$A:$A,"Yorkshire and The Humber",'caseload data'!$B:$B,"custody")</f>
        <v>0</v>
      </c>
      <c r="L205" s="94">
        <f>SUMIFS('caseload data'!M:M,'caseload data'!$D:$D,"SPO",'caseload data'!$A:$A,"Yorkshire and The Humber",'caseload data'!$B:$B,"custody")</f>
        <v>0</v>
      </c>
      <c r="M205" s="94">
        <f>SUMIFS('caseload data'!N:N,'caseload data'!$D:$D,"SPO",'caseload data'!$A:$A,"Yorkshire and The Humber",'caseload data'!$B:$B,"custody")</f>
        <v>0</v>
      </c>
      <c r="N205" s="94">
        <f>SUMIFS('caseload data'!O:O,'caseload data'!$D:$D,"SPO",'caseload data'!$A:$A,"Yorkshire and The Humber",'caseload data'!$B:$B,"custody")</f>
        <v>0</v>
      </c>
      <c r="O205" s="94">
        <f>SUMIFS('caseload data'!P:P,'caseload data'!$D:$D,"SPO",'caseload data'!$A:$A,"Yorkshire and The Humber",'caseload data'!$B:$B,"custody")</f>
        <v>0</v>
      </c>
      <c r="P205" s="94">
        <f>SUMIFS('caseload data'!Q:Q,'caseload data'!$D:$D,"SPO",'caseload data'!$A:$A,"Yorkshire and The Humber",'caseload data'!$B:$B,"custody")</f>
        <v>0</v>
      </c>
      <c r="Q205" s="94">
        <f>SUMIFS('caseload data'!R:R,'caseload data'!$D:$D,"SPO",'caseload data'!$A:$A,"Yorkshire and The Humber",'caseload data'!$B:$B,"custody")</f>
        <v>0</v>
      </c>
      <c r="R205" s="94">
        <f>SUMIFS('caseload data'!S:S,'caseload data'!$D:$D,"SPO",'caseload data'!$A:$A,"Yorkshire and The Humber",'caseload data'!$B:$B,"custody")</f>
        <v>0</v>
      </c>
      <c r="S205" s="94">
        <f>SUMIFS('caseload data'!T:T,'caseload data'!$D:$D,"SPO",'caseload data'!$A:$A,"Yorkshire and The Humber",'caseload data'!$B:$B,"custody")</f>
        <v>0</v>
      </c>
      <c r="T205" s="94">
        <f>SUMIFS('caseload data'!V:V,'caseload data'!$D:$D,"SPO",'caseload data'!$A:$A,"Yorkshire and The Humber",'caseload data'!$B:$B,"custody")</f>
        <v>0</v>
      </c>
      <c r="U205" s="64"/>
      <c r="V205" s="64"/>
      <c r="W205" s="504"/>
      <c r="X205" s="129" t="s">
        <v>954</v>
      </c>
      <c r="Y205" s="167" t="e">
        <f t="shared" si="107"/>
        <v>#DIV/0!</v>
      </c>
      <c r="Z205" s="167" t="e">
        <f t="shared" si="106"/>
        <v>#DIV/0!</v>
      </c>
      <c r="AA205" s="167" t="e">
        <f t="shared" si="106"/>
        <v>#DIV/0!</v>
      </c>
      <c r="AB205" s="167" t="e">
        <f t="shared" si="106"/>
        <v>#DIV/0!</v>
      </c>
      <c r="AC205" s="167" t="e">
        <f t="shared" si="106"/>
        <v>#DIV/0!</v>
      </c>
      <c r="AD205" s="167" t="e">
        <f t="shared" si="106"/>
        <v>#DIV/0!</v>
      </c>
      <c r="AE205" s="167" t="e">
        <f t="shared" si="106"/>
        <v>#DIV/0!</v>
      </c>
      <c r="AF205" s="167" t="e">
        <f t="shared" si="106"/>
        <v>#DIV/0!</v>
      </c>
      <c r="AG205" s="167" t="e">
        <f t="shared" si="106"/>
        <v>#DIV/0!</v>
      </c>
      <c r="AH205" s="167" t="e">
        <f t="shared" si="106"/>
        <v>#DIV/0!</v>
      </c>
      <c r="AI205" s="167" t="e">
        <f t="shared" si="106"/>
        <v>#DIV/0!</v>
      </c>
      <c r="AJ205" s="167" t="e">
        <f t="shared" si="106"/>
        <v>#DIV/0!</v>
      </c>
      <c r="AK205" s="167" t="e">
        <f t="shared" si="106"/>
        <v>#DIV/0!</v>
      </c>
      <c r="AL205" s="167" t="e">
        <f t="shared" si="106"/>
        <v>#DIV/0!</v>
      </c>
      <c r="AM205" s="167" t="e">
        <f t="shared" si="106"/>
        <v>#DIV/0!</v>
      </c>
      <c r="AN205" s="167" t="e">
        <f t="shared" si="106"/>
        <v>#DIV/0!</v>
      </c>
      <c r="AO205" s="167" t="e">
        <f t="shared" si="106"/>
        <v>#DIV/0!</v>
      </c>
    </row>
    <row r="206" spans="2:41" ht="15" thickBot="1" x14ac:dyDescent="0.2">
      <c r="B206" s="504"/>
      <c r="C206" s="129" t="s">
        <v>1286</v>
      </c>
      <c r="D206" s="375">
        <f>SUMIFS('caseload data'!E:E,'caseload data'!$D:$D,"DMY",'caseload data'!$A:$A,"Yorkshire and The Humber",'caseload data'!$B:$B,"custody")</f>
        <v>0</v>
      </c>
      <c r="E206" s="375">
        <f>SUMIFS('caseload data'!F:F,'caseload data'!$D:$D,"DMY",'caseload data'!$A:$A,"Yorkshire and The Humber",'caseload data'!$B:$B,"custody")</f>
        <v>0</v>
      </c>
      <c r="F206" s="375">
        <f>SUMIFS('caseload data'!G:G,'caseload data'!$D:$D,"DMY",'caseload data'!$A:$A,"Yorkshire and The Humber",'caseload data'!$B:$B,"custody")</f>
        <v>0</v>
      </c>
      <c r="G206" s="375">
        <f>SUMIFS('caseload data'!H:H,'caseload data'!$D:$D,"DMY",'caseload data'!$A:$A,"Yorkshire and The Humber",'caseload data'!$B:$B,"custody")</f>
        <v>0</v>
      </c>
      <c r="H206" s="375">
        <f>SUMIFS('caseload data'!I:I,'caseload data'!$D:$D,"DMY",'caseload data'!$A:$A,"Yorkshire and The Humber",'caseload data'!$B:$B,"custody")</f>
        <v>0</v>
      </c>
      <c r="I206" s="375">
        <f>SUMIFS('caseload data'!J:J,'caseload data'!$D:$D,"DMY",'caseload data'!$A:$A,"Yorkshire and The Humber",'caseload data'!$B:$B,"custody")</f>
        <v>0</v>
      </c>
      <c r="J206" s="375">
        <f>SUMIFS('caseload data'!K:K,'caseload data'!$D:$D,"DMY",'caseload data'!$A:$A,"Yorkshire and The Humber",'caseload data'!$B:$B,"custody")</f>
        <v>0</v>
      </c>
      <c r="K206" s="375">
        <f>SUMIFS('caseload data'!L:L,'caseload data'!$D:$D,"DMY",'caseload data'!$A:$A,"Yorkshire and The Humber",'caseload data'!$B:$B,"custody")</f>
        <v>0</v>
      </c>
      <c r="L206" s="375">
        <f>SUMIFS('caseload data'!M:M,'caseload data'!$D:$D,"DMY",'caseload data'!$A:$A,"Yorkshire and The Humber",'caseload data'!$B:$B,"custody")</f>
        <v>0</v>
      </c>
      <c r="M206" s="375">
        <f>SUMIFS('caseload data'!N:N,'caseload data'!$D:$D,"DMY",'caseload data'!$A:$A,"Yorkshire and The Humber",'caseload data'!$B:$B,"custody")</f>
        <v>0</v>
      </c>
      <c r="N206" s="375">
        <f>SUMIFS('caseload data'!O:O,'caseload data'!$D:$D,"DMY",'caseload data'!$A:$A,"Yorkshire and The Humber",'caseload data'!$B:$B,"custody")</f>
        <v>0</v>
      </c>
      <c r="O206" s="375">
        <f>SUMIFS('caseload data'!P:P,'caseload data'!$D:$D,"DMY",'caseload data'!$A:$A,"Yorkshire and The Humber",'caseload data'!$B:$B,"custody")</f>
        <v>0</v>
      </c>
      <c r="P206" s="375">
        <f>SUMIFS('caseload data'!Q:Q,'caseload data'!$D:$D,"DMY",'caseload data'!$A:$A,"Yorkshire and The Humber",'caseload data'!$B:$B,"custody")</f>
        <v>0</v>
      </c>
      <c r="Q206" s="375">
        <f>SUMIFS('caseload data'!R:R,'caseload data'!$D:$D,"DMY",'caseload data'!$A:$A,"Yorkshire and The Humber",'caseload data'!$B:$B,"custody")</f>
        <v>0</v>
      </c>
      <c r="R206" s="375">
        <f>SUMIFS('caseload data'!S:S,'caseload data'!$D:$D,"DMY",'caseload data'!$A:$A,"Yorkshire and The Humber",'caseload data'!$B:$B,"custody")</f>
        <v>0</v>
      </c>
      <c r="S206" s="375">
        <f>SUMIFS('caseload data'!T:T,'caseload data'!$D:$D,"DMY",'caseload data'!$A:$A,"Yorkshire and The Humber",'caseload data'!$B:$B,"custody")</f>
        <v>0</v>
      </c>
      <c r="T206" s="375">
        <f>SUMIFS('caseload data'!V:V,'caseload data'!$D:$D,"DMY",'caseload data'!$A:$A,"Yorkshire and The Humber",'caseload data'!$B:$B,"custody")</f>
        <v>0</v>
      </c>
      <c r="U206" s="64"/>
      <c r="V206" s="64"/>
      <c r="W206" s="504"/>
      <c r="X206" s="129" t="s">
        <v>1286</v>
      </c>
      <c r="Y206" s="371" t="e">
        <f t="shared" si="107"/>
        <v>#DIV/0!</v>
      </c>
      <c r="Z206" s="371" t="e">
        <f t="shared" si="106"/>
        <v>#DIV/0!</v>
      </c>
      <c r="AA206" s="371" t="e">
        <f t="shared" si="106"/>
        <v>#DIV/0!</v>
      </c>
      <c r="AB206" s="371" t="e">
        <f t="shared" si="106"/>
        <v>#DIV/0!</v>
      </c>
      <c r="AC206" s="371" t="e">
        <f t="shared" si="106"/>
        <v>#DIV/0!</v>
      </c>
      <c r="AD206" s="371" t="e">
        <f t="shared" si="106"/>
        <v>#DIV/0!</v>
      </c>
      <c r="AE206" s="371" t="e">
        <f t="shared" si="106"/>
        <v>#DIV/0!</v>
      </c>
      <c r="AF206" s="371" t="e">
        <f t="shared" si="106"/>
        <v>#DIV/0!</v>
      </c>
      <c r="AG206" s="371" t="e">
        <f t="shared" si="106"/>
        <v>#DIV/0!</v>
      </c>
      <c r="AH206" s="371" t="e">
        <f t="shared" si="106"/>
        <v>#DIV/0!</v>
      </c>
      <c r="AI206" s="371" t="e">
        <f t="shared" si="106"/>
        <v>#DIV/0!</v>
      </c>
      <c r="AJ206" s="371" t="e">
        <f t="shared" si="106"/>
        <v>#DIV/0!</v>
      </c>
      <c r="AK206" s="371" t="e">
        <f t="shared" si="106"/>
        <v>#DIV/0!</v>
      </c>
      <c r="AL206" s="371" t="e">
        <f t="shared" si="106"/>
        <v>#DIV/0!</v>
      </c>
      <c r="AM206" s="371" t="e">
        <f t="shared" si="106"/>
        <v>#DIV/0!</v>
      </c>
      <c r="AN206" s="371" t="e">
        <f t="shared" si="106"/>
        <v>#DIV/0!</v>
      </c>
      <c r="AO206" s="371" t="e">
        <f t="shared" si="106"/>
        <v>#DIV/0!</v>
      </c>
    </row>
    <row r="207" spans="2:41" x14ac:dyDescent="0.15">
      <c r="B207" s="528" t="s">
        <v>909</v>
      </c>
      <c r="C207" s="376" t="s">
        <v>947</v>
      </c>
      <c r="D207" s="377">
        <f>SUMIFS('caseload data'!E:E,'caseload data'!$D:$D,"PO",'caseload data'!$B:$B,"custody")</f>
        <v>0</v>
      </c>
      <c r="E207" s="377">
        <f>SUMIFS('caseload data'!F:F,'caseload data'!$D:$D,"PO",'caseload data'!$B:$B,"custody")</f>
        <v>0</v>
      </c>
      <c r="F207" s="377">
        <f>SUMIFS('caseload data'!G:G,'caseload data'!$D:$D,"PO",'caseload data'!$B:$B,"custody")</f>
        <v>0</v>
      </c>
      <c r="G207" s="377">
        <f>SUMIFS('caseload data'!H:H,'caseload data'!$D:$D,"PO",'caseload data'!$B:$B,"custody")</f>
        <v>0</v>
      </c>
      <c r="H207" s="377">
        <f>SUMIFS('caseload data'!I:I,'caseload data'!$D:$D,"PO",'caseload data'!$B:$B,"custody")</f>
        <v>0</v>
      </c>
      <c r="I207" s="377">
        <f>SUMIFS('caseload data'!J:J,'caseload data'!$D:$D,"PO",'caseload data'!$B:$B,"custody")</f>
        <v>0</v>
      </c>
      <c r="J207" s="377">
        <f>SUMIFS('caseload data'!K:K,'caseload data'!$D:$D,"PO",'caseload data'!$B:$B,"custody")</f>
        <v>0</v>
      </c>
      <c r="K207" s="377">
        <f>SUMIFS('caseload data'!L:L,'caseload data'!$D:$D,"PO",'caseload data'!$B:$B,"custody")</f>
        <v>0</v>
      </c>
      <c r="L207" s="377">
        <f>SUMIFS('caseload data'!M:M,'caseload data'!$D:$D,"PO",'caseload data'!$B:$B,"custody")</f>
        <v>0</v>
      </c>
      <c r="M207" s="377">
        <f>SUMIFS('caseload data'!N:N,'caseload data'!$D:$D,"PO",'caseload data'!$B:$B,"custody")</f>
        <v>0</v>
      </c>
      <c r="N207" s="377">
        <f>SUMIFS('caseload data'!O:O,'caseload data'!$D:$D,"PO",'caseload data'!$B:$B,"custody")</f>
        <v>0</v>
      </c>
      <c r="O207" s="377">
        <f>SUMIFS('caseload data'!P:P,'caseload data'!$D:$D,"PO",'caseload data'!$B:$B,"custody")</f>
        <v>0</v>
      </c>
      <c r="P207" s="377">
        <f>SUMIFS('caseload data'!Q:Q,'caseload data'!$D:$D,"PO",'caseload data'!$B:$B,"custody")</f>
        <v>0</v>
      </c>
      <c r="Q207" s="377">
        <f>SUMIFS('caseload data'!R:R,'caseload data'!$D:$D,"PO",'caseload data'!$B:$B,"custody")</f>
        <v>0</v>
      </c>
      <c r="R207" s="377">
        <f>SUMIFS('caseload data'!S:S,'caseload data'!$D:$D,"PO",'caseload data'!$B:$B,"custody")</f>
        <v>0</v>
      </c>
      <c r="S207" s="377">
        <f>SUMIFS('caseload data'!T:T,'caseload data'!$D:$D,"PO",'caseload data'!$B:$B,"custody")</f>
        <v>0</v>
      </c>
      <c r="T207" s="378">
        <f>SUMIFS('caseload data'!V:V,'caseload data'!D:D,"PO",'caseload data'!B:B,"custody")</f>
        <v>0</v>
      </c>
      <c r="U207" s="64"/>
      <c r="V207" s="64"/>
      <c r="W207" s="531" t="s">
        <v>909</v>
      </c>
      <c r="X207" s="384" t="s">
        <v>947</v>
      </c>
      <c r="Y207" s="386" t="e">
        <f>SUM(D207)/SUM(D$207:D$211)</f>
        <v>#DIV/0!</v>
      </c>
      <c r="Z207" s="386" t="e">
        <f t="shared" ref="Z207:AO211" si="108">SUM(E207)/SUM(E$207:E$211)</f>
        <v>#DIV/0!</v>
      </c>
      <c r="AA207" s="386" t="e">
        <f t="shared" si="108"/>
        <v>#DIV/0!</v>
      </c>
      <c r="AB207" s="386" t="e">
        <f t="shared" si="108"/>
        <v>#DIV/0!</v>
      </c>
      <c r="AC207" s="386" t="e">
        <f t="shared" si="108"/>
        <v>#DIV/0!</v>
      </c>
      <c r="AD207" s="386" t="e">
        <f t="shared" si="108"/>
        <v>#DIV/0!</v>
      </c>
      <c r="AE207" s="386" t="e">
        <f t="shared" si="108"/>
        <v>#DIV/0!</v>
      </c>
      <c r="AF207" s="386" t="e">
        <f t="shared" si="108"/>
        <v>#DIV/0!</v>
      </c>
      <c r="AG207" s="386" t="e">
        <f t="shared" si="108"/>
        <v>#DIV/0!</v>
      </c>
      <c r="AH207" s="386" t="e">
        <f t="shared" si="108"/>
        <v>#DIV/0!</v>
      </c>
      <c r="AI207" s="386" t="e">
        <f t="shared" si="108"/>
        <v>#DIV/0!</v>
      </c>
      <c r="AJ207" s="386" t="e">
        <f t="shared" si="108"/>
        <v>#DIV/0!</v>
      </c>
      <c r="AK207" s="386" t="e">
        <f t="shared" si="108"/>
        <v>#DIV/0!</v>
      </c>
      <c r="AL207" s="386" t="e">
        <f t="shared" si="108"/>
        <v>#DIV/0!</v>
      </c>
      <c r="AM207" s="386" t="e">
        <f t="shared" si="108"/>
        <v>#DIV/0!</v>
      </c>
      <c r="AN207" s="386" t="e">
        <f t="shared" si="108"/>
        <v>#DIV/0!</v>
      </c>
      <c r="AO207" s="388" t="e">
        <f t="shared" si="108"/>
        <v>#DIV/0!</v>
      </c>
    </row>
    <row r="208" spans="2:41" x14ac:dyDescent="0.15">
      <c r="B208" s="529"/>
      <c r="C208" s="137" t="s">
        <v>952</v>
      </c>
      <c r="D208" s="136">
        <f>SUMIFS('caseload data'!E:E,'caseload data'!$D:$D,"PSO",'caseload data'!$B:$B,"custody")</f>
        <v>0</v>
      </c>
      <c r="E208" s="136">
        <f>SUMIFS('caseload data'!F:F,'caseload data'!$D:$D,"PSO",'caseload data'!$B:$B,"custody")</f>
        <v>0</v>
      </c>
      <c r="F208" s="136">
        <f>SUMIFS('caseload data'!G:G,'caseload data'!$D:$D,"PSO",'caseload data'!$B:$B,"custody")</f>
        <v>0</v>
      </c>
      <c r="G208" s="136">
        <f>SUMIFS('caseload data'!H:H,'caseload data'!$D:$D,"PSO",'caseload data'!$B:$B,"custody")</f>
        <v>0</v>
      </c>
      <c r="H208" s="136">
        <f>SUMIFS('caseload data'!I:I,'caseload data'!$D:$D,"PSO",'caseload data'!$B:$B,"custody")</f>
        <v>0</v>
      </c>
      <c r="I208" s="136">
        <f>SUMIFS('caseload data'!J:J,'caseload data'!$D:$D,"PSO",'caseload data'!$B:$B,"custody")</f>
        <v>0</v>
      </c>
      <c r="J208" s="136">
        <f>SUMIFS('caseload data'!K:K,'caseload data'!$D:$D,"PSO",'caseload data'!$B:$B,"custody")</f>
        <v>0</v>
      </c>
      <c r="K208" s="136">
        <f>SUMIFS('caseload data'!L:L,'caseload data'!$D:$D,"PSO",'caseload data'!$B:$B,"custody")</f>
        <v>0</v>
      </c>
      <c r="L208" s="136">
        <f>SUMIFS('caseload data'!M:M,'caseload data'!$D:$D,"PSO",'caseload data'!$B:$B,"custody")</f>
        <v>0</v>
      </c>
      <c r="M208" s="136">
        <f>SUMIFS('caseload data'!N:N,'caseload data'!$D:$D,"PSO",'caseload data'!$B:$B,"custody")</f>
        <v>0</v>
      </c>
      <c r="N208" s="136">
        <f>SUMIFS('caseload data'!O:O,'caseload data'!$D:$D,"PSO",'caseload data'!$B:$B,"custody")</f>
        <v>0</v>
      </c>
      <c r="O208" s="136">
        <f>SUMIFS('caseload data'!P:P,'caseload data'!$D:$D,"PSO",'caseload data'!$B:$B,"custody")</f>
        <v>0</v>
      </c>
      <c r="P208" s="136">
        <f>SUMIFS('caseload data'!Q:Q,'caseload data'!$D:$D,"PSO",'caseload data'!$B:$B,"custody")</f>
        <v>0</v>
      </c>
      <c r="Q208" s="136">
        <f>SUMIFS('caseload data'!R:R,'caseload data'!$D:$D,"PSO",'caseload data'!$B:$B,"custody")</f>
        <v>0</v>
      </c>
      <c r="R208" s="136">
        <f>SUMIFS('caseload data'!S:S,'caseload data'!$D:$D,"PSO",'caseload data'!$B:$B,"custody")</f>
        <v>0</v>
      </c>
      <c r="S208" s="136">
        <f>SUMIFS('caseload data'!T:T,'caseload data'!$D:$D,"PSO",'caseload data'!$B:$B,"custody")</f>
        <v>0</v>
      </c>
      <c r="T208" s="379">
        <f>SUMIFS('caseload data'!V:V,'caseload data'!D:D,"PSO",'caseload data'!B:B,"custody")</f>
        <v>0</v>
      </c>
      <c r="U208" s="64"/>
      <c r="V208" s="64"/>
      <c r="W208" s="532"/>
      <c r="X208" s="370" t="s">
        <v>952</v>
      </c>
      <c r="Y208" s="138" t="e">
        <f t="shared" ref="Y208:Y211" si="109">SUM(D208)/SUM(D$207:D$211)</f>
        <v>#DIV/0!</v>
      </c>
      <c r="Z208" s="138" t="e">
        <f t="shared" si="108"/>
        <v>#DIV/0!</v>
      </c>
      <c r="AA208" s="138" t="e">
        <f t="shared" si="108"/>
        <v>#DIV/0!</v>
      </c>
      <c r="AB208" s="138" t="e">
        <f t="shared" si="108"/>
        <v>#DIV/0!</v>
      </c>
      <c r="AC208" s="138" t="e">
        <f t="shared" si="108"/>
        <v>#DIV/0!</v>
      </c>
      <c r="AD208" s="138" t="e">
        <f t="shared" si="108"/>
        <v>#DIV/0!</v>
      </c>
      <c r="AE208" s="138" t="e">
        <f t="shared" si="108"/>
        <v>#DIV/0!</v>
      </c>
      <c r="AF208" s="138" t="e">
        <f t="shared" si="108"/>
        <v>#DIV/0!</v>
      </c>
      <c r="AG208" s="138" t="e">
        <f t="shared" si="108"/>
        <v>#DIV/0!</v>
      </c>
      <c r="AH208" s="138" t="e">
        <f t="shared" si="108"/>
        <v>#DIV/0!</v>
      </c>
      <c r="AI208" s="138" t="e">
        <f t="shared" si="108"/>
        <v>#DIV/0!</v>
      </c>
      <c r="AJ208" s="138" t="e">
        <f t="shared" si="108"/>
        <v>#DIV/0!</v>
      </c>
      <c r="AK208" s="138" t="e">
        <f t="shared" si="108"/>
        <v>#DIV/0!</v>
      </c>
      <c r="AL208" s="138" t="e">
        <f t="shared" si="108"/>
        <v>#DIV/0!</v>
      </c>
      <c r="AM208" s="138" t="e">
        <f t="shared" si="108"/>
        <v>#DIV/0!</v>
      </c>
      <c r="AN208" s="138" t="e">
        <f t="shared" si="108"/>
        <v>#DIV/0!</v>
      </c>
      <c r="AO208" s="389" t="e">
        <f t="shared" si="108"/>
        <v>#DIV/0!</v>
      </c>
    </row>
    <row r="209" spans="2:41" x14ac:dyDescent="0.15">
      <c r="B209" s="529"/>
      <c r="C209" s="137" t="s">
        <v>953</v>
      </c>
      <c r="D209" s="136">
        <f>SUMIFS('caseload data'!E:E,'caseload data'!$D:$D,"TPO",'caseload data'!$B:$B,"custody")</f>
        <v>0</v>
      </c>
      <c r="E209" s="136">
        <f>SUMIFS('caseload data'!F:F,'caseload data'!$D:$D,"TPO",'caseload data'!$B:$B,"custody")</f>
        <v>0</v>
      </c>
      <c r="F209" s="136">
        <f>SUMIFS('caseload data'!G:G,'caseload data'!$D:$D,"TPO",'caseload data'!$B:$B,"custody")</f>
        <v>0</v>
      </c>
      <c r="G209" s="136">
        <f>SUMIFS('caseload data'!H:H,'caseload data'!$D:$D,"TPO",'caseload data'!$B:$B,"custody")</f>
        <v>0</v>
      </c>
      <c r="H209" s="136">
        <f>SUMIFS('caseload data'!I:I,'caseload data'!$D:$D,"TPO",'caseload data'!$B:$B,"custody")</f>
        <v>0</v>
      </c>
      <c r="I209" s="136">
        <f>SUMIFS('caseload data'!J:J,'caseload data'!$D:$D,"TPO",'caseload data'!$B:$B,"custody")</f>
        <v>0</v>
      </c>
      <c r="J209" s="136">
        <f>SUMIFS('caseload data'!K:K,'caseload data'!$D:$D,"TPO",'caseload data'!$B:$B,"custody")</f>
        <v>0</v>
      </c>
      <c r="K209" s="136">
        <f>SUMIFS('caseload data'!L:L,'caseload data'!$D:$D,"TPO",'caseload data'!$B:$B,"custody")</f>
        <v>0</v>
      </c>
      <c r="L209" s="136">
        <f>SUMIFS('caseload data'!M:M,'caseload data'!$D:$D,"TPO",'caseload data'!$B:$B,"custody")</f>
        <v>0</v>
      </c>
      <c r="M209" s="136">
        <f>SUMIFS('caseload data'!N:N,'caseload data'!$D:$D,"TPO",'caseload data'!$B:$B,"custody")</f>
        <v>0</v>
      </c>
      <c r="N209" s="136">
        <f>SUMIFS('caseload data'!O:O,'caseload data'!$D:$D,"TPO",'caseload data'!$B:$B,"custody")</f>
        <v>0</v>
      </c>
      <c r="O209" s="136">
        <f>SUMIFS('caseload data'!P:P,'caseload data'!$D:$D,"TPO",'caseload data'!$B:$B,"custody")</f>
        <v>0</v>
      </c>
      <c r="P209" s="136">
        <f>SUMIFS('caseload data'!Q:Q,'caseload data'!$D:$D,"TPO",'caseload data'!$B:$B,"custody")</f>
        <v>0</v>
      </c>
      <c r="Q209" s="136">
        <f>SUMIFS('caseload data'!R:R,'caseload data'!$D:$D,"TPO",'caseload data'!$B:$B,"custody")</f>
        <v>0</v>
      </c>
      <c r="R209" s="136">
        <f>SUMIFS('caseload data'!S:S,'caseload data'!$D:$D,"TPO",'caseload data'!$B:$B,"custody")</f>
        <v>0</v>
      </c>
      <c r="S209" s="136">
        <f>SUMIFS('caseload data'!T:T,'caseload data'!$D:$D,"TPO",'caseload data'!$B:$B,"custody")</f>
        <v>0</v>
      </c>
      <c r="T209" s="379">
        <f>SUMIFS('caseload data'!V:V,'caseload data'!D:D,"TPO",'caseload data'!B:B,"custody")</f>
        <v>0</v>
      </c>
      <c r="U209" s="64"/>
      <c r="V209" s="64"/>
      <c r="W209" s="532"/>
      <c r="X209" s="370" t="s">
        <v>953</v>
      </c>
      <c r="Y209" s="138" t="e">
        <f t="shared" si="109"/>
        <v>#DIV/0!</v>
      </c>
      <c r="Z209" s="138" t="e">
        <f t="shared" si="108"/>
        <v>#DIV/0!</v>
      </c>
      <c r="AA209" s="138" t="e">
        <f t="shared" si="108"/>
        <v>#DIV/0!</v>
      </c>
      <c r="AB209" s="138" t="e">
        <f t="shared" si="108"/>
        <v>#DIV/0!</v>
      </c>
      <c r="AC209" s="138" t="e">
        <f t="shared" si="108"/>
        <v>#DIV/0!</v>
      </c>
      <c r="AD209" s="138" t="e">
        <f t="shared" si="108"/>
        <v>#DIV/0!</v>
      </c>
      <c r="AE209" s="138" t="e">
        <f t="shared" si="108"/>
        <v>#DIV/0!</v>
      </c>
      <c r="AF209" s="138" t="e">
        <f t="shared" si="108"/>
        <v>#DIV/0!</v>
      </c>
      <c r="AG209" s="138" t="e">
        <f t="shared" si="108"/>
        <v>#DIV/0!</v>
      </c>
      <c r="AH209" s="138" t="e">
        <f t="shared" si="108"/>
        <v>#DIV/0!</v>
      </c>
      <c r="AI209" s="138" t="e">
        <f t="shared" si="108"/>
        <v>#DIV/0!</v>
      </c>
      <c r="AJ209" s="138" t="e">
        <f t="shared" si="108"/>
        <v>#DIV/0!</v>
      </c>
      <c r="AK209" s="138" t="e">
        <f t="shared" si="108"/>
        <v>#DIV/0!</v>
      </c>
      <c r="AL209" s="138" t="e">
        <f t="shared" si="108"/>
        <v>#DIV/0!</v>
      </c>
      <c r="AM209" s="138" t="e">
        <f t="shared" si="108"/>
        <v>#DIV/0!</v>
      </c>
      <c r="AN209" s="138" t="e">
        <f t="shared" si="108"/>
        <v>#DIV/0!</v>
      </c>
      <c r="AO209" s="389" t="e">
        <f t="shared" si="108"/>
        <v>#DIV/0!</v>
      </c>
    </row>
    <row r="210" spans="2:41" x14ac:dyDescent="0.15">
      <c r="B210" s="529"/>
      <c r="C210" s="137" t="s">
        <v>954</v>
      </c>
      <c r="D210" s="136">
        <f>SUMIFS('caseload data'!E:E,'caseload data'!$D:$D,"SPO",'caseload data'!$B:$B,"custody")</f>
        <v>0</v>
      </c>
      <c r="E210" s="136">
        <f>SUMIFS('caseload data'!F:F,'caseload data'!$D:$D,"SPO",'caseload data'!$B:$B,"custody")</f>
        <v>0</v>
      </c>
      <c r="F210" s="136">
        <f>SUMIFS('caseload data'!G:G,'caseload data'!$D:$D,"SPO",'caseload data'!$B:$B,"custody")</f>
        <v>0</v>
      </c>
      <c r="G210" s="136">
        <f>SUMIFS('caseload data'!H:H,'caseload data'!$D:$D,"SPO",'caseload data'!$B:$B,"custody")</f>
        <v>0</v>
      </c>
      <c r="H210" s="136">
        <f>SUMIFS('caseload data'!I:I,'caseload data'!$D:$D,"SPO",'caseload data'!$B:$B,"custody")</f>
        <v>0</v>
      </c>
      <c r="I210" s="136">
        <f>SUMIFS('caseload data'!J:J,'caseload data'!$D:$D,"SPO",'caseload data'!$B:$B,"custody")</f>
        <v>0</v>
      </c>
      <c r="J210" s="136">
        <f>SUMIFS('caseload data'!K:K,'caseload data'!$D:$D,"SPO",'caseload data'!$B:$B,"custody")</f>
        <v>0</v>
      </c>
      <c r="K210" s="136">
        <f>SUMIFS('caseload data'!L:L,'caseload data'!$D:$D,"SPO",'caseload data'!$B:$B,"custody")</f>
        <v>0</v>
      </c>
      <c r="L210" s="136">
        <f>SUMIFS('caseload data'!M:M,'caseload data'!$D:$D,"SPO",'caseload data'!$B:$B,"custody")</f>
        <v>0</v>
      </c>
      <c r="M210" s="136">
        <f>SUMIFS('caseload data'!N:N,'caseload data'!$D:$D,"SPO",'caseload data'!$B:$B,"custody")</f>
        <v>0</v>
      </c>
      <c r="N210" s="136">
        <f>SUMIFS('caseload data'!O:O,'caseload data'!$D:$D,"SPO",'caseload data'!$B:$B,"custody")</f>
        <v>0</v>
      </c>
      <c r="O210" s="136">
        <f>SUMIFS('caseload data'!P:P,'caseload data'!$D:$D,"SPO",'caseload data'!$B:$B,"custody")</f>
        <v>0</v>
      </c>
      <c r="P210" s="136">
        <f>SUMIFS('caseload data'!Q:Q,'caseload data'!$D:$D,"SPO",'caseload data'!$B:$B,"custody")</f>
        <v>0</v>
      </c>
      <c r="Q210" s="136">
        <f>SUMIFS('caseload data'!R:R,'caseload data'!$D:$D,"SPO",'caseload data'!$B:$B,"custody")</f>
        <v>0</v>
      </c>
      <c r="R210" s="136">
        <f>SUMIFS('caseload data'!S:S,'caseload data'!$D:$D,"SPO",'caseload data'!$B:$B,"custody")</f>
        <v>0</v>
      </c>
      <c r="S210" s="136">
        <f>SUMIFS('caseload data'!T:T,'caseload data'!$D:$D,"SPO",'caseload data'!$B:$B,"custody")</f>
        <v>0</v>
      </c>
      <c r="T210" s="379">
        <f>SUMIFS('caseload data'!V:V,'caseload data'!$D:$D,"SPO",'caseload data'!$B:$B,"custody")</f>
        <v>0</v>
      </c>
      <c r="U210" s="64"/>
      <c r="V210" s="64"/>
      <c r="W210" s="532"/>
      <c r="X210" s="370" t="s">
        <v>954</v>
      </c>
      <c r="Y210" s="138" t="e">
        <f t="shared" si="109"/>
        <v>#DIV/0!</v>
      </c>
      <c r="Z210" s="138" t="e">
        <f t="shared" si="108"/>
        <v>#DIV/0!</v>
      </c>
      <c r="AA210" s="138" t="e">
        <f t="shared" si="108"/>
        <v>#DIV/0!</v>
      </c>
      <c r="AB210" s="138" t="e">
        <f t="shared" si="108"/>
        <v>#DIV/0!</v>
      </c>
      <c r="AC210" s="138" t="e">
        <f t="shared" si="108"/>
        <v>#DIV/0!</v>
      </c>
      <c r="AD210" s="138" t="e">
        <f t="shared" si="108"/>
        <v>#DIV/0!</v>
      </c>
      <c r="AE210" s="138" t="e">
        <f t="shared" si="108"/>
        <v>#DIV/0!</v>
      </c>
      <c r="AF210" s="138" t="e">
        <f t="shared" si="108"/>
        <v>#DIV/0!</v>
      </c>
      <c r="AG210" s="138" t="e">
        <f t="shared" si="108"/>
        <v>#DIV/0!</v>
      </c>
      <c r="AH210" s="138" t="e">
        <f t="shared" si="108"/>
        <v>#DIV/0!</v>
      </c>
      <c r="AI210" s="138" t="e">
        <f t="shared" si="108"/>
        <v>#DIV/0!</v>
      </c>
      <c r="AJ210" s="138" t="e">
        <f t="shared" si="108"/>
        <v>#DIV/0!</v>
      </c>
      <c r="AK210" s="138" t="e">
        <f t="shared" si="108"/>
        <v>#DIV/0!</v>
      </c>
      <c r="AL210" s="138" t="e">
        <f t="shared" si="108"/>
        <v>#DIV/0!</v>
      </c>
      <c r="AM210" s="138" t="e">
        <f t="shared" si="108"/>
        <v>#DIV/0!</v>
      </c>
      <c r="AN210" s="138" t="e">
        <f t="shared" si="108"/>
        <v>#DIV/0!</v>
      </c>
      <c r="AO210" s="389" t="e">
        <f t="shared" si="108"/>
        <v>#DIV/0!</v>
      </c>
    </row>
    <row r="211" spans="2:41" ht="15" thickBot="1" x14ac:dyDescent="0.2">
      <c r="B211" s="529"/>
      <c r="C211" s="137" t="s">
        <v>1286</v>
      </c>
      <c r="D211" s="136">
        <f>SUMIFS('caseload data'!E:E,'caseload data'!$D:$D,"DMY",'caseload data'!$B:$B,"custody")</f>
        <v>0</v>
      </c>
      <c r="E211" s="136">
        <f>SUMIFS('caseload data'!F:F,'caseload data'!$D:$D,"DMY",'caseload data'!$B:$B,"custody")</f>
        <v>0</v>
      </c>
      <c r="F211" s="136">
        <f>SUMIFS('caseload data'!G:G,'caseload data'!$D:$D,"DMY",'caseload data'!$B:$B,"custody")</f>
        <v>0</v>
      </c>
      <c r="G211" s="136">
        <f>SUMIFS('caseload data'!H:H,'caseload data'!$D:$D,"DMY",'caseload data'!$B:$B,"custody")</f>
        <v>0</v>
      </c>
      <c r="H211" s="136">
        <f>SUMIFS('caseload data'!I:I,'caseload data'!$D:$D,"DMY",'caseload data'!$B:$B,"custody")</f>
        <v>0</v>
      </c>
      <c r="I211" s="136">
        <f>SUMIFS('caseload data'!J:J,'caseload data'!$D:$D,"DMY",'caseload data'!$B:$B,"custody")</f>
        <v>0</v>
      </c>
      <c r="J211" s="136">
        <f>SUMIFS('caseload data'!K:K,'caseload data'!$D:$D,"DMY",'caseload data'!$B:$B,"custody")</f>
        <v>0</v>
      </c>
      <c r="K211" s="136">
        <f>SUMIFS('caseload data'!L:L,'caseload data'!$D:$D,"DMY",'caseload data'!$B:$B,"custody")</f>
        <v>0</v>
      </c>
      <c r="L211" s="136">
        <f>SUMIFS('caseload data'!M:M,'caseload data'!$D:$D,"DMY",'caseload data'!$B:$B,"custody")</f>
        <v>0</v>
      </c>
      <c r="M211" s="136">
        <f>SUMIFS('caseload data'!N:N,'caseload data'!$D:$D,"DMY",'caseload data'!$B:$B,"custody")</f>
        <v>0</v>
      </c>
      <c r="N211" s="136">
        <f>SUMIFS('caseload data'!O:O,'caseload data'!$D:$D,"DMY",'caseload data'!$B:$B,"custody")</f>
        <v>0</v>
      </c>
      <c r="O211" s="136">
        <f>SUMIFS('caseload data'!P:P,'caseload data'!$D:$D,"DMY",'caseload data'!$B:$B,"custody")</f>
        <v>0</v>
      </c>
      <c r="P211" s="136">
        <f>SUMIFS('caseload data'!Q:Q,'caseload data'!$D:$D,"DMY",'caseload data'!$B:$B,"custody")</f>
        <v>0</v>
      </c>
      <c r="Q211" s="136">
        <f>SUMIFS('caseload data'!R:R,'caseload data'!$D:$D,"DMY",'caseload data'!$B:$B,"custody")</f>
        <v>0</v>
      </c>
      <c r="R211" s="136">
        <f>SUMIFS('caseload data'!S:S,'caseload data'!$D:$D,"DMY",'caseload data'!$B:$B,"custody")</f>
        <v>0</v>
      </c>
      <c r="S211" s="136">
        <f>SUMIFS('caseload data'!T:T,'caseload data'!$D:$D,"DMY",'caseload data'!$B:$B,"custody")</f>
        <v>0</v>
      </c>
      <c r="T211" s="379">
        <f>SUMIFS('caseload data'!V:V,'caseload data'!$D:$D,"DMY",'caseload data'!$B:$B,"custody")</f>
        <v>0</v>
      </c>
      <c r="U211" s="64"/>
      <c r="V211" s="64"/>
      <c r="W211" s="533"/>
      <c r="X211" s="385" t="s">
        <v>1286</v>
      </c>
      <c r="Y211" s="387" t="e">
        <f t="shared" si="109"/>
        <v>#DIV/0!</v>
      </c>
      <c r="Z211" s="387" t="e">
        <f t="shared" si="108"/>
        <v>#DIV/0!</v>
      </c>
      <c r="AA211" s="387" t="e">
        <f t="shared" si="108"/>
        <v>#DIV/0!</v>
      </c>
      <c r="AB211" s="387" t="e">
        <f t="shared" si="108"/>
        <v>#DIV/0!</v>
      </c>
      <c r="AC211" s="387" t="e">
        <f t="shared" si="108"/>
        <v>#DIV/0!</v>
      </c>
      <c r="AD211" s="387" t="e">
        <f t="shared" si="108"/>
        <v>#DIV/0!</v>
      </c>
      <c r="AE211" s="387" t="e">
        <f t="shared" si="108"/>
        <v>#DIV/0!</v>
      </c>
      <c r="AF211" s="387" t="e">
        <f t="shared" si="108"/>
        <v>#DIV/0!</v>
      </c>
      <c r="AG211" s="387" t="e">
        <f t="shared" si="108"/>
        <v>#DIV/0!</v>
      </c>
      <c r="AH211" s="387" t="e">
        <f t="shared" si="108"/>
        <v>#DIV/0!</v>
      </c>
      <c r="AI211" s="387" t="e">
        <f t="shared" si="108"/>
        <v>#DIV/0!</v>
      </c>
      <c r="AJ211" s="387" t="e">
        <f t="shared" si="108"/>
        <v>#DIV/0!</v>
      </c>
      <c r="AK211" s="387" t="e">
        <f t="shared" si="108"/>
        <v>#DIV/0!</v>
      </c>
      <c r="AL211" s="387" t="e">
        <f t="shared" si="108"/>
        <v>#DIV/0!</v>
      </c>
      <c r="AM211" s="387" t="e">
        <f t="shared" si="108"/>
        <v>#DIV/0!</v>
      </c>
      <c r="AN211" s="387" t="e">
        <f t="shared" si="108"/>
        <v>#DIV/0!</v>
      </c>
      <c r="AO211" s="390" t="e">
        <f t="shared" si="108"/>
        <v>#DIV/0!</v>
      </c>
    </row>
    <row r="212" spans="2:41" ht="31.5" customHeight="1" thickBot="1" x14ac:dyDescent="0.2">
      <c r="B212" s="530"/>
      <c r="C212" s="380" t="s">
        <v>1404</v>
      </c>
      <c r="D212" s="381">
        <f>SUMIF('caseload data'!$B:$B,"custody",'caseload data'!E:E)</f>
        <v>0</v>
      </c>
      <c r="E212" s="381">
        <f>SUMIF('caseload data'!$B:$B,"custody",'caseload data'!F:F)</f>
        <v>0</v>
      </c>
      <c r="F212" s="381">
        <f>SUMIF('caseload data'!$B:$B,"custody",'caseload data'!G:G)</f>
        <v>0</v>
      </c>
      <c r="G212" s="381">
        <f>SUMIF('caseload data'!$B:$B,"custody",'caseload data'!H:H)</f>
        <v>0</v>
      </c>
      <c r="H212" s="381">
        <f>SUMIF('caseload data'!$B:$B,"custody",'caseload data'!I:I)</f>
        <v>0</v>
      </c>
      <c r="I212" s="381">
        <f>SUMIF('caseload data'!$B:$B,"custody",'caseload data'!J:J)</f>
        <v>0</v>
      </c>
      <c r="J212" s="381">
        <f>SUMIF('caseload data'!$B:$B,"custody",'caseload data'!K:K)</f>
        <v>0</v>
      </c>
      <c r="K212" s="381">
        <f>SUMIF('caseload data'!$B:$B,"custody",'caseload data'!L:L)</f>
        <v>0</v>
      </c>
      <c r="L212" s="381">
        <f>SUMIF('caseload data'!$B:$B,"custody",'caseload data'!M:M)</f>
        <v>0</v>
      </c>
      <c r="M212" s="381">
        <f>SUMIF('caseload data'!$B:$B,"custody",'caseload data'!N:N)</f>
        <v>0</v>
      </c>
      <c r="N212" s="381">
        <f>SUMIF('caseload data'!$B:$B,"custody",'caseload data'!O:O)</f>
        <v>0</v>
      </c>
      <c r="O212" s="381">
        <f>SUMIF('caseload data'!$B:$B,"custody",'caseload data'!P:P)</f>
        <v>0</v>
      </c>
      <c r="P212" s="381">
        <f>SUMIF('caseload data'!$B:$B,"custody",'caseload data'!Q:Q)</f>
        <v>0</v>
      </c>
      <c r="Q212" s="381">
        <f>SUMIF('caseload data'!$B:$B,"custody",'caseload data'!R:R)</f>
        <v>0</v>
      </c>
      <c r="R212" s="381">
        <f>SUMIF('caseload data'!$B:$B,"custody",'caseload data'!S:S)</f>
        <v>0</v>
      </c>
      <c r="S212" s="381">
        <f>SUMIF('caseload data'!$B:$B,"custody",'caseload data'!T:T)</f>
        <v>0</v>
      </c>
      <c r="T212" s="382">
        <f>SUMIF('caseload data'!B:B,"custody",'caseload data'!V:V)</f>
        <v>0</v>
      </c>
      <c r="U212" s="64"/>
      <c r="V212" s="64"/>
      <c r="W212" s="64"/>
      <c r="X212" s="64"/>
      <c r="Y212" s="64"/>
      <c r="Z212" s="64"/>
      <c r="AA212" s="64"/>
      <c r="AB212" s="64"/>
      <c r="AC212" s="64"/>
      <c r="AD212" s="64"/>
      <c r="AE212" s="64"/>
    </row>
  </sheetData>
  <mergeCells count="88">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 ref="W112:W116"/>
    <mergeCell ref="W117:W121"/>
    <mergeCell ref="W122:W126"/>
    <mergeCell ref="W22:W26"/>
    <mergeCell ref="W17:W21"/>
    <mergeCell ref="W62:W66"/>
    <mergeCell ref="W57:W61"/>
    <mergeCell ref="W52:W56"/>
    <mergeCell ref="B97:B101"/>
    <mergeCell ref="B102:B106"/>
    <mergeCell ref="W97:W101"/>
    <mergeCell ref="W102:W106"/>
    <mergeCell ref="W107:W11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37:B41"/>
    <mergeCell ref="B42:B46"/>
    <mergeCell ref="B47:B51"/>
    <mergeCell ref="B52:B56"/>
    <mergeCell ref="B57:B61"/>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132:B136"/>
    <mergeCell ref="B127:B131"/>
    <mergeCell ref="B122:B126"/>
    <mergeCell ref="B117:B121"/>
    <mergeCell ref="B107:B111"/>
    <mergeCell ref="B112:B116"/>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A3" sqref="A3"/>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512" t="s">
        <v>1028</v>
      </c>
      <c r="B1" s="512"/>
      <c r="C1" s="512"/>
      <c r="D1" s="512"/>
      <c r="E1" s="512"/>
      <c r="F1" s="512"/>
      <c r="G1" s="512"/>
      <c r="H1" s="512"/>
      <c r="I1" s="512"/>
      <c r="J1" s="512"/>
      <c r="K1" s="512"/>
      <c r="L1" s="512"/>
      <c r="M1" s="512"/>
      <c r="N1" s="512"/>
      <c r="O1" s="512"/>
      <c r="P1" s="512"/>
      <c r="Q1" s="512"/>
      <c r="R1" s="512"/>
      <c r="S1" s="512"/>
      <c r="T1" s="512"/>
      <c r="U1" s="512"/>
      <c r="V1" s="512"/>
      <c r="W1" s="512"/>
      <c r="X1" s="512"/>
      <c r="Y1" s="512"/>
      <c r="Z1" s="512"/>
      <c r="AA1" s="512"/>
      <c r="AB1" s="513"/>
      <c r="AC1" s="513"/>
      <c r="AD1" s="513"/>
      <c r="AE1" s="513"/>
      <c r="AF1" s="513"/>
      <c r="AG1" s="513"/>
      <c r="AH1" s="513"/>
      <c r="AI1" s="513"/>
      <c r="AJ1" s="513"/>
      <c r="AK1" s="513"/>
      <c r="AL1" s="513"/>
      <c r="AM1" s="513"/>
      <c r="AN1" s="255"/>
    </row>
    <row r="2" spans="1:40" ht="42.75" customHeight="1" x14ac:dyDescent="0.15">
      <c r="A2" s="517" t="s">
        <v>1362</v>
      </c>
      <c r="B2" s="517"/>
      <c r="C2" s="517"/>
      <c r="D2" s="517"/>
      <c r="E2" s="517"/>
      <c r="F2" s="517"/>
      <c r="G2" s="517"/>
      <c r="H2" s="517"/>
      <c r="I2" s="517"/>
      <c r="J2" s="517"/>
      <c r="K2" s="517"/>
      <c r="L2" s="517"/>
      <c r="M2" s="517"/>
      <c r="N2" s="517"/>
      <c r="O2" s="517"/>
      <c r="P2" s="517"/>
      <c r="Q2" s="517"/>
      <c r="R2" s="517"/>
      <c r="S2" s="517"/>
      <c r="T2" s="517"/>
      <c r="U2" s="517"/>
      <c r="V2" s="517"/>
      <c r="W2" s="517"/>
      <c r="X2" s="517"/>
      <c r="Y2" s="517"/>
      <c r="Z2" s="517"/>
      <c r="AA2" s="517"/>
      <c r="AB2" s="517"/>
      <c r="AC2" s="517"/>
      <c r="AD2" s="517"/>
      <c r="AE2" s="517"/>
      <c r="AF2" s="517"/>
      <c r="AG2" s="517"/>
      <c r="AH2" s="517"/>
      <c r="AI2" s="517"/>
      <c r="AJ2" s="517"/>
      <c r="AK2" s="517"/>
      <c r="AL2" s="517"/>
      <c r="AM2" s="517"/>
      <c r="AN2" s="517"/>
    </row>
    <row r="3" spans="1:40" s="48" customFormat="1" ht="39.75" customHeight="1" x14ac:dyDescent="0.15">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row>
    <row r="4" spans="1:40" ht="24.75" customHeight="1" x14ac:dyDescent="0.2">
      <c r="C4" s="534" t="s">
        <v>1257</v>
      </c>
      <c r="D4" s="535"/>
      <c r="E4" s="535"/>
      <c r="F4" s="535"/>
      <c r="G4" s="535"/>
      <c r="H4" s="535"/>
      <c r="I4" s="535"/>
      <c r="J4" s="535"/>
      <c r="K4" s="535"/>
      <c r="L4" s="535"/>
      <c r="M4" s="535"/>
      <c r="N4" s="535"/>
      <c r="O4" s="535"/>
      <c r="P4" s="535"/>
      <c r="Q4" s="535"/>
      <c r="R4" s="535"/>
      <c r="S4" s="539"/>
      <c r="T4" s="1"/>
      <c r="U4" s="1"/>
      <c r="V4" s="534" t="s">
        <v>1029</v>
      </c>
      <c r="W4" s="535"/>
      <c r="X4" s="535"/>
      <c r="Y4" s="535"/>
      <c r="Z4" s="535"/>
      <c r="AA4" s="535"/>
      <c r="AB4" s="535"/>
      <c r="AC4" s="535"/>
      <c r="AD4" s="535"/>
      <c r="AE4" s="535"/>
      <c r="AF4" s="535"/>
      <c r="AG4" s="535"/>
      <c r="AH4" s="535"/>
      <c r="AI4" s="535"/>
      <c r="AJ4" s="535"/>
      <c r="AK4" s="535"/>
    </row>
    <row r="5" spans="1:40" x14ac:dyDescent="0.15">
      <c r="B5" s="139"/>
      <c r="C5" s="38" t="s">
        <v>814</v>
      </c>
      <c r="D5" s="38" t="s">
        <v>815</v>
      </c>
      <c r="E5" s="38" t="s">
        <v>816</v>
      </c>
      <c r="F5" s="38" t="s">
        <v>817</v>
      </c>
      <c r="G5" s="38" t="s">
        <v>818</v>
      </c>
      <c r="H5" s="38" t="s">
        <v>819</v>
      </c>
      <c r="I5" s="38" t="s">
        <v>820</v>
      </c>
      <c r="J5" s="38" t="s">
        <v>821</v>
      </c>
      <c r="K5" s="38" t="s">
        <v>822</v>
      </c>
      <c r="L5" s="38" t="s">
        <v>823</v>
      </c>
      <c r="M5" s="38" t="s">
        <v>824</v>
      </c>
      <c r="N5" s="38" t="s">
        <v>825</v>
      </c>
      <c r="O5" s="38" t="s">
        <v>826</v>
      </c>
      <c r="P5" s="38" t="s">
        <v>827</v>
      </c>
      <c r="Q5" s="38" t="s">
        <v>828</v>
      </c>
      <c r="R5" s="38" t="s">
        <v>829</v>
      </c>
      <c r="S5" s="39" t="s">
        <v>831</v>
      </c>
      <c r="T5" s="91"/>
      <c r="U5" s="231"/>
      <c r="V5" s="38" t="s">
        <v>814</v>
      </c>
      <c r="W5" s="38" t="s">
        <v>815</v>
      </c>
      <c r="X5" s="38" t="s">
        <v>816</v>
      </c>
      <c r="Y5" s="38" t="s">
        <v>817</v>
      </c>
      <c r="Z5" s="38" t="s">
        <v>818</v>
      </c>
      <c r="AA5" s="38" t="s">
        <v>819</v>
      </c>
      <c r="AB5" s="38" t="s">
        <v>820</v>
      </c>
      <c r="AC5" s="38" t="s">
        <v>821</v>
      </c>
      <c r="AD5" s="38" t="s">
        <v>822</v>
      </c>
      <c r="AE5" s="38" t="s">
        <v>823</v>
      </c>
      <c r="AF5" s="38" t="s">
        <v>824</v>
      </c>
      <c r="AG5" s="38" t="s">
        <v>825</v>
      </c>
      <c r="AH5" s="38" t="s">
        <v>826</v>
      </c>
      <c r="AI5" s="38" t="s">
        <v>827</v>
      </c>
      <c r="AJ5" s="38" t="s">
        <v>828</v>
      </c>
      <c r="AK5" s="38" t="s">
        <v>829</v>
      </c>
    </row>
    <row r="6" spans="1:40" x14ac:dyDescent="0.15">
      <c r="B6" s="141" t="s">
        <v>17</v>
      </c>
      <c r="C6" s="75">
        <f>SUMIF('caseload data'!$A:$A,"East Midlands Region",'caseload data'!E:E)</f>
        <v>0</v>
      </c>
      <c r="D6" s="75">
        <f>SUMIF('caseload data'!$A:$A,"East Midlands Region",'caseload data'!F:F)</f>
        <v>0</v>
      </c>
      <c r="E6" s="75">
        <f>SUMIF('caseload data'!$A:$A,"East Midlands Region",'caseload data'!G:G)</f>
        <v>0</v>
      </c>
      <c r="F6" s="75">
        <f>SUMIF('caseload data'!$A:$A,"East Midlands Region",'caseload data'!H:H)</f>
        <v>0</v>
      </c>
      <c r="G6" s="75">
        <f>SUMIF('caseload data'!$A:$A,"East Midlands Region",'caseload data'!I:I)</f>
        <v>0</v>
      </c>
      <c r="H6" s="75">
        <f>SUMIF('caseload data'!$A:$A,"East Midlands Region",'caseload data'!J:J)</f>
        <v>0</v>
      </c>
      <c r="I6" s="75">
        <f>SUMIF('caseload data'!$A:$A,"East Midlands Region",'caseload data'!K:K)</f>
        <v>0</v>
      </c>
      <c r="J6" s="75">
        <f>SUMIF('caseload data'!$A:$A,"East Midlands Region",'caseload data'!L:L)</f>
        <v>0</v>
      </c>
      <c r="K6" s="75">
        <f>SUMIF('caseload data'!$A:$A,"East Midlands Region",'caseload data'!M:M)</f>
        <v>0</v>
      </c>
      <c r="L6" s="75">
        <f>SUMIF('caseload data'!$A:$A,"East Midlands Region",'caseload data'!N:N)</f>
        <v>0</v>
      </c>
      <c r="M6" s="75">
        <f>SUMIF('caseload data'!$A:$A,"East Midlands Region",'caseload data'!O:O)</f>
        <v>0</v>
      </c>
      <c r="N6" s="75">
        <f>SUMIF('caseload data'!$A:$A,"East Midlands Region",'caseload data'!P:P)</f>
        <v>0</v>
      </c>
      <c r="O6" s="75">
        <f>SUMIF('caseload data'!$A:$A,"East Midlands Region",'caseload data'!Q:Q)</f>
        <v>0</v>
      </c>
      <c r="P6" s="75">
        <f>SUMIF('caseload data'!$A:$A,"East Midlands Region",'caseload data'!R:R)</f>
        <v>0</v>
      </c>
      <c r="Q6" s="75">
        <f>SUMIF('caseload data'!$A:$A,"East Midlands Region",'caseload data'!S:S)</f>
        <v>0</v>
      </c>
      <c r="R6" s="75">
        <f>SUMIF('caseload data'!$A:$A,"East Midlands Region",'caseload data'!T:T)</f>
        <v>0</v>
      </c>
      <c r="S6" s="75">
        <f>SUMIF('caseload data'!A:A,"East Midlands Region",'caseload data'!V:V)</f>
        <v>0</v>
      </c>
      <c r="T6" s="91"/>
      <c r="U6" s="141" t="s">
        <v>17</v>
      </c>
      <c r="V6" s="66" t="e">
        <f>C6/$S$6</f>
        <v>#DIV/0!</v>
      </c>
      <c r="W6" s="66" t="e">
        <f t="shared" ref="W6:AK6" si="0">D6/$S$6</f>
        <v>#DIV/0!</v>
      </c>
      <c r="X6" s="66" t="e">
        <f t="shared" si="0"/>
        <v>#DIV/0!</v>
      </c>
      <c r="Y6" s="66" t="e">
        <f t="shared" si="0"/>
        <v>#DIV/0!</v>
      </c>
      <c r="Z6" s="66" t="e">
        <f t="shared" si="0"/>
        <v>#DIV/0!</v>
      </c>
      <c r="AA6" s="66" t="e">
        <f t="shared" si="0"/>
        <v>#DIV/0!</v>
      </c>
      <c r="AB6" s="66" t="e">
        <f t="shared" si="0"/>
        <v>#DIV/0!</v>
      </c>
      <c r="AC6" s="66" t="e">
        <f t="shared" si="0"/>
        <v>#DIV/0!</v>
      </c>
      <c r="AD6" s="66" t="e">
        <f t="shared" si="0"/>
        <v>#DIV/0!</v>
      </c>
      <c r="AE6" s="66" t="e">
        <f t="shared" si="0"/>
        <v>#DIV/0!</v>
      </c>
      <c r="AF6" s="66" t="e">
        <f t="shared" si="0"/>
        <v>#DIV/0!</v>
      </c>
      <c r="AG6" s="66" t="e">
        <f t="shared" si="0"/>
        <v>#DIV/0!</v>
      </c>
      <c r="AH6" s="66" t="e">
        <f t="shared" si="0"/>
        <v>#DIV/0!</v>
      </c>
      <c r="AI6" s="66" t="e">
        <f t="shared" si="0"/>
        <v>#DIV/0!</v>
      </c>
      <c r="AJ6" s="66" t="e">
        <f t="shared" si="0"/>
        <v>#DIV/0!</v>
      </c>
      <c r="AK6" s="66" t="e">
        <f t="shared" si="0"/>
        <v>#DIV/0!</v>
      </c>
    </row>
    <row r="7" spans="1:40" x14ac:dyDescent="0.15">
      <c r="B7" s="141" t="s">
        <v>18</v>
      </c>
      <c r="C7" s="75">
        <f>SUMIF('caseload data'!$A:$A,"East of England",'caseload data'!E:E)</f>
        <v>0</v>
      </c>
      <c r="D7" s="75">
        <f>SUMIF('caseload data'!$A:$A,"East of England",'caseload data'!F:F)</f>
        <v>0</v>
      </c>
      <c r="E7" s="75">
        <f>SUMIF('caseload data'!$A:$A,"East of England",'caseload data'!G:G)</f>
        <v>0</v>
      </c>
      <c r="F7" s="75">
        <f>SUMIF('caseload data'!$A:$A,"East of England",'caseload data'!H:H)</f>
        <v>0</v>
      </c>
      <c r="G7" s="75">
        <f>SUMIF('caseload data'!$A:$A,"East of England",'caseload data'!I:I)</f>
        <v>0</v>
      </c>
      <c r="H7" s="75">
        <f>SUMIF('caseload data'!$A:$A,"East of England",'caseload data'!J:J)</f>
        <v>0</v>
      </c>
      <c r="I7" s="75">
        <f>SUMIF('caseload data'!$A:$A,"East of England",'caseload data'!K:K)</f>
        <v>0</v>
      </c>
      <c r="J7" s="75">
        <f>SUMIF('caseload data'!$A:$A,"East of England",'caseload data'!L:L)</f>
        <v>0</v>
      </c>
      <c r="K7" s="75">
        <f>SUMIF('caseload data'!$A:$A,"East of England",'caseload data'!M:M)</f>
        <v>0</v>
      </c>
      <c r="L7" s="75">
        <f>SUMIF('caseload data'!$A:$A,"East of England",'caseload data'!N:N)</f>
        <v>0</v>
      </c>
      <c r="M7" s="75">
        <f>SUMIF('caseload data'!$A:$A,"East of England",'caseload data'!O:O)</f>
        <v>0</v>
      </c>
      <c r="N7" s="75">
        <f>SUMIF('caseload data'!$A:$A,"East of England",'caseload data'!P:P)</f>
        <v>0</v>
      </c>
      <c r="O7" s="75">
        <f>SUMIF('caseload data'!$A:$A,"East of England",'caseload data'!Q:Q)</f>
        <v>0</v>
      </c>
      <c r="P7" s="75">
        <f>SUMIF('caseload data'!$A:$A,"East of England",'caseload data'!R:R)</f>
        <v>0</v>
      </c>
      <c r="Q7" s="75">
        <f>SUMIF('caseload data'!$A:$A,"East of England",'caseload data'!S:S)</f>
        <v>0</v>
      </c>
      <c r="R7" s="75">
        <f>SUMIF('caseload data'!$A:$A,"East of England",'caseload data'!T:T)</f>
        <v>0</v>
      </c>
      <c r="S7" s="75">
        <f>SUMIF('caseload data'!A:A,"East of England",'caseload data'!V:V)</f>
        <v>0</v>
      </c>
      <c r="T7" s="91"/>
      <c r="U7" s="141" t="s">
        <v>18</v>
      </c>
      <c r="V7" s="66" t="e">
        <f>C7/$S$7</f>
        <v>#DIV/0!</v>
      </c>
      <c r="W7" s="66" t="e">
        <f>D7/$S$7</f>
        <v>#DIV/0!</v>
      </c>
      <c r="X7" s="66" t="e">
        <f t="shared" ref="X7:AA7" si="1">E7/$S$7</f>
        <v>#DIV/0!</v>
      </c>
      <c r="Y7" s="66" t="e">
        <f t="shared" si="1"/>
        <v>#DIV/0!</v>
      </c>
      <c r="Z7" s="66" t="e">
        <f t="shared" si="1"/>
        <v>#DIV/0!</v>
      </c>
      <c r="AA7" s="66" t="e">
        <f t="shared" si="1"/>
        <v>#DIV/0!</v>
      </c>
      <c r="AB7" s="66" t="e">
        <f>I7/$S$7</f>
        <v>#DIV/0!</v>
      </c>
      <c r="AC7" s="66" t="e">
        <f t="shared" ref="AC7:AD7" si="2">J7/$S$7</f>
        <v>#DIV/0!</v>
      </c>
      <c r="AD7" s="66" t="e">
        <f t="shared" si="2"/>
        <v>#DIV/0!</v>
      </c>
      <c r="AE7" s="66" t="e">
        <f t="shared" ref="AE7" si="3">L7/$S$7</f>
        <v>#DIV/0!</v>
      </c>
      <c r="AF7" s="66" t="e">
        <f t="shared" ref="AF7" si="4">M7/$S$7</f>
        <v>#DIV/0!</v>
      </c>
      <c r="AG7" s="66" t="e">
        <f t="shared" ref="AG7" si="5">N7/$S$7</f>
        <v>#DIV/0!</v>
      </c>
      <c r="AH7" s="66" t="e">
        <f t="shared" ref="AH7:AK7" si="6">O7/$S$7</f>
        <v>#DIV/0!</v>
      </c>
      <c r="AI7" s="66" t="e">
        <f t="shared" si="6"/>
        <v>#DIV/0!</v>
      </c>
      <c r="AJ7" s="66" t="e">
        <f t="shared" si="6"/>
        <v>#DIV/0!</v>
      </c>
      <c r="AK7" s="66" t="e">
        <f t="shared" si="6"/>
        <v>#DIV/0!</v>
      </c>
    </row>
    <row r="8" spans="1:40" x14ac:dyDescent="0.15">
      <c r="B8" s="141" t="s">
        <v>19</v>
      </c>
      <c r="C8" s="75">
        <f>SUMIF('caseload data'!$A:$A,"Greater Manchester",'caseload data'!E:E)</f>
        <v>0</v>
      </c>
      <c r="D8" s="75">
        <f>SUMIF('caseload data'!$A:$A,"Greater Manchester",'caseload data'!F:F)</f>
        <v>0</v>
      </c>
      <c r="E8" s="75">
        <f>SUMIF('caseload data'!$A:$A,"Greater Manchester",'caseload data'!G:G)</f>
        <v>0</v>
      </c>
      <c r="F8" s="75">
        <f>SUMIF('caseload data'!$A:$A,"Greater Manchester",'caseload data'!H:H)</f>
        <v>0</v>
      </c>
      <c r="G8" s="75">
        <f>SUMIF('caseload data'!$A:$A,"Greater Manchester",'caseload data'!I:I)</f>
        <v>0</v>
      </c>
      <c r="H8" s="75">
        <f>SUMIF('caseload data'!$A:$A,"Greater Manchester",'caseload data'!J:J)</f>
        <v>0</v>
      </c>
      <c r="I8" s="75">
        <f>SUMIF('caseload data'!$A:$A,"Greater Manchester",'caseload data'!K:K)</f>
        <v>0</v>
      </c>
      <c r="J8" s="75">
        <f>SUMIF('caseload data'!$A:$A,"Greater Manchester",'caseload data'!L:L)</f>
        <v>0</v>
      </c>
      <c r="K8" s="75">
        <f>SUMIF('caseload data'!$A:$A,"Greater Manchester",'caseload data'!M:M)</f>
        <v>0</v>
      </c>
      <c r="L8" s="75">
        <f>SUMIF('caseload data'!$A:$A,"Greater Manchester",'caseload data'!N:N)</f>
        <v>0</v>
      </c>
      <c r="M8" s="75">
        <f>SUMIF('caseload data'!$A:$A,"Greater Manchester",'caseload data'!O:O)</f>
        <v>0</v>
      </c>
      <c r="N8" s="75">
        <f>SUMIF('caseload data'!$A:$A,"Greater Manchester",'caseload data'!P:P)</f>
        <v>0</v>
      </c>
      <c r="O8" s="75">
        <f>SUMIF('caseload data'!$A:$A,"Greater Manchester",'caseload data'!Q:Q)</f>
        <v>0</v>
      </c>
      <c r="P8" s="75">
        <f>SUMIF('caseload data'!$A:$A,"Greater Manchester",'caseload data'!R:R)</f>
        <v>0</v>
      </c>
      <c r="Q8" s="75">
        <f>SUMIF('caseload data'!$A:$A,"Greater Manchester",'caseload data'!S:S)</f>
        <v>0</v>
      </c>
      <c r="R8" s="75">
        <f>SUMIF('caseload data'!$A:$A,"Greater Manchester",'caseload data'!T:T)</f>
        <v>0</v>
      </c>
      <c r="S8" s="75">
        <f>SUMIF('caseload data'!A:A,"Greater Manchester",'caseload data'!V:V)</f>
        <v>0</v>
      </c>
      <c r="T8" s="91"/>
      <c r="U8" s="141" t="s">
        <v>19</v>
      </c>
      <c r="V8" s="66" t="e">
        <f>C8/$S$8</f>
        <v>#DIV/0!</v>
      </c>
      <c r="W8" s="66" t="e">
        <f t="shared" ref="W8:AC8" si="7">D8/$S$8</f>
        <v>#DIV/0!</v>
      </c>
      <c r="X8" s="66" t="e">
        <f t="shared" si="7"/>
        <v>#DIV/0!</v>
      </c>
      <c r="Y8" s="66" t="e">
        <f t="shared" si="7"/>
        <v>#DIV/0!</v>
      </c>
      <c r="Z8" s="66" t="e">
        <f t="shared" si="7"/>
        <v>#DIV/0!</v>
      </c>
      <c r="AA8" s="66" t="e">
        <f t="shared" si="7"/>
        <v>#DIV/0!</v>
      </c>
      <c r="AB8" s="66" t="e">
        <f t="shared" si="7"/>
        <v>#DIV/0!</v>
      </c>
      <c r="AC8" s="66" t="e">
        <f t="shared" si="7"/>
        <v>#DIV/0!</v>
      </c>
      <c r="AD8" s="66" t="e">
        <f t="shared" ref="AD8" si="8">K8/$S$8</f>
        <v>#DIV/0!</v>
      </c>
      <c r="AE8" s="66" t="e">
        <f t="shared" ref="AE8" si="9">L8/$S$8</f>
        <v>#DIV/0!</v>
      </c>
      <c r="AF8" s="66" t="e">
        <f t="shared" ref="AF8" si="10">M8/$S$8</f>
        <v>#DIV/0!</v>
      </c>
      <c r="AG8" s="66" t="e">
        <f t="shared" ref="AG8" si="11">N8/$S$8</f>
        <v>#DIV/0!</v>
      </c>
      <c r="AH8" s="66" t="e">
        <f t="shared" ref="AH8" si="12">O8/$S$8</f>
        <v>#DIV/0!</v>
      </c>
      <c r="AI8" s="66" t="e">
        <f t="shared" ref="AI8:AJ8" si="13">P8/$S$8</f>
        <v>#DIV/0!</v>
      </c>
      <c r="AJ8" s="66" t="e">
        <f t="shared" si="13"/>
        <v>#DIV/0!</v>
      </c>
      <c r="AK8" s="66" t="e">
        <f t="shared" ref="AK8" si="14">R8/$S$8</f>
        <v>#DIV/0!</v>
      </c>
    </row>
    <row r="9" spans="1:40" x14ac:dyDescent="0.15">
      <c r="B9" s="141" t="s">
        <v>20</v>
      </c>
      <c r="C9" s="75">
        <f>SUMIF('caseload data'!$A:$A,"Kent Surrey Sussex Region",'caseload data'!E:E)</f>
        <v>0</v>
      </c>
      <c r="D9" s="75">
        <f>SUMIF('caseload data'!$A:$A,"Kent Surrey Sussex Region",'caseload data'!F:F)</f>
        <v>0</v>
      </c>
      <c r="E9" s="75">
        <f>SUMIF('caseload data'!$A:$A,"Kent Surrey Sussex Region",'caseload data'!G:G)</f>
        <v>0</v>
      </c>
      <c r="F9" s="75">
        <f>SUMIF('caseload data'!$A:$A,"Kent Surrey Sussex Region",'caseload data'!H:H)</f>
        <v>0</v>
      </c>
      <c r="G9" s="75">
        <f>SUMIF('caseload data'!$A:$A,"Kent Surrey Sussex Region",'caseload data'!I:I)</f>
        <v>0</v>
      </c>
      <c r="H9" s="75">
        <f>SUMIF('caseload data'!$A:$A,"Kent Surrey Sussex Region",'caseload data'!J:J)</f>
        <v>0</v>
      </c>
      <c r="I9" s="75">
        <f>SUMIF('caseload data'!$A:$A,"Kent Surrey Sussex Region",'caseload data'!K:K)</f>
        <v>0</v>
      </c>
      <c r="J9" s="75">
        <f>SUMIF('caseload data'!$A:$A,"Kent Surrey Sussex Region",'caseload data'!L:L)</f>
        <v>0</v>
      </c>
      <c r="K9" s="75">
        <f>SUMIF('caseload data'!$A:$A,"Kent Surrey Sussex Region",'caseload data'!M:M)</f>
        <v>0</v>
      </c>
      <c r="L9" s="75">
        <f>SUMIF('caseload data'!$A:$A,"Kent Surrey Sussex Region",'caseload data'!N:N)</f>
        <v>0</v>
      </c>
      <c r="M9" s="75">
        <f>SUMIF('caseload data'!$A:$A,"Kent Surrey Sussex Region",'caseload data'!O:O)</f>
        <v>0</v>
      </c>
      <c r="N9" s="75">
        <f>SUMIF('caseload data'!$A:$A,"Kent Surrey Sussex Region",'caseload data'!P:P)</f>
        <v>0</v>
      </c>
      <c r="O9" s="75">
        <f>SUMIF('caseload data'!$A:$A,"Kent Surrey Sussex Region",'caseload data'!Q:Q)</f>
        <v>0</v>
      </c>
      <c r="P9" s="75">
        <f>SUMIF('caseload data'!$A:$A,"Kent Surrey Sussex Region",'caseload data'!R:R)</f>
        <v>0</v>
      </c>
      <c r="Q9" s="75">
        <f>SUMIF('caseload data'!$A:$A,"Kent Surrey Sussex Region",'caseload data'!S:S)</f>
        <v>0</v>
      </c>
      <c r="R9" s="75">
        <f>SUMIF('caseload data'!$A:$A,"Kent Surrey Sussex Region",'caseload data'!T:T)</f>
        <v>0</v>
      </c>
      <c r="S9" s="75">
        <f>SUMIF('caseload data'!A:A,"Kent Surrey Sussex Region",'caseload data'!V:V)</f>
        <v>0</v>
      </c>
      <c r="T9" s="91"/>
      <c r="U9" s="141" t="s">
        <v>20</v>
      </c>
      <c r="V9" s="66" t="e">
        <f>C9/$S$9</f>
        <v>#DIV/0!</v>
      </c>
      <c r="W9" s="66" t="e">
        <f t="shared" ref="W9:AC9" si="15">D9/$S$9</f>
        <v>#DIV/0!</v>
      </c>
      <c r="X9" s="66" t="e">
        <f t="shared" si="15"/>
        <v>#DIV/0!</v>
      </c>
      <c r="Y9" s="66" t="e">
        <f t="shared" si="15"/>
        <v>#DIV/0!</v>
      </c>
      <c r="Z9" s="66" t="e">
        <f t="shared" si="15"/>
        <v>#DIV/0!</v>
      </c>
      <c r="AA9" s="66" t="e">
        <f t="shared" si="15"/>
        <v>#DIV/0!</v>
      </c>
      <c r="AB9" s="66" t="e">
        <f t="shared" si="15"/>
        <v>#DIV/0!</v>
      </c>
      <c r="AC9" s="66" t="e">
        <f t="shared" si="15"/>
        <v>#DIV/0!</v>
      </c>
      <c r="AD9" s="66" t="e">
        <f t="shared" ref="AD9" si="16">K9/$S$9</f>
        <v>#DIV/0!</v>
      </c>
      <c r="AE9" s="66" t="e">
        <f t="shared" ref="AE9" si="17">L9/$S$9</f>
        <v>#DIV/0!</v>
      </c>
      <c r="AF9" s="66" t="e">
        <f t="shared" ref="AF9" si="18">M9/$S$9</f>
        <v>#DIV/0!</v>
      </c>
      <c r="AG9" s="66" t="e">
        <f t="shared" ref="AG9" si="19">N9/$S$9</f>
        <v>#DIV/0!</v>
      </c>
      <c r="AH9" s="66" t="e">
        <f t="shared" ref="AH9" si="20">O9/$S$9</f>
        <v>#DIV/0!</v>
      </c>
      <c r="AI9" s="66" t="e">
        <f t="shared" ref="AI9:AJ9" si="21">P9/$S$9</f>
        <v>#DIV/0!</v>
      </c>
      <c r="AJ9" s="66" t="e">
        <f t="shared" si="21"/>
        <v>#DIV/0!</v>
      </c>
      <c r="AK9" s="66" t="e">
        <f t="shared" ref="AK9" si="22">R9/$S$9</f>
        <v>#DIV/0!</v>
      </c>
    </row>
    <row r="10" spans="1:40" x14ac:dyDescent="0.15">
      <c r="B10" s="141" t="s">
        <v>21</v>
      </c>
      <c r="C10" s="75">
        <f>SUMIF('caseload data'!$A:$A,"London",'caseload data'!E:E)</f>
        <v>0</v>
      </c>
      <c r="D10" s="75">
        <f>SUMIF('caseload data'!$A:$A,"London",'caseload data'!F:F)</f>
        <v>0</v>
      </c>
      <c r="E10" s="75">
        <f>SUMIF('caseload data'!$A:$A,"London",'caseload data'!G:G)</f>
        <v>0</v>
      </c>
      <c r="F10" s="75">
        <f>SUMIF('caseload data'!$A:$A,"London",'caseload data'!H:H)</f>
        <v>0</v>
      </c>
      <c r="G10" s="75">
        <f>SUMIF('caseload data'!$A:$A,"London",'caseload data'!I:I)</f>
        <v>0</v>
      </c>
      <c r="H10" s="75">
        <f>SUMIF('caseload data'!$A:$A,"London",'caseload data'!J:J)</f>
        <v>0</v>
      </c>
      <c r="I10" s="75">
        <f>SUMIF('caseload data'!$A:$A,"London",'caseload data'!K:K)</f>
        <v>0</v>
      </c>
      <c r="J10" s="75">
        <f>SUMIF('caseload data'!$A:$A,"London",'caseload data'!L:L)</f>
        <v>0</v>
      </c>
      <c r="K10" s="75">
        <f>SUMIF('caseload data'!$A:$A,"London",'caseload data'!M:M)</f>
        <v>0</v>
      </c>
      <c r="L10" s="75">
        <f>SUMIF('caseload data'!$A:$A,"London",'caseload data'!N:N)</f>
        <v>0</v>
      </c>
      <c r="M10" s="75">
        <f>SUMIF('caseload data'!$A:$A,"London",'caseload data'!O:O)</f>
        <v>0</v>
      </c>
      <c r="N10" s="75">
        <f>SUMIF('caseload data'!$A:$A,"London",'caseload data'!P:P)</f>
        <v>0</v>
      </c>
      <c r="O10" s="75">
        <f>SUMIF('caseload data'!$A:$A,"London",'caseload data'!Q:Q)</f>
        <v>0</v>
      </c>
      <c r="P10" s="75">
        <f>SUMIF('caseload data'!$A:$A,"London",'caseload data'!R:R)</f>
        <v>0</v>
      </c>
      <c r="Q10" s="75">
        <f>SUMIF('caseload data'!$A:$A,"London",'caseload data'!S:S)</f>
        <v>0</v>
      </c>
      <c r="R10" s="75">
        <f>SUMIF('caseload data'!$A:$A,"London",'caseload data'!T:T)</f>
        <v>0</v>
      </c>
      <c r="S10" s="75">
        <f>SUMIF('caseload data'!A:A,"London",'caseload data'!V:V)</f>
        <v>0</v>
      </c>
      <c r="T10" s="91"/>
      <c r="U10" s="141" t="s">
        <v>21</v>
      </c>
      <c r="V10" s="66" t="e">
        <f>C10/$S$10</f>
        <v>#DIV/0!</v>
      </c>
      <c r="W10" s="66" t="e">
        <f t="shared" ref="W10:AC10" si="23">D10/$S$10</f>
        <v>#DIV/0!</v>
      </c>
      <c r="X10" s="66" t="e">
        <f t="shared" si="23"/>
        <v>#DIV/0!</v>
      </c>
      <c r="Y10" s="66" t="e">
        <f t="shared" si="23"/>
        <v>#DIV/0!</v>
      </c>
      <c r="Z10" s="66" t="e">
        <f t="shared" si="23"/>
        <v>#DIV/0!</v>
      </c>
      <c r="AA10" s="66" t="e">
        <f t="shared" si="23"/>
        <v>#DIV/0!</v>
      </c>
      <c r="AB10" s="66" t="e">
        <f t="shared" si="23"/>
        <v>#DIV/0!</v>
      </c>
      <c r="AC10" s="66" t="e">
        <f t="shared" si="23"/>
        <v>#DIV/0!</v>
      </c>
      <c r="AD10" s="66" t="e">
        <f t="shared" ref="AD10" si="24">K10/$S$10</f>
        <v>#DIV/0!</v>
      </c>
      <c r="AE10" s="66" t="e">
        <f t="shared" ref="AE10" si="25">L10/$S$10</f>
        <v>#DIV/0!</v>
      </c>
      <c r="AF10" s="66" t="e">
        <f t="shared" ref="AF10" si="26">M10/$S$10</f>
        <v>#DIV/0!</v>
      </c>
      <c r="AG10" s="66" t="e">
        <f t="shared" ref="AG10" si="27">N10/$S$10</f>
        <v>#DIV/0!</v>
      </c>
      <c r="AH10" s="66" t="e">
        <f t="shared" ref="AH10" si="28">O10/$S$10</f>
        <v>#DIV/0!</v>
      </c>
      <c r="AI10" s="66" t="e">
        <f t="shared" ref="AI10:AJ10" si="29">P10/$S$10</f>
        <v>#DIV/0!</v>
      </c>
      <c r="AJ10" s="66" t="e">
        <f t="shared" si="29"/>
        <v>#DIV/0!</v>
      </c>
      <c r="AK10" s="66" t="e">
        <f t="shared" ref="AK10" si="30">R10/$S$10</f>
        <v>#DIV/0!</v>
      </c>
    </row>
    <row r="11" spans="1:40" x14ac:dyDescent="0.15">
      <c r="B11" s="141" t="s">
        <v>22</v>
      </c>
      <c r="C11" s="75">
        <f>SUMIF('caseload data'!$A:$A,"North East Region",'caseload data'!E:E)</f>
        <v>0</v>
      </c>
      <c r="D11" s="75">
        <f>SUMIF('caseload data'!$A:$A,"North East Region",'caseload data'!F:F)</f>
        <v>0</v>
      </c>
      <c r="E11" s="75">
        <f>SUMIF('caseload data'!$A:$A,"North East Region",'caseload data'!G:G)</f>
        <v>0</v>
      </c>
      <c r="F11" s="75">
        <f>SUMIF('caseload data'!$A:$A,"North East Region",'caseload data'!H:H)</f>
        <v>0</v>
      </c>
      <c r="G11" s="75">
        <f>SUMIF('caseload data'!$A:$A,"North East Region",'caseload data'!I:I)</f>
        <v>0</v>
      </c>
      <c r="H11" s="75">
        <f>SUMIF('caseload data'!$A:$A,"North East Region",'caseload data'!J:J)</f>
        <v>0</v>
      </c>
      <c r="I11" s="75">
        <f>SUMIF('caseload data'!$A:$A,"North East Region",'caseload data'!K:K)</f>
        <v>0</v>
      </c>
      <c r="J11" s="75">
        <f>SUMIF('caseload data'!$A:$A,"North East Region",'caseload data'!L:L)</f>
        <v>0</v>
      </c>
      <c r="K11" s="75">
        <f>SUMIF('caseload data'!$A:$A,"North East Region",'caseload data'!M:M)</f>
        <v>0</v>
      </c>
      <c r="L11" s="75">
        <f>SUMIF('caseload data'!$A:$A,"North East Region",'caseload data'!N:N)</f>
        <v>0</v>
      </c>
      <c r="M11" s="75">
        <f>SUMIF('caseload data'!$A:$A,"North East Region",'caseload data'!O:O)</f>
        <v>0</v>
      </c>
      <c r="N11" s="75">
        <f>SUMIF('caseload data'!$A:$A,"North East Region",'caseload data'!P:P)</f>
        <v>0</v>
      </c>
      <c r="O11" s="75">
        <f>SUMIF('caseload data'!$A:$A,"North East Region",'caseload data'!Q:Q)</f>
        <v>0</v>
      </c>
      <c r="P11" s="75">
        <f>SUMIF('caseload data'!$A:$A,"North East Region",'caseload data'!R:R)</f>
        <v>0</v>
      </c>
      <c r="Q11" s="75">
        <f>SUMIF('caseload data'!$A:$A,"North East Region",'caseload data'!S:S)</f>
        <v>0</v>
      </c>
      <c r="R11" s="75">
        <f>SUMIF('caseload data'!$A:$A,"North East Region",'caseload data'!T:T)</f>
        <v>0</v>
      </c>
      <c r="S11" s="75">
        <f>SUMIF('caseload data'!A:A,"North East Region",'caseload data'!V:V)</f>
        <v>0</v>
      </c>
      <c r="T11" s="91"/>
      <c r="U11" s="141" t="s">
        <v>22</v>
      </c>
      <c r="V11" s="66" t="e">
        <f>C11/$S$11</f>
        <v>#DIV/0!</v>
      </c>
      <c r="W11" s="66" t="e">
        <f t="shared" ref="W11:AC11" si="31">D11/$S$11</f>
        <v>#DIV/0!</v>
      </c>
      <c r="X11" s="66" t="e">
        <f t="shared" si="31"/>
        <v>#DIV/0!</v>
      </c>
      <c r="Y11" s="66" t="e">
        <f t="shared" si="31"/>
        <v>#DIV/0!</v>
      </c>
      <c r="Z11" s="66" t="e">
        <f t="shared" si="31"/>
        <v>#DIV/0!</v>
      </c>
      <c r="AA11" s="66" t="e">
        <f t="shared" si="31"/>
        <v>#DIV/0!</v>
      </c>
      <c r="AB11" s="66" t="e">
        <f t="shared" si="31"/>
        <v>#DIV/0!</v>
      </c>
      <c r="AC11" s="66" t="e">
        <f t="shared" si="31"/>
        <v>#DIV/0!</v>
      </c>
      <c r="AD11" s="66" t="e">
        <f t="shared" ref="AD11" si="32">K11/$S$11</f>
        <v>#DIV/0!</v>
      </c>
      <c r="AE11" s="66" t="e">
        <f t="shared" ref="AE11" si="33">L11/$S$11</f>
        <v>#DIV/0!</v>
      </c>
      <c r="AF11" s="66" t="e">
        <f t="shared" ref="AF11" si="34">M11/$S$11</f>
        <v>#DIV/0!</v>
      </c>
      <c r="AG11" s="66" t="e">
        <f t="shared" ref="AG11" si="35">N11/$S$11</f>
        <v>#DIV/0!</v>
      </c>
      <c r="AH11" s="66" t="e">
        <f t="shared" ref="AH11" si="36">O11/$S$11</f>
        <v>#DIV/0!</v>
      </c>
      <c r="AI11" s="66" t="e">
        <f t="shared" ref="AI11:AJ11" si="37">P11/$S$11</f>
        <v>#DIV/0!</v>
      </c>
      <c r="AJ11" s="66" t="e">
        <f t="shared" si="37"/>
        <v>#DIV/0!</v>
      </c>
      <c r="AK11" s="66" t="e">
        <f t="shared" ref="AK11" si="38">R11/$S$11</f>
        <v>#DIV/0!</v>
      </c>
    </row>
    <row r="12" spans="1:40" x14ac:dyDescent="0.15">
      <c r="B12" s="141" t="s">
        <v>23</v>
      </c>
      <c r="C12" s="75">
        <f>SUMIF('caseload data'!$A:$A,"North West Region",'caseload data'!E:E)</f>
        <v>0</v>
      </c>
      <c r="D12" s="75">
        <f>SUMIF('caseload data'!$A:$A,"North West Region",'caseload data'!F:F)</f>
        <v>0</v>
      </c>
      <c r="E12" s="75">
        <f>SUMIF('caseload data'!$A:$A,"North West Region",'caseload data'!G:G)</f>
        <v>0</v>
      </c>
      <c r="F12" s="75">
        <f>SUMIF('caseload data'!$A:$A,"North West Region",'caseload data'!H:H)</f>
        <v>0</v>
      </c>
      <c r="G12" s="75">
        <f>SUMIF('caseload data'!$A:$A,"North West Region",'caseload data'!I:I)</f>
        <v>0</v>
      </c>
      <c r="H12" s="75">
        <f>SUMIF('caseload data'!$A:$A,"North West Region",'caseload data'!J:J)</f>
        <v>0</v>
      </c>
      <c r="I12" s="75">
        <f>SUMIF('caseload data'!$A:$A,"North West Region",'caseload data'!K:K)</f>
        <v>0</v>
      </c>
      <c r="J12" s="75">
        <f>SUMIF('caseload data'!$A:$A,"North West Region",'caseload data'!L:L)</f>
        <v>0</v>
      </c>
      <c r="K12" s="75">
        <f>SUMIF('caseload data'!$A:$A,"North West Region",'caseload data'!M:M)</f>
        <v>0</v>
      </c>
      <c r="L12" s="75">
        <f>SUMIF('caseload data'!$A:$A,"North West Region",'caseload data'!N:N)</f>
        <v>0</v>
      </c>
      <c r="M12" s="75">
        <f>SUMIF('caseload data'!$A:$A,"North West Region",'caseload data'!O:O)</f>
        <v>0</v>
      </c>
      <c r="N12" s="75">
        <f>SUMIF('caseload data'!$A:$A,"North West Region",'caseload data'!P:P)</f>
        <v>0</v>
      </c>
      <c r="O12" s="75">
        <f>SUMIF('caseload data'!$A:$A,"North West Region",'caseload data'!Q:Q)</f>
        <v>0</v>
      </c>
      <c r="P12" s="75">
        <f>SUMIF('caseload data'!$A:$A,"North West Region",'caseload data'!R:R)</f>
        <v>0</v>
      </c>
      <c r="Q12" s="75">
        <f>SUMIF('caseload data'!$A:$A,"North West Region",'caseload data'!S:S)</f>
        <v>0</v>
      </c>
      <c r="R12" s="75">
        <f>SUMIF('caseload data'!$A:$A,"North West Region",'caseload data'!T:T)</f>
        <v>0</v>
      </c>
      <c r="S12" s="75">
        <f>SUMIF('caseload data'!A:A,"North West Region",'caseload data'!V:V)</f>
        <v>0</v>
      </c>
      <c r="T12" s="91"/>
      <c r="U12" s="141" t="s">
        <v>23</v>
      </c>
      <c r="V12" s="66" t="e">
        <f>C12/$S$12</f>
        <v>#DIV/0!</v>
      </c>
      <c r="W12" s="66" t="e">
        <f t="shared" ref="W12:AC12" si="39">D12/$S$12</f>
        <v>#DIV/0!</v>
      </c>
      <c r="X12" s="66" t="e">
        <f t="shared" si="39"/>
        <v>#DIV/0!</v>
      </c>
      <c r="Y12" s="66" t="e">
        <f t="shared" si="39"/>
        <v>#DIV/0!</v>
      </c>
      <c r="Z12" s="66" t="e">
        <f t="shared" si="39"/>
        <v>#DIV/0!</v>
      </c>
      <c r="AA12" s="66" t="e">
        <f t="shared" si="39"/>
        <v>#DIV/0!</v>
      </c>
      <c r="AB12" s="66" t="e">
        <f t="shared" si="39"/>
        <v>#DIV/0!</v>
      </c>
      <c r="AC12" s="66" t="e">
        <f t="shared" si="39"/>
        <v>#DIV/0!</v>
      </c>
      <c r="AD12" s="66" t="e">
        <f t="shared" ref="AD12" si="40">K12/$S$12</f>
        <v>#DIV/0!</v>
      </c>
      <c r="AE12" s="66" t="e">
        <f t="shared" ref="AE12" si="41">L12/$S$12</f>
        <v>#DIV/0!</v>
      </c>
      <c r="AF12" s="66" t="e">
        <f t="shared" ref="AF12" si="42">M12/$S$12</f>
        <v>#DIV/0!</v>
      </c>
      <c r="AG12" s="66" t="e">
        <f t="shared" ref="AG12" si="43">N12/$S$12</f>
        <v>#DIV/0!</v>
      </c>
      <c r="AH12" s="66" t="e">
        <f t="shared" ref="AH12" si="44">O12/$S$12</f>
        <v>#DIV/0!</v>
      </c>
      <c r="AI12" s="66" t="e">
        <f t="shared" ref="AI12:AJ12" si="45">P12/$S$12</f>
        <v>#DIV/0!</v>
      </c>
      <c r="AJ12" s="66" t="e">
        <f t="shared" si="45"/>
        <v>#DIV/0!</v>
      </c>
      <c r="AK12" s="66" t="e">
        <f t="shared" ref="AK12" si="46">R12/$S$12</f>
        <v>#DIV/0!</v>
      </c>
    </row>
    <row r="13" spans="1:40" x14ac:dyDescent="0.15">
      <c r="B13" s="141" t="s">
        <v>24</v>
      </c>
      <c r="C13" s="75">
        <f>SUMIF('caseload data'!$A:$A,"South Central",'caseload data'!E:E)</f>
        <v>0</v>
      </c>
      <c r="D13" s="75">
        <f>SUMIF('caseload data'!$A:$A,"South Central",'caseload data'!F:F)</f>
        <v>0</v>
      </c>
      <c r="E13" s="75">
        <f>SUMIF('caseload data'!$A:$A,"South Central",'caseload data'!G:G)</f>
        <v>0</v>
      </c>
      <c r="F13" s="75">
        <f>SUMIF('caseload data'!$A:$A,"South Central",'caseload data'!H:H)</f>
        <v>0</v>
      </c>
      <c r="G13" s="75">
        <f>SUMIF('caseload data'!$A:$A,"South Central",'caseload data'!I:I)</f>
        <v>0</v>
      </c>
      <c r="H13" s="75">
        <f>SUMIF('caseload data'!$A:$A,"South Central",'caseload data'!J:J)</f>
        <v>0</v>
      </c>
      <c r="I13" s="75">
        <f>SUMIF('caseload data'!$A:$A,"South Central",'caseload data'!K:K)</f>
        <v>0</v>
      </c>
      <c r="J13" s="75">
        <f>SUMIF('caseload data'!$A:$A,"South Central",'caseload data'!L:L)</f>
        <v>0</v>
      </c>
      <c r="K13" s="75">
        <f>SUMIF('caseload data'!$A:$A,"South Central",'caseload data'!M:M)</f>
        <v>0</v>
      </c>
      <c r="L13" s="75">
        <f>SUMIF('caseload data'!$A:$A,"South Central",'caseload data'!N:N)</f>
        <v>0</v>
      </c>
      <c r="M13" s="75">
        <f>SUMIF('caseload data'!$A:$A,"South Central",'caseload data'!O:O)</f>
        <v>0</v>
      </c>
      <c r="N13" s="75">
        <f>SUMIF('caseload data'!$A:$A,"South Central",'caseload data'!P:P)</f>
        <v>0</v>
      </c>
      <c r="O13" s="75">
        <f>SUMIF('caseload data'!$A:$A,"South Central",'caseload data'!Q:Q)</f>
        <v>0</v>
      </c>
      <c r="P13" s="75">
        <f>SUMIF('caseload data'!$A:$A,"South Central",'caseload data'!R:R)</f>
        <v>0</v>
      </c>
      <c r="Q13" s="75">
        <f>SUMIF('caseload data'!$A:$A,"South Central",'caseload data'!S:S)</f>
        <v>0</v>
      </c>
      <c r="R13" s="75">
        <f>SUMIF('caseload data'!$A:$A,"South Central",'caseload data'!T:T)</f>
        <v>0</v>
      </c>
      <c r="S13" s="75">
        <f>SUMIF('caseload data'!A:A,"South Central",'caseload data'!V:V)</f>
        <v>0</v>
      </c>
      <c r="T13" s="91"/>
      <c r="U13" s="141" t="s">
        <v>24</v>
      </c>
      <c r="V13" s="66" t="e">
        <f t="shared" ref="V13:AK13" si="47">C13/$S$13</f>
        <v>#DIV/0!</v>
      </c>
      <c r="W13" s="66" t="e">
        <f t="shared" si="47"/>
        <v>#DIV/0!</v>
      </c>
      <c r="X13" s="66" t="e">
        <f t="shared" si="47"/>
        <v>#DIV/0!</v>
      </c>
      <c r="Y13" s="66" t="e">
        <f t="shared" si="47"/>
        <v>#DIV/0!</v>
      </c>
      <c r="Z13" s="66" t="e">
        <f t="shared" si="47"/>
        <v>#DIV/0!</v>
      </c>
      <c r="AA13" s="66" t="e">
        <f t="shared" si="47"/>
        <v>#DIV/0!</v>
      </c>
      <c r="AB13" s="66" t="e">
        <f t="shared" si="47"/>
        <v>#DIV/0!</v>
      </c>
      <c r="AC13" s="66" t="e">
        <f t="shared" si="47"/>
        <v>#DIV/0!</v>
      </c>
      <c r="AD13" s="66" t="e">
        <f t="shared" si="47"/>
        <v>#DIV/0!</v>
      </c>
      <c r="AE13" s="66" t="e">
        <f t="shared" si="47"/>
        <v>#DIV/0!</v>
      </c>
      <c r="AF13" s="66" t="e">
        <f t="shared" si="47"/>
        <v>#DIV/0!</v>
      </c>
      <c r="AG13" s="66" t="e">
        <f t="shared" si="47"/>
        <v>#DIV/0!</v>
      </c>
      <c r="AH13" s="66" t="e">
        <f t="shared" si="47"/>
        <v>#DIV/0!</v>
      </c>
      <c r="AI13" s="66" t="e">
        <f t="shared" si="47"/>
        <v>#DIV/0!</v>
      </c>
      <c r="AJ13" s="66" t="e">
        <f t="shared" si="47"/>
        <v>#DIV/0!</v>
      </c>
      <c r="AK13" s="66" t="e">
        <f t="shared" si="47"/>
        <v>#DIV/0!</v>
      </c>
    </row>
    <row r="14" spans="1:40" x14ac:dyDescent="0.15">
      <c r="B14" s="141" t="s">
        <v>25</v>
      </c>
      <c r="C14" s="75">
        <f>SUMIF('caseload data'!$A:$A,"South West",'caseload data'!E:E)</f>
        <v>0</v>
      </c>
      <c r="D14" s="75">
        <f>SUMIF('caseload data'!$A:$A,"South West",'caseload data'!F:F)</f>
        <v>0</v>
      </c>
      <c r="E14" s="75">
        <f>SUMIF('caseload data'!$A:$A,"South West",'caseload data'!G:G)</f>
        <v>0</v>
      </c>
      <c r="F14" s="75">
        <f>SUMIF('caseload data'!$A:$A,"South West",'caseload data'!H:H)</f>
        <v>0</v>
      </c>
      <c r="G14" s="75">
        <f>SUMIF('caseload data'!$A:$A,"South West",'caseload data'!I:I)</f>
        <v>0</v>
      </c>
      <c r="H14" s="75">
        <f>SUMIF('caseload data'!$A:$A,"South West",'caseload data'!J:J)</f>
        <v>0</v>
      </c>
      <c r="I14" s="75">
        <f>SUMIF('caseload data'!$A:$A,"South West",'caseload data'!K:K)</f>
        <v>0</v>
      </c>
      <c r="J14" s="75">
        <f>SUMIF('caseload data'!$A:$A,"South West",'caseload data'!L:L)</f>
        <v>0</v>
      </c>
      <c r="K14" s="75">
        <f>SUMIF('caseload data'!$A:$A,"South West",'caseload data'!M:M)</f>
        <v>0</v>
      </c>
      <c r="L14" s="75">
        <f>SUMIF('caseload data'!$A:$A,"South West",'caseload data'!N:N)</f>
        <v>0</v>
      </c>
      <c r="M14" s="75">
        <f>SUMIF('caseload data'!$A:$A,"South West",'caseload data'!O:O)</f>
        <v>0</v>
      </c>
      <c r="N14" s="75">
        <f>SUMIF('caseload data'!$A:$A,"South West",'caseload data'!P:P)</f>
        <v>0</v>
      </c>
      <c r="O14" s="75">
        <f>SUMIF('caseload data'!$A:$A,"South West",'caseload data'!Q:Q)</f>
        <v>0</v>
      </c>
      <c r="P14" s="75">
        <f>SUMIF('caseload data'!$A:$A,"South West",'caseload data'!R:R)</f>
        <v>0</v>
      </c>
      <c r="Q14" s="75">
        <f>SUMIF('caseload data'!$A:$A,"South West",'caseload data'!S:S)</f>
        <v>0</v>
      </c>
      <c r="R14" s="75">
        <f>SUMIF('caseload data'!$A:$A,"South West",'caseload data'!T:T)</f>
        <v>0</v>
      </c>
      <c r="S14" s="75">
        <f>SUMIF('caseload data'!A:A,"South West",'caseload data'!V:V)</f>
        <v>0</v>
      </c>
      <c r="T14" s="91"/>
      <c r="U14" s="141" t="s">
        <v>25</v>
      </c>
      <c r="V14" s="66" t="e">
        <f>C14/$S$14</f>
        <v>#DIV/0!</v>
      </c>
      <c r="W14" s="66" t="e">
        <f t="shared" ref="W14:AC14" si="48">D14/$S$14</f>
        <v>#DIV/0!</v>
      </c>
      <c r="X14" s="66" t="e">
        <f t="shared" si="48"/>
        <v>#DIV/0!</v>
      </c>
      <c r="Y14" s="66" t="e">
        <f t="shared" si="48"/>
        <v>#DIV/0!</v>
      </c>
      <c r="Z14" s="66" t="e">
        <f t="shared" si="48"/>
        <v>#DIV/0!</v>
      </c>
      <c r="AA14" s="66" t="e">
        <f t="shared" si="48"/>
        <v>#DIV/0!</v>
      </c>
      <c r="AB14" s="66" t="e">
        <f t="shared" si="48"/>
        <v>#DIV/0!</v>
      </c>
      <c r="AC14" s="66" t="e">
        <f t="shared" si="48"/>
        <v>#DIV/0!</v>
      </c>
      <c r="AD14" s="66" t="e">
        <f t="shared" ref="AD14" si="49">K14/$S$14</f>
        <v>#DIV/0!</v>
      </c>
      <c r="AE14" s="66" t="e">
        <f t="shared" ref="AE14" si="50">L14/$S$14</f>
        <v>#DIV/0!</v>
      </c>
      <c r="AF14" s="66" t="e">
        <f t="shared" ref="AF14" si="51">M14/$S$14</f>
        <v>#DIV/0!</v>
      </c>
      <c r="AG14" s="66" t="e">
        <f t="shared" ref="AG14" si="52">N14/$S$14</f>
        <v>#DIV/0!</v>
      </c>
      <c r="AH14" s="66" t="e">
        <f t="shared" ref="AH14" si="53">O14/$S$14</f>
        <v>#DIV/0!</v>
      </c>
      <c r="AI14" s="66" t="e">
        <f t="shared" ref="AI14:AJ14" si="54">P14/$S$14</f>
        <v>#DIV/0!</v>
      </c>
      <c r="AJ14" s="66" t="e">
        <f t="shared" si="54"/>
        <v>#DIV/0!</v>
      </c>
      <c r="AK14" s="66" t="e">
        <f t="shared" ref="AK14" si="55">R14/$S$14</f>
        <v>#DIV/0!</v>
      </c>
    </row>
    <row r="15" spans="1:40" x14ac:dyDescent="0.15">
      <c r="B15" s="141" t="s">
        <v>26</v>
      </c>
      <c r="C15" s="75">
        <f>SUMIF('caseload data'!$A:$A,"Wales",'caseload data'!E:E)</f>
        <v>0</v>
      </c>
      <c r="D15" s="75">
        <f>SUMIF('caseload data'!$A:$A,"Wales",'caseload data'!F:F)</f>
        <v>0</v>
      </c>
      <c r="E15" s="75">
        <f>SUMIF('caseload data'!$A:$A,"Wales",'caseload data'!G:G)</f>
        <v>0</v>
      </c>
      <c r="F15" s="75">
        <f>SUMIF('caseload data'!$A:$A,"Wales",'caseload data'!H:H)</f>
        <v>0</v>
      </c>
      <c r="G15" s="75">
        <f>SUMIF('caseload data'!$A:$A,"Wales",'caseload data'!I:I)</f>
        <v>0</v>
      </c>
      <c r="H15" s="75">
        <f>SUMIF('caseload data'!$A:$A,"Wales",'caseload data'!J:J)</f>
        <v>0</v>
      </c>
      <c r="I15" s="75">
        <f>SUMIF('caseload data'!$A:$A,"Wales",'caseload data'!K:K)</f>
        <v>0</v>
      </c>
      <c r="J15" s="75">
        <f>SUMIF('caseload data'!$A:$A,"Wales",'caseload data'!L:L)</f>
        <v>0</v>
      </c>
      <c r="K15" s="75">
        <f>SUMIF('caseload data'!$A:$A,"Wales",'caseload data'!M:M)</f>
        <v>0</v>
      </c>
      <c r="L15" s="75">
        <f>SUMIF('caseload data'!$A:$A,"Wales",'caseload data'!N:N)</f>
        <v>0</v>
      </c>
      <c r="M15" s="75">
        <f>SUMIF('caseload data'!$A:$A,"Wales",'caseload data'!O:O)</f>
        <v>0</v>
      </c>
      <c r="N15" s="75">
        <f>SUMIF('caseload data'!$A:$A,"Wales",'caseload data'!P:P)</f>
        <v>0</v>
      </c>
      <c r="O15" s="75">
        <f>SUMIF('caseload data'!$A:$A,"Wales",'caseload data'!Q:Q)</f>
        <v>0</v>
      </c>
      <c r="P15" s="75">
        <f>SUMIF('caseload data'!$A:$A,"Wales",'caseload data'!R:R)</f>
        <v>0</v>
      </c>
      <c r="Q15" s="75">
        <f>SUMIF('caseload data'!$A:$A,"Wales",'caseload data'!S:S)</f>
        <v>0</v>
      </c>
      <c r="R15" s="75">
        <f>SUMIF('caseload data'!$A:$A,"Wales",'caseload data'!T:T)</f>
        <v>0</v>
      </c>
      <c r="S15" s="75">
        <f>SUMIF('caseload data'!A:A,"Wales",'caseload data'!V:V)</f>
        <v>0</v>
      </c>
      <c r="T15" s="91"/>
      <c r="U15" s="141" t="s">
        <v>26</v>
      </c>
      <c r="V15" s="66" t="e">
        <f>C15/$S$15</f>
        <v>#DIV/0!</v>
      </c>
      <c r="W15" s="66" t="e">
        <f t="shared" ref="W15:AC15" si="56">D15/$S$15</f>
        <v>#DIV/0!</v>
      </c>
      <c r="X15" s="66" t="e">
        <f t="shared" si="56"/>
        <v>#DIV/0!</v>
      </c>
      <c r="Y15" s="66" t="e">
        <f t="shared" si="56"/>
        <v>#DIV/0!</v>
      </c>
      <c r="Z15" s="66" t="e">
        <f t="shared" si="56"/>
        <v>#DIV/0!</v>
      </c>
      <c r="AA15" s="66" t="e">
        <f t="shared" si="56"/>
        <v>#DIV/0!</v>
      </c>
      <c r="AB15" s="66" t="e">
        <f t="shared" si="56"/>
        <v>#DIV/0!</v>
      </c>
      <c r="AC15" s="66" t="e">
        <f t="shared" si="56"/>
        <v>#DIV/0!</v>
      </c>
      <c r="AD15" s="66" t="e">
        <f t="shared" ref="AD15" si="57">K15/$S$15</f>
        <v>#DIV/0!</v>
      </c>
      <c r="AE15" s="66" t="e">
        <f t="shared" ref="AE15" si="58">L15/$S$15</f>
        <v>#DIV/0!</v>
      </c>
      <c r="AF15" s="66" t="e">
        <f t="shared" ref="AF15" si="59">M15/$S$15</f>
        <v>#DIV/0!</v>
      </c>
      <c r="AG15" s="66" t="e">
        <f t="shared" ref="AG15" si="60">N15/$S$15</f>
        <v>#DIV/0!</v>
      </c>
      <c r="AH15" s="66" t="e">
        <f t="shared" ref="AH15" si="61">O15/$S$15</f>
        <v>#DIV/0!</v>
      </c>
      <c r="AI15" s="66" t="e">
        <f t="shared" ref="AI15:AJ15" si="62">P15/$S$15</f>
        <v>#DIV/0!</v>
      </c>
      <c r="AJ15" s="66" t="e">
        <f t="shared" si="62"/>
        <v>#DIV/0!</v>
      </c>
      <c r="AK15" s="66" t="e">
        <f t="shared" ref="AK15" si="63">R15/$S$15</f>
        <v>#DIV/0!</v>
      </c>
    </row>
    <row r="16" spans="1:40" x14ac:dyDescent="0.15">
      <c r="B16" s="141" t="s">
        <v>27</v>
      </c>
      <c r="C16" s="75">
        <f>SUMIF('caseload data'!$A:$A,"West Midlands Region",'caseload data'!E:E)</f>
        <v>0</v>
      </c>
      <c r="D16" s="75">
        <f>SUMIF('caseload data'!$A:$A,"West Midlands Region",'caseload data'!F:F)</f>
        <v>0</v>
      </c>
      <c r="E16" s="75">
        <f>SUMIF('caseload data'!$A:$A,"West Midlands Region",'caseload data'!G:G)</f>
        <v>0</v>
      </c>
      <c r="F16" s="75">
        <f>SUMIF('caseload data'!$A:$A,"West Midlands Region",'caseload data'!H:H)</f>
        <v>0</v>
      </c>
      <c r="G16" s="75">
        <f>SUMIF('caseload data'!$A:$A,"West Midlands Region",'caseload data'!I:I)</f>
        <v>0</v>
      </c>
      <c r="H16" s="75">
        <f>SUMIF('caseload data'!$A:$A,"West Midlands Region",'caseload data'!J:J)</f>
        <v>0</v>
      </c>
      <c r="I16" s="75">
        <f>SUMIF('caseload data'!$A:$A,"West Midlands Region",'caseload data'!K:K)</f>
        <v>0</v>
      </c>
      <c r="J16" s="75">
        <f>SUMIF('caseload data'!$A:$A,"West Midlands Region",'caseload data'!L:L)</f>
        <v>0</v>
      </c>
      <c r="K16" s="75">
        <f>SUMIF('caseload data'!$A:$A,"West Midlands Region",'caseload data'!M:M)</f>
        <v>0</v>
      </c>
      <c r="L16" s="75">
        <f>SUMIF('caseload data'!$A:$A,"West Midlands Region",'caseload data'!N:N)</f>
        <v>0</v>
      </c>
      <c r="M16" s="75">
        <f>SUMIF('caseload data'!$A:$A,"West Midlands Region",'caseload data'!O:O)</f>
        <v>0</v>
      </c>
      <c r="N16" s="75">
        <f>SUMIF('caseload data'!$A:$A,"West Midlands Region",'caseload data'!P:P)</f>
        <v>0</v>
      </c>
      <c r="O16" s="75">
        <f>SUMIF('caseload data'!$A:$A,"West Midlands Region",'caseload data'!Q:Q)</f>
        <v>0</v>
      </c>
      <c r="P16" s="75">
        <f>SUMIF('caseload data'!$A:$A,"West Midlands Region",'caseload data'!R:R)</f>
        <v>0</v>
      </c>
      <c r="Q16" s="75">
        <f>SUMIF('caseload data'!$A:$A,"West Midlands Region",'caseload data'!S:S)</f>
        <v>0</v>
      </c>
      <c r="R16" s="75">
        <f>SUMIF('caseload data'!$A:$A,"West Midlands Region",'caseload data'!T:T)</f>
        <v>0</v>
      </c>
      <c r="S16" s="75">
        <f>SUMIF('caseload data'!A:A,"West Midlands Region",'caseload data'!V:V)</f>
        <v>0</v>
      </c>
      <c r="T16" s="91"/>
      <c r="U16" s="141" t="s">
        <v>27</v>
      </c>
      <c r="V16" s="66" t="e">
        <f>C16/$S$16</f>
        <v>#DIV/0!</v>
      </c>
      <c r="W16" s="66" t="e">
        <f t="shared" ref="W16:AC16" si="64">D16/$S$16</f>
        <v>#DIV/0!</v>
      </c>
      <c r="X16" s="66" t="e">
        <f t="shared" si="64"/>
        <v>#DIV/0!</v>
      </c>
      <c r="Y16" s="66" t="e">
        <f t="shared" si="64"/>
        <v>#DIV/0!</v>
      </c>
      <c r="Z16" s="66" t="e">
        <f t="shared" si="64"/>
        <v>#DIV/0!</v>
      </c>
      <c r="AA16" s="66" t="e">
        <f t="shared" si="64"/>
        <v>#DIV/0!</v>
      </c>
      <c r="AB16" s="66" t="e">
        <f t="shared" si="64"/>
        <v>#DIV/0!</v>
      </c>
      <c r="AC16" s="66" t="e">
        <f t="shared" si="64"/>
        <v>#DIV/0!</v>
      </c>
      <c r="AD16" s="66" t="e">
        <f t="shared" ref="AD16" si="65">K16/$S$16</f>
        <v>#DIV/0!</v>
      </c>
      <c r="AE16" s="66" t="e">
        <f t="shared" ref="AE16" si="66">L16/$S$16</f>
        <v>#DIV/0!</v>
      </c>
      <c r="AF16" s="66" t="e">
        <f t="shared" ref="AF16" si="67">M16/$S$16</f>
        <v>#DIV/0!</v>
      </c>
      <c r="AG16" s="66" t="e">
        <f t="shared" ref="AG16" si="68">N16/$S$16</f>
        <v>#DIV/0!</v>
      </c>
      <c r="AH16" s="66" t="e">
        <f t="shared" ref="AH16" si="69">O16/$S$16</f>
        <v>#DIV/0!</v>
      </c>
      <c r="AI16" s="66" t="e">
        <f t="shared" ref="AI16:AJ16" si="70">P16/$S$16</f>
        <v>#DIV/0!</v>
      </c>
      <c r="AJ16" s="66" t="e">
        <f t="shared" si="70"/>
        <v>#DIV/0!</v>
      </c>
      <c r="AK16" s="66" t="e">
        <f t="shared" ref="AK16" si="71">R16/$S$16</f>
        <v>#DIV/0!</v>
      </c>
    </row>
    <row r="17" spans="2:37" x14ac:dyDescent="0.15">
      <c r="B17" s="141" t="s">
        <v>28</v>
      </c>
      <c r="C17" s="75">
        <f>SUMIF('caseload data'!$A:$A,"Yorkshire and The Humber",'caseload data'!E:E)</f>
        <v>0</v>
      </c>
      <c r="D17" s="75">
        <f>SUMIF('caseload data'!$A:$A,"Yorkshire and The Humber",'caseload data'!F:F)</f>
        <v>0</v>
      </c>
      <c r="E17" s="75">
        <f>SUMIF('caseload data'!$A:$A,"Yorkshire and The Humber",'caseload data'!G:G)</f>
        <v>0</v>
      </c>
      <c r="F17" s="75">
        <f>SUMIF('caseload data'!$A:$A,"Yorkshire and The Humber",'caseload data'!H:H)</f>
        <v>0</v>
      </c>
      <c r="G17" s="75">
        <f>SUMIF('caseload data'!$A:$A,"Yorkshire and The Humber",'caseload data'!I:I)</f>
        <v>0</v>
      </c>
      <c r="H17" s="75">
        <f>SUMIF('caseload data'!$A:$A,"Yorkshire and The Humber",'caseload data'!J:J)</f>
        <v>0</v>
      </c>
      <c r="I17" s="75">
        <f>SUMIF('caseload data'!$A:$A,"Yorkshire and The Humber",'caseload data'!K:K)</f>
        <v>0</v>
      </c>
      <c r="J17" s="75">
        <f>SUMIF('caseload data'!$A:$A,"Yorkshire and The Humber",'caseload data'!L:L)</f>
        <v>0</v>
      </c>
      <c r="K17" s="75">
        <f>SUMIF('caseload data'!$A:$A,"Yorkshire and The Humber",'caseload data'!M:M)</f>
        <v>0</v>
      </c>
      <c r="L17" s="75">
        <f>SUMIF('caseload data'!$A:$A,"Yorkshire and The Humber",'caseload data'!N:N)</f>
        <v>0</v>
      </c>
      <c r="M17" s="75">
        <f>SUMIF('caseload data'!$A:$A,"Yorkshire and The Humber",'caseload data'!O:O)</f>
        <v>0</v>
      </c>
      <c r="N17" s="75">
        <f>SUMIF('caseload data'!$A:$A,"Yorkshire and The Humber",'caseload data'!P:P)</f>
        <v>0</v>
      </c>
      <c r="O17" s="75">
        <f>SUMIF('caseload data'!$A:$A,"Yorkshire and The Humber",'caseload data'!Q:Q)</f>
        <v>0</v>
      </c>
      <c r="P17" s="75">
        <f>SUMIF('caseload data'!$A:$A,"Yorkshire and The Humber",'caseload data'!R:R)</f>
        <v>0</v>
      </c>
      <c r="Q17" s="75">
        <f>SUMIF('caseload data'!$A:$A,"Yorkshire and The Humber",'caseload data'!S:S)</f>
        <v>0</v>
      </c>
      <c r="R17" s="75">
        <f>SUMIF('caseload data'!$A:$A,"Yorkshire and The Humber",'caseload data'!T:T)</f>
        <v>0</v>
      </c>
      <c r="S17" s="75">
        <f>SUMIF('caseload data'!A:A,"Yorkshire and The Humber",'caseload data'!V:V)</f>
        <v>0</v>
      </c>
      <c r="T17" s="91"/>
      <c r="U17" s="141" t="s">
        <v>28</v>
      </c>
      <c r="V17" s="66" t="e">
        <f>C17/$S$17</f>
        <v>#DIV/0!</v>
      </c>
      <c r="W17" s="66" t="e">
        <f t="shared" ref="W17:AC17" si="72">D17/$S$17</f>
        <v>#DIV/0!</v>
      </c>
      <c r="X17" s="66" t="e">
        <f t="shared" si="72"/>
        <v>#DIV/0!</v>
      </c>
      <c r="Y17" s="66" t="e">
        <f t="shared" si="72"/>
        <v>#DIV/0!</v>
      </c>
      <c r="Z17" s="66" t="e">
        <f t="shared" si="72"/>
        <v>#DIV/0!</v>
      </c>
      <c r="AA17" s="66" t="e">
        <f t="shared" si="72"/>
        <v>#DIV/0!</v>
      </c>
      <c r="AB17" s="66" t="e">
        <f t="shared" si="72"/>
        <v>#DIV/0!</v>
      </c>
      <c r="AC17" s="66" t="e">
        <f t="shared" si="72"/>
        <v>#DIV/0!</v>
      </c>
      <c r="AD17" s="66" t="e">
        <f t="shared" ref="AD17" si="73">K17/$S$17</f>
        <v>#DIV/0!</v>
      </c>
      <c r="AE17" s="66" t="e">
        <f t="shared" ref="AE17" si="74">L17/$S$17</f>
        <v>#DIV/0!</v>
      </c>
      <c r="AF17" s="66" t="e">
        <f t="shared" ref="AF17" si="75">M17/$S$17</f>
        <v>#DIV/0!</v>
      </c>
      <c r="AG17" s="66" t="e">
        <f t="shared" ref="AG17" si="76">N17/$S$17</f>
        <v>#DIV/0!</v>
      </c>
      <c r="AH17" s="66" t="e">
        <f t="shared" ref="AH17" si="77">O17/$S$17</f>
        <v>#DIV/0!</v>
      </c>
      <c r="AI17" s="66" t="e">
        <f t="shared" ref="AI17:AJ17" si="78">P17/$S$17</f>
        <v>#DIV/0!</v>
      </c>
      <c r="AJ17" s="66" t="e">
        <f t="shared" si="78"/>
        <v>#DIV/0!</v>
      </c>
      <c r="AK17" s="66" t="e">
        <f t="shared" ref="AK17" si="79">R17/$S$17</f>
        <v>#DIV/0!</v>
      </c>
    </row>
    <row r="18" spans="2:37" x14ac:dyDescent="0.15">
      <c r="B18" s="110" t="s">
        <v>1030</v>
      </c>
      <c r="C18" s="110">
        <f>SUM('caseload data'!E:E)</f>
        <v>0</v>
      </c>
      <c r="D18" s="110">
        <f>SUM('caseload data'!F:F)</f>
        <v>0</v>
      </c>
      <c r="E18" s="110">
        <f>SUM('caseload data'!G:G)</f>
        <v>0</v>
      </c>
      <c r="F18" s="110">
        <f>SUM('caseload data'!H:H)</f>
        <v>0</v>
      </c>
      <c r="G18" s="110">
        <f>SUM('caseload data'!I:I)</f>
        <v>0</v>
      </c>
      <c r="H18" s="110">
        <f>SUM('caseload data'!J:J)</f>
        <v>0</v>
      </c>
      <c r="I18" s="110">
        <f>SUM('caseload data'!K:K)</f>
        <v>0</v>
      </c>
      <c r="J18" s="110">
        <f>SUM('caseload data'!L:L)</f>
        <v>0</v>
      </c>
      <c r="K18" s="110">
        <f>SUM('caseload data'!M:M)</f>
        <v>0</v>
      </c>
      <c r="L18" s="110">
        <f>SUM('caseload data'!N:N)</f>
        <v>0</v>
      </c>
      <c r="M18" s="110">
        <f>SUM('caseload data'!O:O)</f>
        <v>0</v>
      </c>
      <c r="N18" s="110">
        <f>SUM('caseload data'!P:P)</f>
        <v>0</v>
      </c>
      <c r="O18" s="110">
        <f>SUM('caseload data'!Q:Q)</f>
        <v>0</v>
      </c>
      <c r="P18" s="110">
        <f>SUM('caseload data'!R:R)</f>
        <v>0</v>
      </c>
      <c r="Q18" s="110">
        <f>SUM('caseload data'!S:S)</f>
        <v>0</v>
      </c>
      <c r="R18" s="110">
        <f>SUM('caseload data'!T:T)</f>
        <v>0</v>
      </c>
      <c r="S18" s="110">
        <f>SUM('caseload data'!V:V)</f>
        <v>0</v>
      </c>
      <c r="T18" s="91"/>
      <c r="U18" s="110" t="s">
        <v>831</v>
      </c>
      <c r="V18" s="115" t="e">
        <f>C18/$S$18</f>
        <v>#DIV/0!</v>
      </c>
      <c r="W18" s="115" t="e">
        <f t="shared" ref="W18:AA18" si="80">D18/$S$18</f>
        <v>#DIV/0!</v>
      </c>
      <c r="X18" s="115" t="e">
        <f t="shared" si="80"/>
        <v>#DIV/0!</v>
      </c>
      <c r="Y18" s="115" t="e">
        <f t="shared" si="80"/>
        <v>#DIV/0!</v>
      </c>
      <c r="Z18" s="115" t="e">
        <f t="shared" si="80"/>
        <v>#DIV/0!</v>
      </c>
      <c r="AA18" s="115" t="e">
        <f t="shared" si="80"/>
        <v>#DIV/0!</v>
      </c>
      <c r="AB18" s="115" t="e">
        <f>I18/$S$18</f>
        <v>#DIV/0!</v>
      </c>
      <c r="AC18" s="115" t="e">
        <f t="shared" ref="AC18:AK18" si="81">J18/$S$18</f>
        <v>#DIV/0!</v>
      </c>
      <c r="AD18" s="115" t="e">
        <f t="shared" si="81"/>
        <v>#DIV/0!</v>
      </c>
      <c r="AE18" s="115" t="e">
        <f t="shared" si="81"/>
        <v>#DIV/0!</v>
      </c>
      <c r="AF18" s="115" t="e">
        <f t="shared" si="81"/>
        <v>#DIV/0!</v>
      </c>
      <c r="AG18" s="115" t="e">
        <f t="shared" si="81"/>
        <v>#DIV/0!</v>
      </c>
      <c r="AH18" s="115" t="e">
        <f t="shared" si="81"/>
        <v>#DIV/0!</v>
      </c>
      <c r="AI18" s="115" t="e">
        <f t="shared" si="81"/>
        <v>#DIV/0!</v>
      </c>
      <c r="AJ18" s="115" t="e">
        <f t="shared" si="81"/>
        <v>#DIV/0!</v>
      </c>
      <c r="AK18" s="115" t="e">
        <f t="shared" si="81"/>
        <v>#DIV/0!</v>
      </c>
    </row>
    <row r="21" spans="2:37" ht="21.75" customHeight="1" x14ac:dyDescent="0.2">
      <c r="C21" s="534" t="s">
        <v>1031</v>
      </c>
      <c r="D21" s="535"/>
      <c r="E21" s="535"/>
      <c r="F21" s="535"/>
      <c r="G21" s="535"/>
      <c r="H21" s="535"/>
      <c r="I21" s="535"/>
      <c r="J21" s="535"/>
      <c r="K21" s="535"/>
      <c r="L21" s="535"/>
      <c r="M21" s="535"/>
      <c r="N21" s="535"/>
      <c r="O21" s="535"/>
      <c r="P21" s="535"/>
      <c r="Q21" s="535"/>
      <c r="R21" s="535"/>
      <c r="S21" s="539"/>
      <c r="T21" s="1"/>
      <c r="U21" s="1"/>
      <c r="V21" s="534" t="s">
        <v>1032</v>
      </c>
      <c r="W21" s="535"/>
      <c r="X21" s="535"/>
      <c r="Y21" s="535"/>
      <c r="Z21" s="535"/>
      <c r="AA21" s="535"/>
      <c r="AB21" s="535"/>
      <c r="AC21" s="535"/>
      <c r="AD21" s="535"/>
      <c r="AE21" s="535"/>
      <c r="AF21" s="535"/>
      <c r="AG21" s="535"/>
      <c r="AH21" s="535"/>
      <c r="AI21" s="535"/>
      <c r="AJ21" s="535"/>
      <c r="AK21" s="535"/>
    </row>
    <row r="22" spans="2:37" x14ac:dyDescent="0.15">
      <c r="B22" s="140"/>
      <c r="C22" s="38" t="s">
        <v>814</v>
      </c>
      <c r="D22" s="38" t="s">
        <v>815</v>
      </c>
      <c r="E22" s="38" t="s">
        <v>816</v>
      </c>
      <c r="F22" s="38" t="s">
        <v>817</v>
      </c>
      <c r="G22" s="38" t="s">
        <v>818</v>
      </c>
      <c r="H22" s="38" t="s">
        <v>819</v>
      </c>
      <c r="I22" s="38" t="s">
        <v>820</v>
      </c>
      <c r="J22" s="38" t="s">
        <v>821</v>
      </c>
      <c r="K22" s="38" t="s">
        <v>822</v>
      </c>
      <c r="L22" s="38" t="s">
        <v>823</v>
      </c>
      <c r="M22" s="38" t="s">
        <v>824</v>
      </c>
      <c r="N22" s="38" t="s">
        <v>825</v>
      </c>
      <c r="O22" s="38" t="s">
        <v>826</v>
      </c>
      <c r="P22" s="38" t="s">
        <v>827</v>
      </c>
      <c r="Q22" s="38" t="s">
        <v>828</v>
      </c>
      <c r="R22" s="38" t="s">
        <v>829</v>
      </c>
      <c r="S22" s="39" t="s">
        <v>831</v>
      </c>
      <c r="U22" s="232"/>
      <c r="V22" s="38" t="s">
        <v>814</v>
      </c>
      <c r="W22" s="38" t="s">
        <v>815</v>
      </c>
      <c r="X22" s="38" t="s">
        <v>816</v>
      </c>
      <c r="Y22" s="38" t="s">
        <v>817</v>
      </c>
      <c r="Z22" s="38" t="s">
        <v>818</v>
      </c>
      <c r="AA22" s="38" t="s">
        <v>819</v>
      </c>
      <c r="AB22" s="38" t="s">
        <v>820</v>
      </c>
      <c r="AC22" s="38" t="s">
        <v>821</v>
      </c>
      <c r="AD22" s="38" t="s">
        <v>822</v>
      </c>
      <c r="AE22" s="38" t="s">
        <v>823</v>
      </c>
      <c r="AF22" s="38" t="s">
        <v>824</v>
      </c>
      <c r="AG22" s="38" t="s">
        <v>825</v>
      </c>
      <c r="AH22" s="38" t="s">
        <v>826</v>
      </c>
      <c r="AI22" s="38" t="s">
        <v>827</v>
      </c>
      <c r="AJ22" s="38" t="s">
        <v>828</v>
      </c>
      <c r="AK22" s="38" t="s">
        <v>829</v>
      </c>
    </row>
    <row r="23" spans="2:37" x14ac:dyDescent="0.15">
      <c r="B23" s="141" t="s">
        <v>17</v>
      </c>
      <c r="C23" s="75">
        <f>SUMIFS('caseload data'!E:E,'caseload data'!$A:$A,$B23,'caseload data'!$B:$B,"custody")</f>
        <v>0</v>
      </c>
      <c r="D23" s="75">
        <f>SUMIFS('caseload data'!F:F,'caseload data'!$A:$A,$B23,'caseload data'!$B:$B,"custody")</f>
        <v>0</v>
      </c>
      <c r="E23" s="75">
        <f>SUMIFS('caseload data'!G:G,'caseload data'!$A:$A,$B23,'caseload data'!$B:$B,"custody")</f>
        <v>0</v>
      </c>
      <c r="F23" s="75">
        <f>SUMIFS('caseload data'!H:H,'caseload data'!$A:$A,$B23,'caseload data'!$B:$B,"custody")</f>
        <v>0</v>
      </c>
      <c r="G23" s="75">
        <f>SUMIFS('caseload data'!I:I,'caseload data'!$A:$A,$B23,'caseload data'!$B:$B,"custody")</f>
        <v>0</v>
      </c>
      <c r="H23" s="75">
        <f>SUMIFS('caseload data'!J:J,'caseload data'!$A:$A,$B23,'caseload data'!$B:$B,"custody")</f>
        <v>0</v>
      </c>
      <c r="I23" s="75">
        <f>SUMIFS('caseload data'!K:K,'caseload data'!$A:$A,$B23,'caseload data'!$B:$B,"custody")</f>
        <v>0</v>
      </c>
      <c r="J23" s="75">
        <f>SUMIFS('caseload data'!L:L,'caseload data'!$A:$A,$B23,'caseload data'!$B:$B,"custody")</f>
        <v>0</v>
      </c>
      <c r="K23" s="75">
        <f>SUMIFS('caseload data'!M:M,'caseload data'!$A:$A,$B23,'caseload data'!$B:$B,"custody")</f>
        <v>0</v>
      </c>
      <c r="L23" s="75">
        <f>SUMIFS('caseload data'!N:N,'caseload data'!$A:$A,$B23,'caseload data'!$B:$B,"custody")</f>
        <v>0</v>
      </c>
      <c r="M23" s="75">
        <f>SUMIFS('caseload data'!O:O,'caseload data'!$A:$A,$B23,'caseload data'!$B:$B,"custody")</f>
        <v>0</v>
      </c>
      <c r="N23" s="75">
        <f>SUMIFS('caseload data'!P:P,'caseload data'!$A:$A,$B23,'caseload data'!$B:$B,"custody")</f>
        <v>0</v>
      </c>
      <c r="O23" s="75">
        <f>SUMIFS('caseload data'!Q:Q,'caseload data'!$A:$A,$B23,'caseload data'!$B:$B,"custody")</f>
        <v>0</v>
      </c>
      <c r="P23" s="75">
        <f>SUMIFS('caseload data'!R:R,'caseload data'!$A:$A,$B23,'caseload data'!$B:$B,"custody")</f>
        <v>0</v>
      </c>
      <c r="Q23" s="75">
        <f>SUMIFS('caseload data'!S:S,'caseload data'!$A:$A,$B23,'caseload data'!$B:$B,"custody")</f>
        <v>0</v>
      </c>
      <c r="R23" s="75">
        <f>SUMIFS('caseload data'!T:T,'caseload data'!$A:$A,$B23,'caseload data'!$B:$B,"custody")</f>
        <v>0</v>
      </c>
      <c r="S23" s="75">
        <f>SUMIFS('caseload data'!V:V,'caseload data'!$A:$A,B23,'caseload data'!$B:$B,"custody")</f>
        <v>0</v>
      </c>
      <c r="T23" s="91"/>
      <c r="U23" s="141" t="s">
        <v>17</v>
      </c>
      <c r="V23" s="66" t="e">
        <f>C23/$S$23</f>
        <v>#DIV/0!</v>
      </c>
      <c r="W23" s="66" t="e">
        <f t="shared" ref="W23:AB23" si="82">D23/$S$23</f>
        <v>#DIV/0!</v>
      </c>
      <c r="X23" s="66" t="e">
        <f t="shared" si="82"/>
        <v>#DIV/0!</v>
      </c>
      <c r="Y23" s="66" t="e">
        <f t="shared" si="82"/>
        <v>#DIV/0!</v>
      </c>
      <c r="Z23" s="66" t="e">
        <f t="shared" si="82"/>
        <v>#DIV/0!</v>
      </c>
      <c r="AA23" s="66" t="e">
        <f t="shared" si="82"/>
        <v>#DIV/0!</v>
      </c>
      <c r="AB23" s="66" t="e">
        <f t="shared" si="82"/>
        <v>#DIV/0!</v>
      </c>
      <c r="AC23" s="66" t="e">
        <f t="shared" ref="AC23" si="83">J23/$S$23</f>
        <v>#DIV/0!</v>
      </c>
      <c r="AD23" s="66" t="e">
        <f t="shared" ref="AD23" si="84">K23/$S$23</f>
        <v>#DIV/0!</v>
      </c>
      <c r="AE23" s="66" t="e">
        <f t="shared" ref="AE23" si="85">L23/$S$23</f>
        <v>#DIV/0!</v>
      </c>
      <c r="AF23" s="66" t="e">
        <f t="shared" ref="AF23" si="86">M23/$S$23</f>
        <v>#DIV/0!</v>
      </c>
      <c r="AG23" s="66" t="e">
        <f t="shared" ref="AG23:AH23" si="87">N23/$S$23</f>
        <v>#DIV/0!</v>
      </c>
      <c r="AH23" s="66" t="e">
        <f t="shared" si="87"/>
        <v>#DIV/0!</v>
      </c>
      <c r="AI23" s="66" t="e">
        <f t="shared" ref="AI23" si="88">P23/$S$23</f>
        <v>#DIV/0!</v>
      </c>
      <c r="AJ23" s="66" t="e">
        <f t="shared" ref="AJ23" si="89">Q23/$S$23</f>
        <v>#DIV/0!</v>
      </c>
      <c r="AK23" s="66" t="e">
        <f t="shared" ref="AK23" si="90">R23/$S$23</f>
        <v>#DIV/0!</v>
      </c>
    </row>
    <row r="24" spans="2:37" x14ac:dyDescent="0.15">
      <c r="B24" s="141" t="s">
        <v>18</v>
      </c>
      <c r="C24" s="75">
        <f>SUMIFS('caseload data'!E:E,'caseload data'!$A:$A,$B24,'caseload data'!$B:$B,"custody")</f>
        <v>0</v>
      </c>
      <c r="D24" s="75">
        <f>SUMIFS('caseload data'!F:F,'caseload data'!$A:$A,$B24,'caseload data'!$B:$B,"custody")</f>
        <v>0</v>
      </c>
      <c r="E24" s="75">
        <f>SUMIFS('caseload data'!G:G,'caseload data'!$A:$A,$B24,'caseload data'!$B:$B,"custody")</f>
        <v>0</v>
      </c>
      <c r="F24" s="75">
        <f>SUMIFS('caseload data'!H:H,'caseload data'!$A:$A,$B24,'caseload data'!$B:$B,"custody")</f>
        <v>0</v>
      </c>
      <c r="G24" s="75">
        <f>SUMIFS('caseload data'!I:I,'caseload data'!$A:$A,$B24,'caseload data'!$B:$B,"custody")</f>
        <v>0</v>
      </c>
      <c r="H24" s="75">
        <f>SUMIFS('caseload data'!J:J,'caseload data'!$A:$A,$B24,'caseload data'!$B:$B,"custody")</f>
        <v>0</v>
      </c>
      <c r="I24" s="75">
        <f>SUMIFS('caseload data'!K:K,'caseload data'!$A:$A,$B24,'caseload data'!$B:$B,"custody")</f>
        <v>0</v>
      </c>
      <c r="J24" s="75">
        <f>SUMIFS('caseload data'!L:L,'caseload data'!$A:$A,$B24,'caseload data'!$B:$B,"custody")</f>
        <v>0</v>
      </c>
      <c r="K24" s="75">
        <f>SUMIFS('caseload data'!M:M,'caseload data'!$A:$A,$B24,'caseload data'!$B:$B,"custody")</f>
        <v>0</v>
      </c>
      <c r="L24" s="75">
        <f>SUMIFS('caseload data'!N:N,'caseload data'!$A:$A,$B24,'caseload data'!$B:$B,"custody")</f>
        <v>0</v>
      </c>
      <c r="M24" s="75">
        <f>SUMIFS('caseload data'!O:O,'caseload data'!$A:$A,$B24,'caseload data'!$B:$B,"custody")</f>
        <v>0</v>
      </c>
      <c r="N24" s="75">
        <f>SUMIFS('caseload data'!P:P,'caseload data'!$A:$A,$B24,'caseload data'!$B:$B,"custody")</f>
        <v>0</v>
      </c>
      <c r="O24" s="75">
        <f>SUMIFS('caseload data'!Q:Q,'caseload data'!$A:$A,$B24,'caseload data'!$B:$B,"custody")</f>
        <v>0</v>
      </c>
      <c r="P24" s="75">
        <f>SUMIFS('caseload data'!R:R,'caseload data'!$A:$A,$B24,'caseload data'!$B:$B,"custody")</f>
        <v>0</v>
      </c>
      <c r="Q24" s="75">
        <f>SUMIFS('caseload data'!S:S,'caseload data'!$A:$A,$B24,'caseload data'!$B:$B,"custody")</f>
        <v>0</v>
      </c>
      <c r="R24" s="75">
        <f>SUMIFS('caseload data'!T:T,'caseload data'!$A:$A,$B24,'caseload data'!$B:$B,"custody")</f>
        <v>0</v>
      </c>
      <c r="S24" s="75">
        <f>SUMIFS('caseload data'!V:V,'caseload data'!$A:$A,B24,'caseload data'!$B:$B,"custody")</f>
        <v>0</v>
      </c>
      <c r="T24" s="91"/>
      <c r="U24" s="141" t="s">
        <v>18</v>
      </c>
      <c r="V24" s="66" t="e">
        <f>C24/$S$24</f>
        <v>#DIV/0!</v>
      </c>
      <c r="W24" s="66" t="e">
        <f t="shared" ref="W24:AB24" si="91">D24/$S$24</f>
        <v>#DIV/0!</v>
      </c>
      <c r="X24" s="66" t="e">
        <f t="shared" si="91"/>
        <v>#DIV/0!</v>
      </c>
      <c r="Y24" s="66" t="e">
        <f t="shared" si="91"/>
        <v>#DIV/0!</v>
      </c>
      <c r="Z24" s="66" t="e">
        <f t="shared" si="91"/>
        <v>#DIV/0!</v>
      </c>
      <c r="AA24" s="66" t="e">
        <f t="shared" si="91"/>
        <v>#DIV/0!</v>
      </c>
      <c r="AB24" s="66" t="e">
        <f t="shared" si="91"/>
        <v>#DIV/0!</v>
      </c>
      <c r="AC24" s="66" t="e">
        <f t="shared" ref="AC24" si="92">J24/$S$24</f>
        <v>#DIV/0!</v>
      </c>
      <c r="AD24" s="66" t="e">
        <f t="shared" ref="AD24" si="93">K24/$S$24</f>
        <v>#DIV/0!</v>
      </c>
      <c r="AE24" s="66" t="e">
        <f t="shared" ref="AE24" si="94">L24/$S$24</f>
        <v>#DIV/0!</v>
      </c>
      <c r="AF24" s="66" t="e">
        <f t="shared" ref="AF24" si="95">M24/$S$24</f>
        <v>#DIV/0!</v>
      </c>
      <c r="AG24" s="66" t="e">
        <f t="shared" ref="AG24:AH24" si="96">N24/$S$24</f>
        <v>#DIV/0!</v>
      </c>
      <c r="AH24" s="66" t="e">
        <f t="shared" si="96"/>
        <v>#DIV/0!</v>
      </c>
      <c r="AI24" s="66" t="e">
        <f t="shared" ref="AI24" si="97">P24/$S$24</f>
        <v>#DIV/0!</v>
      </c>
      <c r="AJ24" s="66" t="e">
        <f t="shared" ref="AJ24" si="98">Q24/$S$24</f>
        <v>#DIV/0!</v>
      </c>
      <c r="AK24" s="66" t="e">
        <f t="shared" ref="AK24" si="99">R24/$S$24</f>
        <v>#DIV/0!</v>
      </c>
    </row>
    <row r="25" spans="2:37" x14ac:dyDescent="0.15">
      <c r="B25" s="141" t="s">
        <v>19</v>
      </c>
      <c r="C25" s="75">
        <f>SUMIFS('caseload data'!E:E,'caseload data'!$A:$A,$B25,'caseload data'!$B:$B,"custody")</f>
        <v>0</v>
      </c>
      <c r="D25" s="75">
        <f>SUMIFS('caseload data'!F:F,'caseload data'!$A:$A,$B25,'caseload data'!$B:$B,"custody")</f>
        <v>0</v>
      </c>
      <c r="E25" s="75">
        <f>SUMIFS('caseload data'!G:G,'caseload data'!$A:$A,$B25,'caseload data'!$B:$B,"custody")</f>
        <v>0</v>
      </c>
      <c r="F25" s="75">
        <f>SUMIFS('caseload data'!H:H,'caseload data'!$A:$A,$B25,'caseload data'!$B:$B,"custody")</f>
        <v>0</v>
      </c>
      <c r="G25" s="75">
        <f>SUMIFS('caseload data'!I:I,'caseload data'!$A:$A,$B25,'caseload data'!$B:$B,"custody")</f>
        <v>0</v>
      </c>
      <c r="H25" s="75">
        <f>SUMIFS('caseload data'!J:J,'caseload data'!$A:$A,$B25,'caseload data'!$B:$B,"custody")</f>
        <v>0</v>
      </c>
      <c r="I25" s="75">
        <f>SUMIFS('caseload data'!K:K,'caseload data'!$A:$A,$B25,'caseload data'!$B:$B,"custody")</f>
        <v>0</v>
      </c>
      <c r="J25" s="75">
        <f>SUMIFS('caseload data'!L:L,'caseload data'!$A:$A,$B25,'caseload data'!$B:$B,"custody")</f>
        <v>0</v>
      </c>
      <c r="K25" s="75">
        <f>SUMIFS('caseload data'!M:M,'caseload data'!$A:$A,$B25,'caseload data'!$B:$B,"custody")</f>
        <v>0</v>
      </c>
      <c r="L25" s="75">
        <f>SUMIFS('caseload data'!N:N,'caseload data'!$A:$A,$B25,'caseload data'!$B:$B,"custody")</f>
        <v>0</v>
      </c>
      <c r="M25" s="75">
        <f>SUMIFS('caseload data'!O:O,'caseload data'!$A:$A,$B25,'caseload data'!$B:$B,"custody")</f>
        <v>0</v>
      </c>
      <c r="N25" s="75">
        <f>SUMIFS('caseload data'!P:P,'caseload data'!$A:$A,$B25,'caseload data'!$B:$B,"custody")</f>
        <v>0</v>
      </c>
      <c r="O25" s="75">
        <f>SUMIFS('caseload data'!Q:Q,'caseload data'!$A:$A,$B25,'caseload data'!$B:$B,"custody")</f>
        <v>0</v>
      </c>
      <c r="P25" s="75">
        <f>SUMIFS('caseload data'!R:R,'caseload data'!$A:$A,$B25,'caseload data'!$B:$B,"custody")</f>
        <v>0</v>
      </c>
      <c r="Q25" s="75">
        <f>SUMIFS('caseload data'!S:S,'caseload data'!$A:$A,$B25,'caseload data'!$B:$B,"custody")</f>
        <v>0</v>
      </c>
      <c r="R25" s="75">
        <f>SUMIFS('caseload data'!T:T,'caseload data'!$A:$A,$B25,'caseload data'!$B:$B,"custody")</f>
        <v>0</v>
      </c>
      <c r="S25" s="75">
        <f>SUMIFS('caseload data'!V:V,'caseload data'!$A:$A,B25,'caseload data'!$B:$B,"custody")</f>
        <v>0</v>
      </c>
      <c r="T25" s="91"/>
      <c r="U25" s="141" t="s">
        <v>19</v>
      </c>
      <c r="V25" s="66" t="e">
        <f>C25/$S$25</f>
        <v>#DIV/0!</v>
      </c>
      <c r="W25" s="66" t="e">
        <f t="shared" ref="W25:AB25" si="100">D25/$S$25</f>
        <v>#DIV/0!</v>
      </c>
      <c r="X25" s="66" t="e">
        <f t="shared" si="100"/>
        <v>#DIV/0!</v>
      </c>
      <c r="Y25" s="66" t="e">
        <f t="shared" si="100"/>
        <v>#DIV/0!</v>
      </c>
      <c r="Z25" s="66" t="e">
        <f t="shared" si="100"/>
        <v>#DIV/0!</v>
      </c>
      <c r="AA25" s="66" t="e">
        <f t="shared" si="100"/>
        <v>#DIV/0!</v>
      </c>
      <c r="AB25" s="66" t="e">
        <f t="shared" si="100"/>
        <v>#DIV/0!</v>
      </c>
      <c r="AC25" s="66" t="e">
        <f t="shared" ref="AC25" si="101">J25/$S$25</f>
        <v>#DIV/0!</v>
      </c>
      <c r="AD25" s="66" t="e">
        <f t="shared" ref="AD25" si="102">K25/$S$25</f>
        <v>#DIV/0!</v>
      </c>
      <c r="AE25" s="66" t="e">
        <f t="shared" ref="AE25" si="103">L25/$S$25</f>
        <v>#DIV/0!</v>
      </c>
      <c r="AF25" s="66" t="e">
        <f t="shared" ref="AF25" si="104">M25/$S$25</f>
        <v>#DIV/0!</v>
      </c>
      <c r="AG25" s="66" t="e">
        <f t="shared" ref="AG25:AH25" si="105">N25/$S$25</f>
        <v>#DIV/0!</v>
      </c>
      <c r="AH25" s="66" t="e">
        <f t="shared" si="105"/>
        <v>#DIV/0!</v>
      </c>
      <c r="AI25" s="66" t="e">
        <f t="shared" ref="AI25" si="106">P25/$S$25</f>
        <v>#DIV/0!</v>
      </c>
      <c r="AJ25" s="66" t="e">
        <f t="shared" ref="AJ25" si="107">Q25/$S$25</f>
        <v>#DIV/0!</v>
      </c>
      <c r="AK25" s="66" t="e">
        <f t="shared" ref="AK25" si="108">R25/$S$25</f>
        <v>#DIV/0!</v>
      </c>
    </row>
    <row r="26" spans="2:37" x14ac:dyDescent="0.15">
      <c r="B26" s="141" t="s">
        <v>20</v>
      </c>
      <c r="C26" s="75">
        <f>SUMIFS('caseload data'!E:E,'caseload data'!$A:$A,$B26,'caseload data'!$B:$B,"custody")</f>
        <v>0</v>
      </c>
      <c r="D26" s="75">
        <f>SUMIFS('caseload data'!F:F,'caseload data'!$A:$A,$B26,'caseload data'!$B:$B,"custody")</f>
        <v>0</v>
      </c>
      <c r="E26" s="75">
        <f>SUMIFS('caseload data'!G:G,'caseload data'!$A:$A,$B26,'caseload data'!$B:$B,"custody")</f>
        <v>0</v>
      </c>
      <c r="F26" s="75">
        <f>SUMIFS('caseload data'!H:H,'caseload data'!$A:$A,$B26,'caseload data'!$B:$B,"custody")</f>
        <v>0</v>
      </c>
      <c r="G26" s="75">
        <f>SUMIFS('caseload data'!I:I,'caseload data'!$A:$A,$B26,'caseload data'!$B:$B,"custody")</f>
        <v>0</v>
      </c>
      <c r="H26" s="75">
        <f>SUMIFS('caseload data'!J:J,'caseload data'!$A:$A,$B26,'caseload data'!$B:$B,"custody")</f>
        <v>0</v>
      </c>
      <c r="I26" s="75">
        <f>SUMIFS('caseload data'!K:K,'caseload data'!$A:$A,$B26,'caseload data'!$B:$B,"custody")</f>
        <v>0</v>
      </c>
      <c r="J26" s="75">
        <f>SUMIFS('caseload data'!L:L,'caseload data'!$A:$A,$B26,'caseload data'!$B:$B,"custody")</f>
        <v>0</v>
      </c>
      <c r="K26" s="75">
        <f>SUMIFS('caseload data'!M:M,'caseload data'!$A:$A,$B26,'caseload data'!$B:$B,"custody")</f>
        <v>0</v>
      </c>
      <c r="L26" s="75">
        <f>SUMIFS('caseload data'!N:N,'caseload data'!$A:$A,$B26,'caseload data'!$B:$B,"custody")</f>
        <v>0</v>
      </c>
      <c r="M26" s="75">
        <f>SUMIFS('caseload data'!O:O,'caseload data'!$A:$A,$B26,'caseload data'!$B:$B,"custody")</f>
        <v>0</v>
      </c>
      <c r="N26" s="75">
        <f>SUMIFS('caseload data'!P:P,'caseload data'!$A:$A,$B26,'caseload data'!$B:$B,"custody")</f>
        <v>0</v>
      </c>
      <c r="O26" s="75">
        <f>SUMIFS('caseload data'!Q:Q,'caseload data'!$A:$A,$B26,'caseload data'!$B:$B,"custody")</f>
        <v>0</v>
      </c>
      <c r="P26" s="75">
        <f>SUMIFS('caseload data'!R:R,'caseload data'!$A:$A,$B26,'caseload data'!$B:$B,"custody")</f>
        <v>0</v>
      </c>
      <c r="Q26" s="75">
        <f>SUMIFS('caseload data'!S:S,'caseload data'!$A:$A,$B26,'caseload data'!$B:$B,"custody")</f>
        <v>0</v>
      </c>
      <c r="R26" s="75">
        <f>SUMIFS('caseload data'!T:T,'caseload data'!$A:$A,$B26,'caseload data'!$B:$B,"custody")</f>
        <v>0</v>
      </c>
      <c r="S26" s="75">
        <f>SUMIFS('caseload data'!V:V,'caseload data'!$A:$A,B26,'caseload data'!$B:$B,"custody")</f>
        <v>0</v>
      </c>
      <c r="T26" s="91"/>
      <c r="U26" s="141" t="s">
        <v>20</v>
      </c>
      <c r="V26" s="66" t="e">
        <f>C26/$S$26</f>
        <v>#DIV/0!</v>
      </c>
      <c r="W26" s="66" t="e">
        <f t="shared" ref="W26:AB26" si="109">D26/$S$26</f>
        <v>#DIV/0!</v>
      </c>
      <c r="X26" s="66" t="e">
        <f t="shared" si="109"/>
        <v>#DIV/0!</v>
      </c>
      <c r="Y26" s="66" t="e">
        <f t="shared" si="109"/>
        <v>#DIV/0!</v>
      </c>
      <c r="Z26" s="66" t="e">
        <f t="shared" si="109"/>
        <v>#DIV/0!</v>
      </c>
      <c r="AA26" s="66" t="e">
        <f t="shared" si="109"/>
        <v>#DIV/0!</v>
      </c>
      <c r="AB26" s="66" t="e">
        <f t="shared" si="109"/>
        <v>#DIV/0!</v>
      </c>
      <c r="AC26" s="66" t="e">
        <f t="shared" ref="AC26" si="110">J26/$S$26</f>
        <v>#DIV/0!</v>
      </c>
      <c r="AD26" s="66" t="e">
        <f t="shared" ref="AD26" si="111">K26/$S$26</f>
        <v>#DIV/0!</v>
      </c>
      <c r="AE26" s="66" t="e">
        <f t="shared" ref="AE26" si="112">L26/$S$26</f>
        <v>#DIV/0!</v>
      </c>
      <c r="AF26" s="66" t="e">
        <f t="shared" ref="AF26" si="113">M26/$S$26</f>
        <v>#DIV/0!</v>
      </c>
      <c r="AG26" s="66" t="e">
        <f t="shared" ref="AG26:AH26" si="114">N26/$S$26</f>
        <v>#DIV/0!</v>
      </c>
      <c r="AH26" s="66" t="e">
        <f t="shared" si="114"/>
        <v>#DIV/0!</v>
      </c>
      <c r="AI26" s="66" t="e">
        <f t="shared" ref="AI26" si="115">P26/$S$26</f>
        <v>#DIV/0!</v>
      </c>
      <c r="AJ26" s="66" t="e">
        <f t="shared" ref="AJ26" si="116">Q26/$S$26</f>
        <v>#DIV/0!</v>
      </c>
      <c r="AK26" s="66" t="e">
        <f t="shared" ref="AK26" si="117">R26/$S$26</f>
        <v>#DIV/0!</v>
      </c>
    </row>
    <row r="27" spans="2:37" x14ac:dyDescent="0.15">
      <c r="B27" s="141" t="s">
        <v>21</v>
      </c>
      <c r="C27" s="75">
        <f>SUMIFS('caseload data'!E:E,'caseload data'!$A:$A,$B27,'caseload data'!$B:$B,"custody")</f>
        <v>0</v>
      </c>
      <c r="D27" s="75">
        <f>SUMIFS('caseload data'!F:F,'caseload data'!$A:$A,$B27,'caseload data'!$B:$B,"custody")</f>
        <v>0</v>
      </c>
      <c r="E27" s="75">
        <f>SUMIFS('caseload data'!G:G,'caseload data'!$A:$A,$B27,'caseload data'!$B:$B,"custody")</f>
        <v>0</v>
      </c>
      <c r="F27" s="75">
        <f>SUMIFS('caseload data'!H:H,'caseload data'!$A:$A,$B27,'caseload data'!$B:$B,"custody")</f>
        <v>0</v>
      </c>
      <c r="G27" s="75">
        <f>SUMIFS('caseload data'!I:I,'caseload data'!$A:$A,$B27,'caseload data'!$B:$B,"custody")</f>
        <v>0</v>
      </c>
      <c r="H27" s="75">
        <f>SUMIFS('caseload data'!J:J,'caseload data'!$A:$A,$B27,'caseload data'!$B:$B,"custody")</f>
        <v>0</v>
      </c>
      <c r="I27" s="75">
        <f>SUMIFS('caseload data'!K:K,'caseload data'!$A:$A,$B27,'caseload data'!$B:$B,"custody")</f>
        <v>0</v>
      </c>
      <c r="J27" s="75">
        <f>SUMIFS('caseload data'!L:L,'caseload data'!$A:$A,$B27,'caseload data'!$B:$B,"custody")</f>
        <v>0</v>
      </c>
      <c r="K27" s="75">
        <f>SUMIFS('caseload data'!M:M,'caseload data'!$A:$A,$B27,'caseload data'!$B:$B,"custody")</f>
        <v>0</v>
      </c>
      <c r="L27" s="75">
        <f>SUMIFS('caseload data'!N:N,'caseload data'!$A:$A,$B27,'caseload data'!$B:$B,"custody")</f>
        <v>0</v>
      </c>
      <c r="M27" s="75">
        <f>SUMIFS('caseload data'!O:O,'caseload data'!$A:$A,$B27,'caseload data'!$B:$B,"custody")</f>
        <v>0</v>
      </c>
      <c r="N27" s="75">
        <f>SUMIFS('caseload data'!P:P,'caseload data'!$A:$A,$B27,'caseload data'!$B:$B,"custody")</f>
        <v>0</v>
      </c>
      <c r="O27" s="75">
        <f>SUMIFS('caseload data'!Q:Q,'caseload data'!$A:$A,$B27,'caseload data'!$B:$B,"custody")</f>
        <v>0</v>
      </c>
      <c r="P27" s="75">
        <f>SUMIFS('caseload data'!R:R,'caseload data'!$A:$A,$B27,'caseload data'!$B:$B,"custody")</f>
        <v>0</v>
      </c>
      <c r="Q27" s="75">
        <f>SUMIFS('caseload data'!S:S,'caseload data'!$A:$A,$B27,'caseload data'!$B:$B,"custody")</f>
        <v>0</v>
      </c>
      <c r="R27" s="75">
        <f>SUMIFS('caseload data'!T:T,'caseload data'!$A:$A,$B27,'caseload data'!$B:$B,"custody")</f>
        <v>0</v>
      </c>
      <c r="S27" s="75">
        <f>SUMIFS('caseload data'!V:V,'caseload data'!$A:$A,B27,'caseload data'!$B:$B,"custody")</f>
        <v>0</v>
      </c>
      <c r="T27" s="91"/>
      <c r="U27" s="141" t="s">
        <v>21</v>
      </c>
      <c r="V27" s="66" t="e">
        <f>C27/$S$27</f>
        <v>#DIV/0!</v>
      </c>
      <c r="W27" s="66" t="e">
        <f t="shared" ref="W27:AB27" si="118">D27/$S$27</f>
        <v>#DIV/0!</v>
      </c>
      <c r="X27" s="66" t="e">
        <f t="shared" si="118"/>
        <v>#DIV/0!</v>
      </c>
      <c r="Y27" s="66" t="e">
        <f t="shared" si="118"/>
        <v>#DIV/0!</v>
      </c>
      <c r="Z27" s="66" t="e">
        <f t="shared" si="118"/>
        <v>#DIV/0!</v>
      </c>
      <c r="AA27" s="66" t="e">
        <f t="shared" si="118"/>
        <v>#DIV/0!</v>
      </c>
      <c r="AB27" s="66" t="e">
        <f t="shared" si="118"/>
        <v>#DIV/0!</v>
      </c>
      <c r="AC27" s="66" t="e">
        <f t="shared" ref="AC27" si="119">J27/$S$27</f>
        <v>#DIV/0!</v>
      </c>
      <c r="AD27" s="66" t="e">
        <f t="shared" ref="AD27" si="120">K27/$S$27</f>
        <v>#DIV/0!</v>
      </c>
      <c r="AE27" s="66" t="e">
        <f t="shared" ref="AE27" si="121">L27/$S$27</f>
        <v>#DIV/0!</v>
      </c>
      <c r="AF27" s="66" t="e">
        <f t="shared" ref="AF27" si="122">M27/$S$27</f>
        <v>#DIV/0!</v>
      </c>
      <c r="AG27" s="66" t="e">
        <f t="shared" ref="AG27:AH27" si="123">N27/$S$27</f>
        <v>#DIV/0!</v>
      </c>
      <c r="AH27" s="66" t="e">
        <f t="shared" si="123"/>
        <v>#DIV/0!</v>
      </c>
      <c r="AI27" s="66" t="e">
        <f t="shared" ref="AI27" si="124">P27/$S$27</f>
        <v>#DIV/0!</v>
      </c>
      <c r="AJ27" s="66" t="e">
        <f t="shared" ref="AJ27" si="125">Q27/$S$27</f>
        <v>#DIV/0!</v>
      </c>
      <c r="AK27" s="66" t="e">
        <f t="shared" ref="AK27" si="126">R27/$S$27</f>
        <v>#DIV/0!</v>
      </c>
    </row>
    <row r="28" spans="2:37" x14ac:dyDescent="0.15">
      <c r="B28" s="141" t="s">
        <v>22</v>
      </c>
      <c r="C28" s="75">
        <f>SUMIFS('caseload data'!E:E,'caseload data'!$A:$A,$B28,'caseload data'!$B:$B,"custody")</f>
        <v>0</v>
      </c>
      <c r="D28" s="75">
        <f>SUMIFS('caseload data'!F:F,'caseload data'!$A:$A,$B28,'caseload data'!$B:$B,"custody")</f>
        <v>0</v>
      </c>
      <c r="E28" s="75">
        <f>SUMIFS('caseload data'!G:G,'caseload data'!$A:$A,$B28,'caseload data'!$B:$B,"custody")</f>
        <v>0</v>
      </c>
      <c r="F28" s="75">
        <f>SUMIFS('caseload data'!H:H,'caseload data'!$A:$A,$B28,'caseload data'!$B:$B,"custody")</f>
        <v>0</v>
      </c>
      <c r="G28" s="75">
        <f>SUMIFS('caseload data'!I:I,'caseload data'!$A:$A,$B28,'caseload data'!$B:$B,"custody")</f>
        <v>0</v>
      </c>
      <c r="H28" s="75">
        <f>SUMIFS('caseload data'!J:J,'caseload data'!$A:$A,$B28,'caseload data'!$B:$B,"custody")</f>
        <v>0</v>
      </c>
      <c r="I28" s="75">
        <f>SUMIFS('caseload data'!K:K,'caseload data'!$A:$A,$B28,'caseload data'!$B:$B,"custody")</f>
        <v>0</v>
      </c>
      <c r="J28" s="75">
        <f>SUMIFS('caseload data'!L:L,'caseload data'!$A:$A,$B28,'caseload data'!$B:$B,"custody")</f>
        <v>0</v>
      </c>
      <c r="K28" s="75">
        <f>SUMIFS('caseload data'!M:M,'caseload data'!$A:$A,$B28,'caseload data'!$B:$B,"custody")</f>
        <v>0</v>
      </c>
      <c r="L28" s="75">
        <f>SUMIFS('caseload data'!N:N,'caseload data'!$A:$A,$B28,'caseload data'!$B:$B,"custody")</f>
        <v>0</v>
      </c>
      <c r="M28" s="75">
        <f>SUMIFS('caseload data'!O:O,'caseload data'!$A:$A,$B28,'caseload data'!$B:$B,"custody")</f>
        <v>0</v>
      </c>
      <c r="N28" s="75">
        <f>SUMIFS('caseload data'!P:P,'caseload data'!$A:$A,$B28,'caseload data'!$B:$B,"custody")</f>
        <v>0</v>
      </c>
      <c r="O28" s="75">
        <f>SUMIFS('caseload data'!Q:Q,'caseload data'!$A:$A,$B28,'caseload data'!$B:$B,"custody")</f>
        <v>0</v>
      </c>
      <c r="P28" s="75">
        <f>SUMIFS('caseload data'!R:R,'caseload data'!$A:$A,$B28,'caseload data'!$B:$B,"custody")</f>
        <v>0</v>
      </c>
      <c r="Q28" s="75">
        <f>SUMIFS('caseload data'!S:S,'caseload data'!$A:$A,$B28,'caseload data'!$B:$B,"custody")</f>
        <v>0</v>
      </c>
      <c r="R28" s="75">
        <f>SUMIFS('caseload data'!T:T,'caseload data'!$A:$A,$B28,'caseload data'!$B:$B,"custody")</f>
        <v>0</v>
      </c>
      <c r="S28" s="75">
        <f>SUMIFS('caseload data'!V:V,'caseload data'!$A:$A,B28,'caseload data'!$B:$B,"custody")</f>
        <v>0</v>
      </c>
      <c r="T28" s="91"/>
      <c r="U28" s="141" t="s">
        <v>22</v>
      </c>
      <c r="V28" s="66" t="e">
        <f>C28/$S$28</f>
        <v>#DIV/0!</v>
      </c>
      <c r="W28" s="66" t="e">
        <f t="shared" ref="W28:AB28" si="127">D28/$S$28</f>
        <v>#DIV/0!</v>
      </c>
      <c r="X28" s="66" t="e">
        <f t="shared" si="127"/>
        <v>#DIV/0!</v>
      </c>
      <c r="Y28" s="66" t="e">
        <f t="shared" si="127"/>
        <v>#DIV/0!</v>
      </c>
      <c r="Z28" s="66" t="e">
        <f t="shared" si="127"/>
        <v>#DIV/0!</v>
      </c>
      <c r="AA28" s="66" t="e">
        <f t="shared" si="127"/>
        <v>#DIV/0!</v>
      </c>
      <c r="AB28" s="66" t="e">
        <f t="shared" si="127"/>
        <v>#DIV/0!</v>
      </c>
      <c r="AC28" s="66" t="e">
        <f t="shared" ref="AC28" si="128">J28/$S$28</f>
        <v>#DIV/0!</v>
      </c>
      <c r="AD28" s="66" t="e">
        <f t="shared" ref="AD28" si="129">K28/$S$28</f>
        <v>#DIV/0!</v>
      </c>
      <c r="AE28" s="66" t="e">
        <f t="shared" ref="AE28" si="130">L28/$S$28</f>
        <v>#DIV/0!</v>
      </c>
      <c r="AF28" s="66" t="e">
        <f t="shared" ref="AF28" si="131">M28/$S$28</f>
        <v>#DIV/0!</v>
      </c>
      <c r="AG28" s="66" t="e">
        <f t="shared" ref="AG28:AH28" si="132">N28/$S$28</f>
        <v>#DIV/0!</v>
      </c>
      <c r="AH28" s="66" t="e">
        <f t="shared" si="132"/>
        <v>#DIV/0!</v>
      </c>
      <c r="AI28" s="66" t="e">
        <f t="shared" ref="AI28" si="133">P28/$S$28</f>
        <v>#DIV/0!</v>
      </c>
      <c r="AJ28" s="66" t="e">
        <f t="shared" ref="AJ28" si="134">Q28/$S$28</f>
        <v>#DIV/0!</v>
      </c>
      <c r="AK28" s="66" t="e">
        <f t="shared" ref="AK28" si="135">R28/$S$28</f>
        <v>#DIV/0!</v>
      </c>
    </row>
    <row r="29" spans="2:37" x14ac:dyDescent="0.15">
      <c r="B29" s="141" t="s">
        <v>23</v>
      </c>
      <c r="C29" s="75">
        <f>SUMIFS('caseload data'!E:E,'caseload data'!$A:$A,$B29,'caseload data'!$B:$B,"custody")</f>
        <v>0</v>
      </c>
      <c r="D29" s="75">
        <f>SUMIFS('caseload data'!F:F,'caseload data'!$A:$A,$B29,'caseload data'!$B:$B,"custody")</f>
        <v>0</v>
      </c>
      <c r="E29" s="75">
        <f>SUMIFS('caseload data'!G:G,'caseload data'!$A:$A,$B29,'caseload data'!$B:$B,"custody")</f>
        <v>0</v>
      </c>
      <c r="F29" s="75">
        <f>SUMIFS('caseload data'!H:H,'caseload data'!$A:$A,$B29,'caseload data'!$B:$B,"custody")</f>
        <v>0</v>
      </c>
      <c r="G29" s="75">
        <f>SUMIFS('caseload data'!I:I,'caseload data'!$A:$A,$B29,'caseload data'!$B:$B,"custody")</f>
        <v>0</v>
      </c>
      <c r="H29" s="75">
        <f>SUMIFS('caseload data'!J:J,'caseload data'!$A:$A,$B29,'caseload data'!$B:$B,"custody")</f>
        <v>0</v>
      </c>
      <c r="I29" s="75">
        <f>SUMIFS('caseload data'!K:K,'caseload data'!$A:$A,$B29,'caseload data'!$B:$B,"custody")</f>
        <v>0</v>
      </c>
      <c r="J29" s="75">
        <f>SUMIFS('caseload data'!L:L,'caseload data'!$A:$A,$B29,'caseload data'!$B:$B,"custody")</f>
        <v>0</v>
      </c>
      <c r="K29" s="75">
        <f>SUMIFS('caseload data'!M:M,'caseload data'!$A:$A,$B29,'caseload data'!$B:$B,"custody")</f>
        <v>0</v>
      </c>
      <c r="L29" s="75">
        <f>SUMIFS('caseload data'!N:N,'caseload data'!$A:$A,$B29,'caseload data'!$B:$B,"custody")</f>
        <v>0</v>
      </c>
      <c r="M29" s="75">
        <f>SUMIFS('caseload data'!O:O,'caseload data'!$A:$A,$B29,'caseload data'!$B:$B,"custody")</f>
        <v>0</v>
      </c>
      <c r="N29" s="75">
        <f>SUMIFS('caseload data'!P:P,'caseload data'!$A:$A,$B29,'caseload data'!$B:$B,"custody")</f>
        <v>0</v>
      </c>
      <c r="O29" s="75">
        <f>SUMIFS('caseload data'!Q:Q,'caseload data'!$A:$A,$B29,'caseload data'!$B:$B,"custody")</f>
        <v>0</v>
      </c>
      <c r="P29" s="75">
        <f>SUMIFS('caseload data'!R:R,'caseload data'!$A:$A,$B29,'caseload data'!$B:$B,"custody")</f>
        <v>0</v>
      </c>
      <c r="Q29" s="75">
        <f>SUMIFS('caseload data'!S:S,'caseload data'!$A:$A,$B29,'caseload data'!$B:$B,"custody")</f>
        <v>0</v>
      </c>
      <c r="R29" s="75">
        <f>SUMIFS('caseload data'!T:T,'caseload data'!$A:$A,$B29,'caseload data'!$B:$B,"custody")</f>
        <v>0</v>
      </c>
      <c r="S29" s="75">
        <f>SUMIFS('caseload data'!V:V,'caseload data'!$A:$A,B29,'caseload data'!$B:$B,"custody")</f>
        <v>0</v>
      </c>
      <c r="T29" s="91"/>
      <c r="U29" s="141" t="s">
        <v>23</v>
      </c>
      <c r="V29" s="66" t="e">
        <f>C29/$S$29</f>
        <v>#DIV/0!</v>
      </c>
      <c r="W29" s="66" t="e">
        <f t="shared" ref="W29:AA29" si="136">D29/$S$29</f>
        <v>#DIV/0!</v>
      </c>
      <c r="X29" s="66" t="e">
        <f t="shared" si="136"/>
        <v>#DIV/0!</v>
      </c>
      <c r="Y29" s="66" t="e">
        <f t="shared" si="136"/>
        <v>#DIV/0!</v>
      </c>
      <c r="Z29" s="66" t="e">
        <f t="shared" si="136"/>
        <v>#DIV/0!</v>
      </c>
      <c r="AA29" s="66" t="e">
        <f t="shared" si="136"/>
        <v>#DIV/0!</v>
      </c>
      <c r="AB29" s="66" t="e">
        <f t="shared" ref="AB29" si="137">I29/$S$29</f>
        <v>#DIV/0!</v>
      </c>
      <c r="AC29" s="66" t="e">
        <f t="shared" ref="AC29" si="138">J29/$S$29</f>
        <v>#DIV/0!</v>
      </c>
      <c r="AD29" s="66" t="e">
        <f t="shared" ref="AD29" si="139">K29/$S$29</f>
        <v>#DIV/0!</v>
      </c>
      <c r="AE29" s="66" t="e">
        <f t="shared" ref="AE29" si="140">L29/$S$29</f>
        <v>#DIV/0!</v>
      </c>
      <c r="AF29" s="66" t="e">
        <f t="shared" ref="AF29" si="141">M29/$S$29</f>
        <v>#DIV/0!</v>
      </c>
      <c r="AG29" s="66" t="e">
        <f t="shared" ref="AG29" si="142">N29/$S$29</f>
        <v>#DIV/0!</v>
      </c>
      <c r="AH29" s="66" t="e">
        <f t="shared" ref="AH29" si="143">O29/$S$29</f>
        <v>#DIV/0!</v>
      </c>
      <c r="AI29" s="66" t="e">
        <f t="shared" ref="AI29" si="144">P29/$S$29</f>
        <v>#DIV/0!</v>
      </c>
      <c r="AJ29" s="66" t="e">
        <f t="shared" ref="AJ29" si="145">Q29/$S$29</f>
        <v>#DIV/0!</v>
      </c>
      <c r="AK29" s="66" t="e">
        <f t="shared" ref="AK29" si="146">R29/$S$29</f>
        <v>#DIV/0!</v>
      </c>
    </row>
    <row r="30" spans="2:37" x14ac:dyDescent="0.15">
      <c r="B30" s="141" t="s">
        <v>24</v>
      </c>
      <c r="C30" s="75">
        <f>SUMIFS('caseload data'!E:E,'caseload data'!$A:$A,$B30,'caseload data'!$B:$B,"custody")</f>
        <v>0</v>
      </c>
      <c r="D30" s="75">
        <f>SUMIFS('caseload data'!F:F,'caseload data'!$A:$A,$B30,'caseload data'!$B:$B,"custody")</f>
        <v>0</v>
      </c>
      <c r="E30" s="75">
        <f>SUMIFS('caseload data'!G:G,'caseload data'!$A:$A,$B30,'caseload data'!$B:$B,"custody")</f>
        <v>0</v>
      </c>
      <c r="F30" s="75">
        <f>SUMIFS('caseload data'!H:H,'caseload data'!$A:$A,$B30,'caseload data'!$B:$B,"custody")</f>
        <v>0</v>
      </c>
      <c r="G30" s="75">
        <f>SUMIFS('caseload data'!I:I,'caseload data'!$A:$A,$B30,'caseload data'!$B:$B,"custody")</f>
        <v>0</v>
      </c>
      <c r="H30" s="75">
        <f>SUMIFS('caseload data'!J:J,'caseload data'!$A:$A,$B30,'caseload data'!$B:$B,"custody")</f>
        <v>0</v>
      </c>
      <c r="I30" s="75">
        <f>SUMIFS('caseload data'!K:K,'caseload data'!$A:$A,$B30,'caseload data'!$B:$B,"custody")</f>
        <v>0</v>
      </c>
      <c r="J30" s="75">
        <f>SUMIFS('caseload data'!L:L,'caseload data'!$A:$A,$B30,'caseload data'!$B:$B,"custody")</f>
        <v>0</v>
      </c>
      <c r="K30" s="75">
        <f>SUMIFS('caseload data'!M:M,'caseload data'!$A:$A,$B30,'caseload data'!$B:$B,"custody")</f>
        <v>0</v>
      </c>
      <c r="L30" s="75">
        <f>SUMIFS('caseload data'!N:N,'caseload data'!$A:$A,$B30,'caseload data'!$B:$B,"custody")</f>
        <v>0</v>
      </c>
      <c r="M30" s="75">
        <f>SUMIFS('caseload data'!O:O,'caseload data'!$A:$A,$B30,'caseload data'!$B:$B,"custody")</f>
        <v>0</v>
      </c>
      <c r="N30" s="75">
        <f>SUMIFS('caseload data'!P:P,'caseload data'!$A:$A,$B30,'caseload data'!$B:$B,"custody")</f>
        <v>0</v>
      </c>
      <c r="O30" s="75">
        <f>SUMIFS('caseload data'!Q:Q,'caseload data'!$A:$A,$B30,'caseload data'!$B:$B,"custody")</f>
        <v>0</v>
      </c>
      <c r="P30" s="75">
        <f>SUMIFS('caseload data'!R:R,'caseload data'!$A:$A,$B30,'caseload data'!$B:$B,"custody")</f>
        <v>0</v>
      </c>
      <c r="Q30" s="75">
        <f>SUMIFS('caseload data'!S:S,'caseload data'!$A:$A,$B30,'caseload data'!$B:$B,"custody")</f>
        <v>0</v>
      </c>
      <c r="R30" s="75">
        <f>SUMIFS('caseload data'!T:T,'caseload data'!$A:$A,$B30,'caseload data'!$B:$B,"custody")</f>
        <v>0</v>
      </c>
      <c r="S30" s="75">
        <f>SUMIFS('caseload data'!V:V,'caseload data'!$A:$A,B30,'caseload data'!$B:$B,"custody")</f>
        <v>0</v>
      </c>
      <c r="T30" s="91"/>
      <c r="U30" s="141" t="s">
        <v>24</v>
      </c>
      <c r="V30" s="66" t="e">
        <f t="shared" ref="V30:AK30" si="147">C30/$S$30</f>
        <v>#DIV/0!</v>
      </c>
      <c r="W30" s="66" t="e">
        <f t="shared" si="147"/>
        <v>#DIV/0!</v>
      </c>
      <c r="X30" s="66" t="e">
        <f t="shared" si="147"/>
        <v>#DIV/0!</v>
      </c>
      <c r="Y30" s="66" t="e">
        <f t="shared" si="147"/>
        <v>#DIV/0!</v>
      </c>
      <c r="Z30" s="66" t="e">
        <f t="shared" si="147"/>
        <v>#DIV/0!</v>
      </c>
      <c r="AA30" s="66" t="e">
        <f t="shared" si="147"/>
        <v>#DIV/0!</v>
      </c>
      <c r="AB30" s="66" t="e">
        <f t="shared" si="147"/>
        <v>#DIV/0!</v>
      </c>
      <c r="AC30" s="66" t="e">
        <f t="shared" si="147"/>
        <v>#DIV/0!</v>
      </c>
      <c r="AD30" s="66" t="e">
        <f t="shared" si="147"/>
        <v>#DIV/0!</v>
      </c>
      <c r="AE30" s="66" t="e">
        <f t="shared" si="147"/>
        <v>#DIV/0!</v>
      </c>
      <c r="AF30" s="66" t="e">
        <f t="shared" si="147"/>
        <v>#DIV/0!</v>
      </c>
      <c r="AG30" s="66" t="e">
        <f t="shared" si="147"/>
        <v>#DIV/0!</v>
      </c>
      <c r="AH30" s="66" t="e">
        <f t="shared" si="147"/>
        <v>#DIV/0!</v>
      </c>
      <c r="AI30" s="66" t="e">
        <f t="shared" si="147"/>
        <v>#DIV/0!</v>
      </c>
      <c r="AJ30" s="66" t="e">
        <f t="shared" si="147"/>
        <v>#DIV/0!</v>
      </c>
      <c r="AK30" s="66" t="e">
        <f t="shared" si="147"/>
        <v>#DIV/0!</v>
      </c>
    </row>
    <row r="31" spans="2:37" x14ac:dyDescent="0.15">
      <c r="B31" s="141" t="s">
        <v>25</v>
      </c>
      <c r="C31" s="75">
        <f>SUMIFS('caseload data'!E:E,'caseload data'!$A:$A,$B31,'caseload data'!$B:$B,"custody")</f>
        <v>0</v>
      </c>
      <c r="D31" s="75">
        <f>SUMIFS('caseload data'!F:F,'caseload data'!$A:$A,$B31,'caseload data'!$B:$B,"custody")</f>
        <v>0</v>
      </c>
      <c r="E31" s="75">
        <f>SUMIFS('caseload data'!G:G,'caseload data'!$A:$A,$B31,'caseload data'!$B:$B,"custody")</f>
        <v>0</v>
      </c>
      <c r="F31" s="75">
        <f>SUMIFS('caseload data'!H:H,'caseload data'!$A:$A,$B31,'caseload data'!$B:$B,"custody")</f>
        <v>0</v>
      </c>
      <c r="G31" s="75">
        <f>SUMIFS('caseload data'!I:I,'caseload data'!$A:$A,$B31,'caseload data'!$B:$B,"custody")</f>
        <v>0</v>
      </c>
      <c r="H31" s="75">
        <f>SUMIFS('caseload data'!J:J,'caseload data'!$A:$A,$B31,'caseload data'!$B:$B,"custody")</f>
        <v>0</v>
      </c>
      <c r="I31" s="75">
        <f>SUMIFS('caseload data'!K:K,'caseload data'!$A:$A,$B31,'caseload data'!$B:$B,"custody")</f>
        <v>0</v>
      </c>
      <c r="J31" s="75">
        <f>SUMIFS('caseload data'!L:L,'caseload data'!$A:$A,$B31,'caseload data'!$B:$B,"custody")</f>
        <v>0</v>
      </c>
      <c r="K31" s="75">
        <f>SUMIFS('caseload data'!M:M,'caseload data'!$A:$A,$B31,'caseload data'!$B:$B,"custody")</f>
        <v>0</v>
      </c>
      <c r="L31" s="75">
        <f>SUMIFS('caseload data'!N:N,'caseload data'!$A:$A,$B31,'caseload data'!$B:$B,"custody")</f>
        <v>0</v>
      </c>
      <c r="M31" s="75">
        <f>SUMIFS('caseload data'!O:O,'caseload data'!$A:$A,$B31,'caseload data'!$B:$B,"custody")</f>
        <v>0</v>
      </c>
      <c r="N31" s="75">
        <f>SUMIFS('caseload data'!P:P,'caseload data'!$A:$A,$B31,'caseload data'!$B:$B,"custody")</f>
        <v>0</v>
      </c>
      <c r="O31" s="75">
        <f>SUMIFS('caseload data'!Q:Q,'caseload data'!$A:$A,$B31,'caseload data'!$B:$B,"custody")</f>
        <v>0</v>
      </c>
      <c r="P31" s="75">
        <f>SUMIFS('caseload data'!R:R,'caseload data'!$A:$A,$B31,'caseload data'!$B:$B,"custody")</f>
        <v>0</v>
      </c>
      <c r="Q31" s="75">
        <f>SUMIFS('caseload data'!S:S,'caseload data'!$A:$A,$B31,'caseload data'!$B:$B,"custody")</f>
        <v>0</v>
      </c>
      <c r="R31" s="75">
        <f>SUMIFS('caseload data'!T:T,'caseload data'!$A:$A,$B31,'caseload data'!$B:$B,"custody")</f>
        <v>0</v>
      </c>
      <c r="S31" s="75">
        <f>SUMIFS('caseload data'!V:V,'caseload data'!$A:$A,B31,'caseload data'!$B:$B,"custody")</f>
        <v>0</v>
      </c>
      <c r="T31" s="91"/>
      <c r="U31" s="141" t="s">
        <v>25</v>
      </c>
      <c r="V31" s="66" t="e">
        <f>C31/$S$31</f>
        <v>#DIV/0!</v>
      </c>
      <c r="W31" s="66" t="e">
        <f t="shared" ref="W31:AB31" si="148">D31/$S$31</f>
        <v>#DIV/0!</v>
      </c>
      <c r="X31" s="66" t="e">
        <f t="shared" si="148"/>
        <v>#DIV/0!</v>
      </c>
      <c r="Y31" s="66" t="e">
        <f t="shared" si="148"/>
        <v>#DIV/0!</v>
      </c>
      <c r="Z31" s="66" t="e">
        <f t="shared" si="148"/>
        <v>#DIV/0!</v>
      </c>
      <c r="AA31" s="66" t="e">
        <f t="shared" si="148"/>
        <v>#DIV/0!</v>
      </c>
      <c r="AB31" s="66" t="e">
        <f t="shared" si="148"/>
        <v>#DIV/0!</v>
      </c>
      <c r="AC31" s="66" t="e">
        <f t="shared" ref="AC31" si="149">J31/$S$31</f>
        <v>#DIV/0!</v>
      </c>
      <c r="AD31" s="66" t="e">
        <f t="shared" ref="AD31" si="150">K31/$S$31</f>
        <v>#DIV/0!</v>
      </c>
      <c r="AE31" s="66" t="e">
        <f t="shared" ref="AE31" si="151">L31/$S$31</f>
        <v>#DIV/0!</v>
      </c>
      <c r="AF31" s="66" t="e">
        <f t="shared" ref="AF31" si="152">M31/$S$31</f>
        <v>#DIV/0!</v>
      </c>
      <c r="AG31" s="66" t="e">
        <f t="shared" ref="AG31:AH31" si="153">N31/$S$31</f>
        <v>#DIV/0!</v>
      </c>
      <c r="AH31" s="66" t="e">
        <f t="shared" si="153"/>
        <v>#DIV/0!</v>
      </c>
      <c r="AI31" s="66" t="e">
        <f t="shared" ref="AI31" si="154">P31/$S$31</f>
        <v>#DIV/0!</v>
      </c>
      <c r="AJ31" s="66" t="e">
        <f t="shared" ref="AJ31" si="155">Q31/$S$31</f>
        <v>#DIV/0!</v>
      </c>
      <c r="AK31" s="66" t="e">
        <f t="shared" ref="AK31" si="156">R31/$S$31</f>
        <v>#DIV/0!</v>
      </c>
    </row>
    <row r="32" spans="2:37" x14ac:dyDescent="0.15">
      <c r="B32" s="141" t="s">
        <v>26</v>
      </c>
      <c r="C32" s="75">
        <f>SUMIFS('caseload data'!E:E,'caseload data'!$A:$A,$B32,'caseload data'!$B:$B,"custody")</f>
        <v>0</v>
      </c>
      <c r="D32" s="75">
        <f>SUMIFS('caseload data'!F:F,'caseload data'!$A:$A,$B32,'caseload data'!$B:$B,"custody")</f>
        <v>0</v>
      </c>
      <c r="E32" s="75">
        <f>SUMIFS('caseload data'!G:G,'caseload data'!$A:$A,$B32,'caseload data'!$B:$B,"custody")</f>
        <v>0</v>
      </c>
      <c r="F32" s="75">
        <f>SUMIFS('caseload data'!H:H,'caseload data'!$A:$A,$B32,'caseload data'!$B:$B,"custody")</f>
        <v>0</v>
      </c>
      <c r="G32" s="75">
        <f>SUMIFS('caseload data'!I:I,'caseload data'!$A:$A,$B32,'caseload data'!$B:$B,"custody")</f>
        <v>0</v>
      </c>
      <c r="H32" s="75">
        <f>SUMIFS('caseload data'!J:J,'caseload data'!$A:$A,$B32,'caseload data'!$B:$B,"custody")</f>
        <v>0</v>
      </c>
      <c r="I32" s="75">
        <f>SUMIFS('caseload data'!K:K,'caseload data'!$A:$A,$B32,'caseload data'!$B:$B,"custody")</f>
        <v>0</v>
      </c>
      <c r="J32" s="75">
        <f>SUMIFS('caseload data'!L:L,'caseload data'!$A:$A,$B32,'caseload data'!$B:$B,"custody")</f>
        <v>0</v>
      </c>
      <c r="K32" s="75">
        <f>SUMIFS('caseload data'!M:M,'caseload data'!$A:$A,$B32,'caseload data'!$B:$B,"custody")</f>
        <v>0</v>
      </c>
      <c r="L32" s="75">
        <f>SUMIFS('caseload data'!N:N,'caseload data'!$A:$A,$B32,'caseload data'!$B:$B,"custody")</f>
        <v>0</v>
      </c>
      <c r="M32" s="75">
        <f>SUMIFS('caseload data'!O:O,'caseload data'!$A:$A,$B32,'caseload data'!$B:$B,"custody")</f>
        <v>0</v>
      </c>
      <c r="N32" s="75">
        <f>SUMIFS('caseload data'!P:P,'caseload data'!$A:$A,$B32,'caseload data'!$B:$B,"custody")</f>
        <v>0</v>
      </c>
      <c r="O32" s="75">
        <f>SUMIFS('caseload data'!Q:Q,'caseload data'!$A:$A,$B32,'caseload data'!$B:$B,"custody")</f>
        <v>0</v>
      </c>
      <c r="P32" s="75">
        <f>SUMIFS('caseload data'!R:R,'caseload data'!$A:$A,$B32,'caseload data'!$B:$B,"custody")</f>
        <v>0</v>
      </c>
      <c r="Q32" s="75">
        <f>SUMIFS('caseload data'!S:S,'caseload data'!$A:$A,$B32,'caseload data'!$B:$B,"custody")</f>
        <v>0</v>
      </c>
      <c r="R32" s="75">
        <f>SUMIFS('caseload data'!T:T,'caseload data'!$A:$A,$B32,'caseload data'!$B:$B,"custody")</f>
        <v>0</v>
      </c>
      <c r="S32" s="75">
        <f>SUMIFS('caseload data'!V:V,'caseload data'!$A:$A,B32,'caseload data'!$B:$B,"custody")</f>
        <v>0</v>
      </c>
      <c r="T32" s="91"/>
      <c r="U32" s="141" t="s">
        <v>26</v>
      </c>
      <c r="V32" s="66" t="e">
        <f>C32/$S$32</f>
        <v>#DIV/0!</v>
      </c>
      <c r="W32" s="66" t="e">
        <f t="shared" ref="W32:AB32" si="157">D32/$S$32</f>
        <v>#DIV/0!</v>
      </c>
      <c r="X32" s="66" t="e">
        <f t="shared" si="157"/>
        <v>#DIV/0!</v>
      </c>
      <c r="Y32" s="66" t="e">
        <f t="shared" si="157"/>
        <v>#DIV/0!</v>
      </c>
      <c r="Z32" s="66" t="e">
        <f t="shared" si="157"/>
        <v>#DIV/0!</v>
      </c>
      <c r="AA32" s="66" t="e">
        <f t="shared" si="157"/>
        <v>#DIV/0!</v>
      </c>
      <c r="AB32" s="66" t="e">
        <f t="shared" si="157"/>
        <v>#DIV/0!</v>
      </c>
      <c r="AC32" s="66" t="e">
        <f t="shared" ref="AC32" si="158">J32/$S$32</f>
        <v>#DIV/0!</v>
      </c>
      <c r="AD32" s="66" t="e">
        <f t="shared" ref="AD32" si="159">K32/$S$32</f>
        <v>#DIV/0!</v>
      </c>
      <c r="AE32" s="66" t="e">
        <f t="shared" ref="AE32" si="160">L32/$S$32</f>
        <v>#DIV/0!</v>
      </c>
      <c r="AF32" s="66" t="e">
        <f t="shared" ref="AF32" si="161">M32/$S$32</f>
        <v>#DIV/0!</v>
      </c>
      <c r="AG32" s="66" t="e">
        <f t="shared" ref="AG32:AH32" si="162">N32/$S$32</f>
        <v>#DIV/0!</v>
      </c>
      <c r="AH32" s="66" t="e">
        <f t="shared" si="162"/>
        <v>#DIV/0!</v>
      </c>
      <c r="AI32" s="66" t="e">
        <f t="shared" ref="AI32" si="163">P32/$S$32</f>
        <v>#DIV/0!</v>
      </c>
      <c r="AJ32" s="66" t="e">
        <f t="shared" ref="AJ32" si="164">Q32/$S$32</f>
        <v>#DIV/0!</v>
      </c>
      <c r="AK32" s="66" t="e">
        <f t="shared" ref="AK32" si="165">R32/$S$32</f>
        <v>#DIV/0!</v>
      </c>
    </row>
    <row r="33" spans="2:37" x14ac:dyDescent="0.15">
      <c r="B33" s="141" t="s">
        <v>27</v>
      </c>
      <c r="C33" s="75">
        <f>SUMIFS('caseload data'!E:E,'caseload data'!$A:$A,$B33,'caseload data'!$B:$B,"custody")</f>
        <v>0</v>
      </c>
      <c r="D33" s="75">
        <f>SUMIFS('caseload data'!F:F,'caseload data'!$A:$A,$B33,'caseload data'!$B:$B,"custody")</f>
        <v>0</v>
      </c>
      <c r="E33" s="75">
        <f>SUMIFS('caseload data'!G:G,'caseload data'!$A:$A,$B33,'caseload data'!$B:$B,"custody")</f>
        <v>0</v>
      </c>
      <c r="F33" s="75">
        <f>SUMIFS('caseload data'!H:H,'caseload data'!$A:$A,$B33,'caseload data'!$B:$B,"custody")</f>
        <v>0</v>
      </c>
      <c r="G33" s="75">
        <f>SUMIFS('caseload data'!I:I,'caseload data'!$A:$A,$B33,'caseload data'!$B:$B,"custody")</f>
        <v>0</v>
      </c>
      <c r="H33" s="75">
        <f>SUMIFS('caseload data'!J:J,'caseload data'!$A:$A,$B33,'caseload data'!$B:$B,"custody")</f>
        <v>0</v>
      </c>
      <c r="I33" s="75">
        <f>SUMIFS('caseload data'!K:K,'caseload data'!$A:$A,$B33,'caseload data'!$B:$B,"custody")</f>
        <v>0</v>
      </c>
      <c r="J33" s="75">
        <f>SUMIFS('caseload data'!L:L,'caseload data'!$A:$A,$B33,'caseload data'!$B:$B,"custody")</f>
        <v>0</v>
      </c>
      <c r="K33" s="75">
        <f>SUMIFS('caseload data'!M:M,'caseload data'!$A:$A,$B33,'caseload data'!$B:$B,"custody")</f>
        <v>0</v>
      </c>
      <c r="L33" s="75">
        <f>SUMIFS('caseload data'!N:N,'caseload data'!$A:$A,$B33,'caseload data'!$B:$B,"custody")</f>
        <v>0</v>
      </c>
      <c r="M33" s="75">
        <f>SUMIFS('caseload data'!O:O,'caseload data'!$A:$A,$B33,'caseload data'!$B:$B,"custody")</f>
        <v>0</v>
      </c>
      <c r="N33" s="75">
        <f>SUMIFS('caseload data'!P:P,'caseload data'!$A:$A,$B33,'caseload data'!$B:$B,"custody")</f>
        <v>0</v>
      </c>
      <c r="O33" s="75">
        <f>SUMIFS('caseload data'!Q:Q,'caseload data'!$A:$A,$B33,'caseload data'!$B:$B,"custody")</f>
        <v>0</v>
      </c>
      <c r="P33" s="75">
        <f>SUMIFS('caseload data'!R:R,'caseload data'!$A:$A,$B33,'caseload data'!$B:$B,"custody")</f>
        <v>0</v>
      </c>
      <c r="Q33" s="75">
        <f>SUMIFS('caseload data'!S:S,'caseload data'!$A:$A,$B33,'caseload data'!$B:$B,"custody")</f>
        <v>0</v>
      </c>
      <c r="R33" s="75">
        <f>SUMIFS('caseload data'!T:T,'caseload data'!$A:$A,$B33,'caseload data'!$B:$B,"custody")</f>
        <v>0</v>
      </c>
      <c r="S33" s="75">
        <f>SUMIFS('caseload data'!V:V,'caseload data'!$A:$A,B33,'caseload data'!$B:$B,"custody")</f>
        <v>0</v>
      </c>
      <c r="T33" s="91"/>
      <c r="U33" s="141" t="s">
        <v>27</v>
      </c>
      <c r="V33" s="66" t="e">
        <f>C33/$S$33</f>
        <v>#DIV/0!</v>
      </c>
      <c r="W33" s="66" t="e">
        <f t="shared" ref="W33:AB33" si="166">D33/$S$33</f>
        <v>#DIV/0!</v>
      </c>
      <c r="X33" s="66" t="e">
        <f t="shared" si="166"/>
        <v>#DIV/0!</v>
      </c>
      <c r="Y33" s="66" t="e">
        <f t="shared" si="166"/>
        <v>#DIV/0!</v>
      </c>
      <c r="Z33" s="66" t="e">
        <f t="shared" si="166"/>
        <v>#DIV/0!</v>
      </c>
      <c r="AA33" s="66" t="e">
        <f t="shared" si="166"/>
        <v>#DIV/0!</v>
      </c>
      <c r="AB33" s="66" t="e">
        <f t="shared" si="166"/>
        <v>#DIV/0!</v>
      </c>
      <c r="AC33" s="66" t="e">
        <f t="shared" ref="AC33" si="167">J33/$S$33</f>
        <v>#DIV/0!</v>
      </c>
      <c r="AD33" s="66" t="e">
        <f t="shared" ref="AD33" si="168">K33/$S$33</f>
        <v>#DIV/0!</v>
      </c>
      <c r="AE33" s="66" t="e">
        <f t="shared" ref="AE33" si="169">L33/$S$33</f>
        <v>#DIV/0!</v>
      </c>
      <c r="AF33" s="66" t="e">
        <f t="shared" ref="AF33" si="170">M33/$S$33</f>
        <v>#DIV/0!</v>
      </c>
      <c r="AG33" s="66" t="e">
        <f t="shared" ref="AG33:AH33" si="171">N33/$S$33</f>
        <v>#DIV/0!</v>
      </c>
      <c r="AH33" s="66" t="e">
        <f t="shared" si="171"/>
        <v>#DIV/0!</v>
      </c>
      <c r="AI33" s="66" t="e">
        <f t="shared" ref="AI33" si="172">P33/$S$33</f>
        <v>#DIV/0!</v>
      </c>
      <c r="AJ33" s="66" t="e">
        <f t="shared" ref="AJ33" si="173">Q33/$S$33</f>
        <v>#DIV/0!</v>
      </c>
      <c r="AK33" s="66" t="e">
        <f t="shared" ref="AK33" si="174">R33/$S$33</f>
        <v>#DIV/0!</v>
      </c>
    </row>
    <row r="34" spans="2:37" x14ac:dyDescent="0.15">
      <c r="B34" s="141" t="s">
        <v>28</v>
      </c>
      <c r="C34" s="75">
        <f>SUMIFS('caseload data'!E:E,'caseload data'!$A:$A,$B34,'caseload data'!$B:$B,"custody")</f>
        <v>0</v>
      </c>
      <c r="D34" s="75">
        <f>SUMIFS('caseload data'!F:F,'caseload data'!$A:$A,$B34,'caseload data'!$B:$B,"custody")</f>
        <v>0</v>
      </c>
      <c r="E34" s="75">
        <f>SUMIFS('caseload data'!G:G,'caseload data'!$A:$A,$B34,'caseload data'!$B:$B,"custody")</f>
        <v>0</v>
      </c>
      <c r="F34" s="75">
        <f>SUMIFS('caseload data'!H:H,'caseload data'!$A:$A,$B34,'caseload data'!$B:$B,"custody")</f>
        <v>0</v>
      </c>
      <c r="G34" s="75">
        <f>SUMIFS('caseload data'!I:I,'caseload data'!$A:$A,$B34,'caseload data'!$B:$B,"custody")</f>
        <v>0</v>
      </c>
      <c r="H34" s="75">
        <f>SUMIFS('caseload data'!J:J,'caseload data'!$A:$A,$B34,'caseload data'!$B:$B,"custody")</f>
        <v>0</v>
      </c>
      <c r="I34" s="75">
        <f>SUMIFS('caseload data'!K:K,'caseload data'!$A:$A,$B34,'caseload data'!$B:$B,"custody")</f>
        <v>0</v>
      </c>
      <c r="J34" s="75">
        <f>SUMIFS('caseload data'!L:L,'caseload data'!$A:$A,$B34,'caseload data'!$B:$B,"custody")</f>
        <v>0</v>
      </c>
      <c r="K34" s="75">
        <f>SUMIFS('caseload data'!M:M,'caseload data'!$A:$A,$B34,'caseload data'!$B:$B,"custody")</f>
        <v>0</v>
      </c>
      <c r="L34" s="75">
        <f>SUMIFS('caseload data'!N:N,'caseload data'!$A:$A,$B34,'caseload data'!$B:$B,"custody")</f>
        <v>0</v>
      </c>
      <c r="M34" s="75">
        <f>SUMIFS('caseload data'!O:O,'caseload data'!$A:$A,$B34,'caseload data'!$B:$B,"custody")</f>
        <v>0</v>
      </c>
      <c r="N34" s="75">
        <f>SUMIFS('caseload data'!P:P,'caseload data'!$A:$A,$B34,'caseload data'!$B:$B,"custody")</f>
        <v>0</v>
      </c>
      <c r="O34" s="75">
        <f>SUMIFS('caseload data'!Q:Q,'caseload data'!$A:$A,$B34,'caseload data'!$B:$B,"custody")</f>
        <v>0</v>
      </c>
      <c r="P34" s="75">
        <f>SUMIFS('caseload data'!R:R,'caseload data'!$A:$A,$B34,'caseload data'!$B:$B,"custody")</f>
        <v>0</v>
      </c>
      <c r="Q34" s="75">
        <f>SUMIFS('caseload data'!S:S,'caseload data'!$A:$A,$B34,'caseload data'!$B:$B,"custody")</f>
        <v>0</v>
      </c>
      <c r="R34" s="75">
        <f>SUMIFS('caseload data'!T:T,'caseload data'!$A:$A,$B34,'caseload data'!$B:$B,"custody")</f>
        <v>0</v>
      </c>
      <c r="S34" s="75">
        <f>SUMIFS('caseload data'!V:V,'caseload data'!$A:$A,B34,'caseload data'!$B:$B,"custody")</f>
        <v>0</v>
      </c>
      <c r="T34" s="91"/>
      <c r="U34" s="141" t="s">
        <v>28</v>
      </c>
      <c r="V34" s="66" t="e">
        <f>C34/$S$34</f>
        <v>#DIV/0!</v>
      </c>
      <c r="W34" s="66" t="e">
        <f t="shared" ref="W34:AB34" si="175">D34/$S$34</f>
        <v>#DIV/0!</v>
      </c>
      <c r="X34" s="66" t="e">
        <f t="shared" si="175"/>
        <v>#DIV/0!</v>
      </c>
      <c r="Y34" s="66" t="e">
        <f t="shared" si="175"/>
        <v>#DIV/0!</v>
      </c>
      <c r="Z34" s="66" t="e">
        <f t="shared" si="175"/>
        <v>#DIV/0!</v>
      </c>
      <c r="AA34" s="66" t="e">
        <f t="shared" si="175"/>
        <v>#DIV/0!</v>
      </c>
      <c r="AB34" s="66" t="e">
        <f t="shared" si="175"/>
        <v>#DIV/0!</v>
      </c>
      <c r="AC34" s="66" t="e">
        <f t="shared" ref="AC34" si="176">J34/$S$34</f>
        <v>#DIV/0!</v>
      </c>
      <c r="AD34" s="66" t="e">
        <f t="shared" ref="AD34" si="177">K34/$S$34</f>
        <v>#DIV/0!</v>
      </c>
      <c r="AE34" s="66" t="e">
        <f t="shared" ref="AE34" si="178">L34/$S$34</f>
        <v>#DIV/0!</v>
      </c>
      <c r="AF34" s="66" t="e">
        <f t="shared" ref="AF34" si="179">M34/$S$34</f>
        <v>#DIV/0!</v>
      </c>
      <c r="AG34" s="66" t="e">
        <f t="shared" ref="AG34:AH34" si="180">N34/$S$34</f>
        <v>#DIV/0!</v>
      </c>
      <c r="AH34" s="66" t="e">
        <f t="shared" si="180"/>
        <v>#DIV/0!</v>
      </c>
      <c r="AI34" s="66" t="e">
        <f t="shared" ref="AI34" si="181">P34/$S$34</f>
        <v>#DIV/0!</v>
      </c>
      <c r="AJ34" s="66" t="e">
        <f t="shared" ref="AJ34" si="182">Q34/$S$34</f>
        <v>#DIV/0!</v>
      </c>
      <c r="AK34" s="66" t="e">
        <f t="shared" ref="AK34" si="183">R34/$S$34</f>
        <v>#DIV/0!</v>
      </c>
    </row>
    <row r="35" spans="2:37" x14ac:dyDescent="0.15">
      <c r="B35" s="110" t="s">
        <v>1030</v>
      </c>
      <c r="C35" s="110">
        <f>SUMIF('caseload data'!$B:$B,"custody",'caseload data'!E:E)</f>
        <v>0</v>
      </c>
      <c r="D35" s="110">
        <f>SUMIF('caseload data'!$B:$B,"custody",'caseload data'!F:F)</f>
        <v>0</v>
      </c>
      <c r="E35" s="110">
        <f>SUMIF('caseload data'!$B:$B,"custody",'caseload data'!G:G)</f>
        <v>0</v>
      </c>
      <c r="F35" s="110">
        <f>SUMIF('caseload data'!$B:$B,"custody",'caseload data'!H:H)</f>
        <v>0</v>
      </c>
      <c r="G35" s="110">
        <f>SUMIF('caseload data'!$B:$B,"custody",'caseload data'!I:I)</f>
        <v>0</v>
      </c>
      <c r="H35" s="110">
        <f>SUMIF('caseload data'!$B:$B,"custody",'caseload data'!J:J)</f>
        <v>0</v>
      </c>
      <c r="I35" s="110">
        <f>SUMIF('caseload data'!$B:$B,"custody",'caseload data'!K:K)</f>
        <v>0</v>
      </c>
      <c r="J35" s="110">
        <f>SUMIF('caseload data'!$B:$B,"custody",'caseload data'!L:L)</f>
        <v>0</v>
      </c>
      <c r="K35" s="110">
        <f>SUMIF('caseload data'!$B:$B,"custody",'caseload data'!M:M)</f>
        <v>0</v>
      </c>
      <c r="L35" s="110">
        <f>SUMIF('caseload data'!$B:$B,"custody",'caseload data'!N:N)</f>
        <v>0</v>
      </c>
      <c r="M35" s="110">
        <f>SUMIF('caseload data'!$B:$B,"custody",'caseload data'!O:O)</f>
        <v>0</v>
      </c>
      <c r="N35" s="110">
        <f>SUMIF('caseload data'!$B:$B,"custody",'caseload data'!P:P)</f>
        <v>0</v>
      </c>
      <c r="O35" s="110">
        <f>SUMIF('caseload data'!$B:$B,"custody",'caseload data'!Q:Q)</f>
        <v>0</v>
      </c>
      <c r="P35" s="110">
        <f>SUMIF('caseload data'!$B:$B,"custody",'caseload data'!R:R)</f>
        <v>0</v>
      </c>
      <c r="Q35" s="110">
        <f>SUMIF('caseload data'!$B:$B,"custody",'caseload data'!S:S)</f>
        <v>0</v>
      </c>
      <c r="R35" s="110">
        <f>SUMIF('caseload data'!$B:$B,"custody",'caseload data'!T:T)</f>
        <v>0</v>
      </c>
      <c r="S35" s="110">
        <f>SUMIF('caseload data'!$B:$B,"custody",'caseload data'!V:V)</f>
        <v>0</v>
      </c>
      <c r="T35" s="91"/>
      <c r="U35" s="110" t="s">
        <v>1030</v>
      </c>
      <c r="V35" s="115" t="e">
        <f>C35/$S$35</f>
        <v>#DIV/0!</v>
      </c>
      <c r="W35" s="115" t="e">
        <f t="shared" ref="W35:AB35" si="184">D35/$S$35</f>
        <v>#DIV/0!</v>
      </c>
      <c r="X35" s="115" t="e">
        <f t="shared" si="184"/>
        <v>#DIV/0!</v>
      </c>
      <c r="Y35" s="115" t="e">
        <f t="shared" si="184"/>
        <v>#DIV/0!</v>
      </c>
      <c r="Z35" s="115" t="e">
        <f t="shared" si="184"/>
        <v>#DIV/0!</v>
      </c>
      <c r="AA35" s="115" t="e">
        <f t="shared" si="184"/>
        <v>#DIV/0!</v>
      </c>
      <c r="AB35" s="115" t="e">
        <f t="shared" si="184"/>
        <v>#DIV/0!</v>
      </c>
      <c r="AC35" s="115" t="e">
        <f t="shared" ref="AC35" si="185">J35/$S$35</f>
        <v>#DIV/0!</v>
      </c>
      <c r="AD35" s="115" t="e">
        <f t="shared" ref="AD35" si="186">K35/$S$35</f>
        <v>#DIV/0!</v>
      </c>
      <c r="AE35" s="115" t="e">
        <f t="shared" ref="AE35" si="187">L35/$S$35</f>
        <v>#DIV/0!</v>
      </c>
      <c r="AF35" s="115" t="e">
        <f t="shared" ref="AF35" si="188">M35/$S$35</f>
        <v>#DIV/0!</v>
      </c>
      <c r="AG35" s="115" t="e">
        <f t="shared" ref="AG35:AH35" si="189">N35/$S$35</f>
        <v>#DIV/0!</v>
      </c>
      <c r="AH35" s="115" t="e">
        <f t="shared" si="189"/>
        <v>#DIV/0!</v>
      </c>
      <c r="AI35" s="115" t="e">
        <f t="shared" ref="AI35" si="190">P35/$S$35</f>
        <v>#DIV/0!</v>
      </c>
      <c r="AJ35" s="115" t="e">
        <f t="shared" ref="AJ35" si="191">Q35/$S$35</f>
        <v>#DIV/0!</v>
      </c>
      <c r="AK35" s="115" t="e">
        <f t="shared" ref="AK35" si="192">R35/$S$35</f>
        <v>#DIV/0!</v>
      </c>
    </row>
    <row r="38" spans="2:37" ht="18" x14ac:dyDescent="0.2">
      <c r="C38" s="536" t="s">
        <v>1033</v>
      </c>
      <c r="D38" s="537"/>
      <c r="E38" s="537"/>
      <c r="F38" s="537"/>
      <c r="G38" s="537"/>
      <c r="H38" s="537"/>
      <c r="I38" s="537"/>
      <c r="J38" s="537"/>
      <c r="K38" s="537"/>
      <c r="L38" s="537"/>
      <c r="M38" s="537"/>
      <c r="N38" s="537"/>
      <c r="O38" s="537"/>
      <c r="P38" s="537"/>
      <c r="Q38" s="537"/>
      <c r="R38" s="537"/>
      <c r="S38" s="538"/>
      <c r="T38" s="1"/>
      <c r="U38" s="1"/>
      <c r="V38" s="536" t="s">
        <v>1034</v>
      </c>
      <c r="W38" s="537"/>
      <c r="X38" s="537"/>
      <c r="Y38" s="537"/>
      <c r="Z38" s="537"/>
      <c r="AA38" s="537"/>
      <c r="AB38" s="537"/>
      <c r="AC38" s="537"/>
      <c r="AD38" s="537"/>
      <c r="AE38" s="537"/>
      <c r="AF38" s="537"/>
      <c r="AG38" s="537"/>
      <c r="AH38" s="537"/>
      <c r="AI38" s="537"/>
      <c r="AJ38" s="537"/>
      <c r="AK38" s="537"/>
    </row>
    <row r="39" spans="2:37" ht="18.75" customHeight="1" x14ac:dyDescent="0.15">
      <c r="B39" s="139"/>
      <c r="C39" s="38" t="s">
        <v>814</v>
      </c>
      <c r="D39" s="38" t="s">
        <v>815</v>
      </c>
      <c r="E39" s="38" t="s">
        <v>816</v>
      </c>
      <c r="F39" s="38" t="s">
        <v>817</v>
      </c>
      <c r="G39" s="38" t="s">
        <v>818</v>
      </c>
      <c r="H39" s="38" t="s">
        <v>819</v>
      </c>
      <c r="I39" s="38" t="s">
        <v>820</v>
      </c>
      <c r="J39" s="38" t="s">
        <v>821</v>
      </c>
      <c r="K39" s="38" t="s">
        <v>822</v>
      </c>
      <c r="L39" s="38" t="s">
        <v>823</v>
      </c>
      <c r="M39" s="38" t="s">
        <v>824</v>
      </c>
      <c r="N39" s="38" t="s">
        <v>825</v>
      </c>
      <c r="O39" s="38" t="s">
        <v>826</v>
      </c>
      <c r="P39" s="38" t="s">
        <v>827</v>
      </c>
      <c r="Q39" s="38" t="s">
        <v>828</v>
      </c>
      <c r="R39" s="38" t="s">
        <v>829</v>
      </c>
      <c r="S39" s="39" t="s">
        <v>831</v>
      </c>
      <c r="T39" s="91"/>
      <c r="U39" s="231"/>
      <c r="V39" s="38" t="s">
        <v>814</v>
      </c>
      <c r="W39" s="38" t="s">
        <v>815</v>
      </c>
      <c r="X39" s="38" t="s">
        <v>816</v>
      </c>
      <c r="Y39" s="38" t="s">
        <v>817</v>
      </c>
      <c r="Z39" s="38" t="s">
        <v>818</v>
      </c>
      <c r="AA39" s="38" t="s">
        <v>819</v>
      </c>
      <c r="AB39" s="38" t="s">
        <v>820</v>
      </c>
      <c r="AC39" s="38" t="s">
        <v>821</v>
      </c>
      <c r="AD39" s="38" t="s">
        <v>822</v>
      </c>
      <c r="AE39" s="38" t="s">
        <v>823</v>
      </c>
      <c r="AF39" s="38" t="s">
        <v>824</v>
      </c>
      <c r="AG39" s="38" t="s">
        <v>825</v>
      </c>
      <c r="AH39" s="38" t="s">
        <v>826</v>
      </c>
      <c r="AI39" s="38" t="s">
        <v>827</v>
      </c>
      <c r="AJ39" s="38" t="s">
        <v>828</v>
      </c>
      <c r="AK39" s="38" t="s">
        <v>829</v>
      </c>
    </row>
    <row r="40" spans="2:37" x14ac:dyDescent="0.15">
      <c r="B40" s="141" t="s">
        <v>17</v>
      </c>
      <c r="C40" s="75">
        <f>SUMIFS('caseload data'!E:E,'caseload data'!$A:$A,$B40,'caseload data'!$B:$B,"licence")</f>
        <v>0</v>
      </c>
      <c r="D40" s="75">
        <f>SUMIFS('caseload data'!F:F,'caseload data'!$A:$A,$B40,'caseload data'!$B:$B,"licence")</f>
        <v>0</v>
      </c>
      <c r="E40" s="75">
        <f>SUMIFS('caseload data'!G:G,'caseload data'!$A:$A,$B40,'caseload data'!$B:$B,"licence")</f>
        <v>0</v>
      </c>
      <c r="F40" s="75">
        <f>SUMIFS('caseload data'!H:H,'caseload data'!$A:$A,$B40,'caseload data'!$B:$B,"licence")</f>
        <v>0</v>
      </c>
      <c r="G40" s="75">
        <f>SUMIFS('caseload data'!I:I,'caseload data'!$A:$A,$B40,'caseload data'!$B:$B,"licence")</f>
        <v>0</v>
      </c>
      <c r="H40" s="75">
        <f>SUMIFS('caseload data'!J:J,'caseload data'!$A:$A,$B40,'caseload data'!$B:$B,"licence")</f>
        <v>0</v>
      </c>
      <c r="I40" s="75">
        <f>SUMIFS('caseload data'!K:K,'caseload data'!$A:$A,$B40,'caseload data'!$B:$B,"licence")</f>
        <v>0</v>
      </c>
      <c r="J40" s="75">
        <f>SUMIFS('caseload data'!L:L,'caseload data'!$A:$A,$B40,'caseload data'!$B:$B,"licence")</f>
        <v>0</v>
      </c>
      <c r="K40" s="75">
        <f>SUMIFS('caseload data'!M:M,'caseload data'!$A:$A,$B40,'caseload data'!$B:$B,"licence")</f>
        <v>0</v>
      </c>
      <c r="L40" s="75">
        <f>SUMIFS('caseload data'!N:N,'caseload data'!$A:$A,$B40,'caseload data'!$B:$B,"licence")</f>
        <v>0</v>
      </c>
      <c r="M40" s="75">
        <f>SUMIFS('caseload data'!O:O,'caseload data'!$A:$A,$B40,'caseload data'!$B:$B,"licence")</f>
        <v>0</v>
      </c>
      <c r="N40" s="75">
        <f>SUMIFS('caseload data'!P:P,'caseload data'!$A:$A,$B40,'caseload data'!$B:$B,"licence")</f>
        <v>0</v>
      </c>
      <c r="O40" s="75">
        <f>SUMIFS('caseload data'!Q:Q,'caseload data'!$A:$A,$B40,'caseload data'!$B:$B,"licence")</f>
        <v>0</v>
      </c>
      <c r="P40" s="75">
        <f>SUMIFS('caseload data'!R:R,'caseload data'!$A:$A,$B40,'caseload data'!$B:$B,"licence")</f>
        <v>0</v>
      </c>
      <c r="Q40" s="75">
        <f>SUMIFS('caseload data'!S:S,'caseload data'!$A:$A,$B40,'caseload data'!$B:$B,"licence")</f>
        <v>0</v>
      </c>
      <c r="R40" s="75">
        <f>SUMIFS('caseload data'!T:T,'caseload data'!$A:$A,$B40,'caseload data'!$B:$B,"licence")</f>
        <v>0</v>
      </c>
      <c r="S40" s="75">
        <f>SUMIFS('caseload data'!V:V,'caseload data'!$A:$A,B40,'caseload data'!$B:$B,"licence")</f>
        <v>0</v>
      </c>
      <c r="T40" s="91"/>
      <c r="U40" s="141" t="s">
        <v>17</v>
      </c>
      <c r="V40" s="66" t="e">
        <f>C40/$S$40</f>
        <v>#DIV/0!</v>
      </c>
      <c r="W40" s="66" t="e">
        <f t="shared" ref="W40:AK40" si="193">D40/$S$40</f>
        <v>#DIV/0!</v>
      </c>
      <c r="X40" s="66" t="e">
        <f t="shared" si="193"/>
        <v>#DIV/0!</v>
      </c>
      <c r="Y40" s="66" t="e">
        <f t="shared" si="193"/>
        <v>#DIV/0!</v>
      </c>
      <c r="Z40" s="66" t="e">
        <f t="shared" si="193"/>
        <v>#DIV/0!</v>
      </c>
      <c r="AA40" s="66" t="e">
        <f t="shared" si="193"/>
        <v>#DIV/0!</v>
      </c>
      <c r="AB40" s="66" t="e">
        <f t="shared" si="193"/>
        <v>#DIV/0!</v>
      </c>
      <c r="AC40" s="66" t="e">
        <f t="shared" si="193"/>
        <v>#DIV/0!</v>
      </c>
      <c r="AD40" s="66" t="e">
        <f t="shared" si="193"/>
        <v>#DIV/0!</v>
      </c>
      <c r="AE40" s="66" t="e">
        <f t="shared" si="193"/>
        <v>#DIV/0!</v>
      </c>
      <c r="AF40" s="66" t="e">
        <f t="shared" si="193"/>
        <v>#DIV/0!</v>
      </c>
      <c r="AG40" s="66" t="e">
        <f t="shared" si="193"/>
        <v>#DIV/0!</v>
      </c>
      <c r="AH40" s="66" t="e">
        <f t="shared" si="193"/>
        <v>#DIV/0!</v>
      </c>
      <c r="AI40" s="66" t="e">
        <f t="shared" si="193"/>
        <v>#DIV/0!</v>
      </c>
      <c r="AJ40" s="66" t="e">
        <f t="shared" si="193"/>
        <v>#DIV/0!</v>
      </c>
      <c r="AK40" s="66" t="e">
        <f t="shared" si="193"/>
        <v>#DIV/0!</v>
      </c>
    </row>
    <row r="41" spans="2:37" x14ac:dyDescent="0.15">
      <c r="B41" s="141" t="s">
        <v>18</v>
      </c>
      <c r="C41" s="75">
        <f>SUMIFS('caseload data'!E:E,'caseload data'!$A:$A,$B41,'caseload data'!$B:$B,"licence")</f>
        <v>0</v>
      </c>
      <c r="D41" s="75">
        <f>SUMIFS('caseload data'!F:F,'caseload data'!$A:$A,$B41,'caseload data'!$B:$B,"licence")</f>
        <v>0</v>
      </c>
      <c r="E41" s="75">
        <f>SUMIFS('caseload data'!G:G,'caseload data'!$A:$A,$B41,'caseload data'!$B:$B,"licence")</f>
        <v>0</v>
      </c>
      <c r="F41" s="75">
        <f>SUMIFS('caseload data'!H:H,'caseload data'!$A:$A,$B41,'caseload data'!$B:$B,"licence")</f>
        <v>0</v>
      </c>
      <c r="G41" s="75">
        <f>SUMIFS('caseload data'!I:I,'caseload data'!$A:$A,$B41,'caseload data'!$B:$B,"licence")</f>
        <v>0</v>
      </c>
      <c r="H41" s="75">
        <f>SUMIFS('caseload data'!J:J,'caseload data'!$A:$A,$B41,'caseload data'!$B:$B,"licence")</f>
        <v>0</v>
      </c>
      <c r="I41" s="75">
        <f>SUMIFS('caseload data'!K:K,'caseload data'!$A:$A,$B41,'caseload data'!$B:$B,"licence")</f>
        <v>0</v>
      </c>
      <c r="J41" s="75">
        <f>SUMIFS('caseload data'!L:L,'caseload data'!$A:$A,$B41,'caseload data'!$B:$B,"licence")</f>
        <v>0</v>
      </c>
      <c r="K41" s="75">
        <f>SUMIFS('caseload data'!M:M,'caseload data'!$A:$A,$B41,'caseload data'!$B:$B,"licence")</f>
        <v>0</v>
      </c>
      <c r="L41" s="75">
        <f>SUMIFS('caseload data'!N:N,'caseload data'!$A:$A,$B41,'caseload data'!$B:$B,"licence")</f>
        <v>0</v>
      </c>
      <c r="M41" s="75">
        <f>SUMIFS('caseload data'!O:O,'caseload data'!$A:$A,$B41,'caseload data'!$B:$B,"licence")</f>
        <v>0</v>
      </c>
      <c r="N41" s="75">
        <f>SUMIFS('caseload data'!P:P,'caseload data'!$A:$A,$B41,'caseload data'!$B:$B,"licence")</f>
        <v>0</v>
      </c>
      <c r="O41" s="75">
        <f>SUMIFS('caseload data'!Q:Q,'caseload data'!$A:$A,$B41,'caseload data'!$B:$B,"licence")</f>
        <v>0</v>
      </c>
      <c r="P41" s="75">
        <f>SUMIFS('caseload data'!R:R,'caseload data'!$A:$A,$B41,'caseload data'!$B:$B,"licence")</f>
        <v>0</v>
      </c>
      <c r="Q41" s="75">
        <f>SUMIFS('caseload data'!S:S,'caseload data'!$A:$A,$B41,'caseload data'!$B:$B,"licence")</f>
        <v>0</v>
      </c>
      <c r="R41" s="75">
        <f>SUMIFS('caseload data'!T:T,'caseload data'!$A:$A,$B41,'caseload data'!$B:$B,"licence")</f>
        <v>0</v>
      </c>
      <c r="S41" s="75">
        <f>SUMIFS('caseload data'!V:V,'caseload data'!$A:$A,B41,'caseload data'!$B:$B,"licence")</f>
        <v>0</v>
      </c>
      <c r="T41" s="91"/>
      <c r="U41" s="141" t="s">
        <v>18</v>
      </c>
      <c r="V41" s="66" t="e">
        <f>C41/$S$41</f>
        <v>#DIV/0!</v>
      </c>
      <c r="W41" s="66" t="e">
        <f t="shared" ref="W41:AK41" si="194">D41/$S$41</f>
        <v>#DIV/0!</v>
      </c>
      <c r="X41" s="66" t="e">
        <f t="shared" si="194"/>
        <v>#DIV/0!</v>
      </c>
      <c r="Y41" s="66" t="e">
        <f t="shared" si="194"/>
        <v>#DIV/0!</v>
      </c>
      <c r="Z41" s="66" t="e">
        <f t="shared" si="194"/>
        <v>#DIV/0!</v>
      </c>
      <c r="AA41" s="66" t="e">
        <f t="shared" si="194"/>
        <v>#DIV/0!</v>
      </c>
      <c r="AB41" s="66" t="e">
        <f t="shared" si="194"/>
        <v>#DIV/0!</v>
      </c>
      <c r="AC41" s="66" t="e">
        <f t="shared" si="194"/>
        <v>#DIV/0!</v>
      </c>
      <c r="AD41" s="66" t="e">
        <f t="shared" si="194"/>
        <v>#DIV/0!</v>
      </c>
      <c r="AE41" s="66" t="e">
        <f t="shared" si="194"/>
        <v>#DIV/0!</v>
      </c>
      <c r="AF41" s="66" t="e">
        <f t="shared" si="194"/>
        <v>#DIV/0!</v>
      </c>
      <c r="AG41" s="66" t="e">
        <f t="shared" si="194"/>
        <v>#DIV/0!</v>
      </c>
      <c r="AH41" s="66" t="e">
        <f t="shared" si="194"/>
        <v>#DIV/0!</v>
      </c>
      <c r="AI41" s="66" t="e">
        <f t="shared" si="194"/>
        <v>#DIV/0!</v>
      </c>
      <c r="AJ41" s="66" t="e">
        <f t="shared" si="194"/>
        <v>#DIV/0!</v>
      </c>
      <c r="AK41" s="66" t="e">
        <f t="shared" si="194"/>
        <v>#DIV/0!</v>
      </c>
    </row>
    <row r="42" spans="2:37" x14ac:dyDescent="0.15">
      <c r="B42" s="141" t="s">
        <v>19</v>
      </c>
      <c r="C42" s="75">
        <f>SUMIFS('caseload data'!E:E,'caseload data'!$A:$A,$B42,'caseload data'!$B:$B,"licence")</f>
        <v>0</v>
      </c>
      <c r="D42" s="75">
        <f>SUMIFS('caseload data'!F:F,'caseload data'!$A:$A,$B42,'caseload data'!$B:$B,"licence")</f>
        <v>0</v>
      </c>
      <c r="E42" s="75">
        <f>SUMIFS('caseload data'!G:G,'caseload data'!$A:$A,$B42,'caseload data'!$B:$B,"licence")</f>
        <v>0</v>
      </c>
      <c r="F42" s="75">
        <f>SUMIFS('caseload data'!H:H,'caseload data'!$A:$A,$B42,'caseload data'!$B:$B,"licence")</f>
        <v>0</v>
      </c>
      <c r="G42" s="75">
        <f>SUMIFS('caseload data'!I:I,'caseload data'!$A:$A,$B42,'caseload data'!$B:$B,"licence")</f>
        <v>0</v>
      </c>
      <c r="H42" s="75">
        <f>SUMIFS('caseload data'!J:J,'caseload data'!$A:$A,$B42,'caseload data'!$B:$B,"licence")</f>
        <v>0</v>
      </c>
      <c r="I42" s="75">
        <f>SUMIFS('caseload data'!K:K,'caseload data'!$A:$A,$B42,'caseload data'!$B:$B,"licence")</f>
        <v>0</v>
      </c>
      <c r="J42" s="75">
        <f>SUMIFS('caseload data'!L:L,'caseload data'!$A:$A,$B42,'caseload data'!$B:$B,"licence")</f>
        <v>0</v>
      </c>
      <c r="K42" s="75">
        <f>SUMIFS('caseload data'!M:M,'caseload data'!$A:$A,$B42,'caseload data'!$B:$B,"licence")</f>
        <v>0</v>
      </c>
      <c r="L42" s="75">
        <f>SUMIFS('caseload data'!N:N,'caseload data'!$A:$A,$B42,'caseload data'!$B:$B,"licence")</f>
        <v>0</v>
      </c>
      <c r="M42" s="75">
        <f>SUMIFS('caseload data'!O:O,'caseload data'!$A:$A,$B42,'caseload data'!$B:$B,"licence")</f>
        <v>0</v>
      </c>
      <c r="N42" s="75">
        <f>SUMIFS('caseload data'!P:P,'caseload data'!$A:$A,$B42,'caseload data'!$B:$B,"licence")</f>
        <v>0</v>
      </c>
      <c r="O42" s="75">
        <f>SUMIFS('caseload data'!Q:Q,'caseload data'!$A:$A,$B42,'caseload data'!$B:$B,"licence")</f>
        <v>0</v>
      </c>
      <c r="P42" s="75">
        <f>SUMIFS('caseload data'!R:R,'caseload data'!$A:$A,$B42,'caseload data'!$B:$B,"licence")</f>
        <v>0</v>
      </c>
      <c r="Q42" s="75">
        <f>SUMIFS('caseload data'!S:S,'caseload data'!$A:$A,$B42,'caseload data'!$B:$B,"licence")</f>
        <v>0</v>
      </c>
      <c r="R42" s="75">
        <f>SUMIFS('caseload data'!T:T,'caseload data'!$A:$A,$B42,'caseload data'!$B:$B,"licence")</f>
        <v>0</v>
      </c>
      <c r="S42" s="75">
        <f>SUMIFS('caseload data'!V:V,'caseload data'!$A:$A,B42,'caseload data'!$B:$B,"licence")</f>
        <v>0</v>
      </c>
      <c r="T42" s="91"/>
      <c r="U42" s="141" t="s">
        <v>19</v>
      </c>
      <c r="V42" s="66" t="e">
        <f>C42/$S$42</f>
        <v>#DIV/0!</v>
      </c>
      <c r="W42" s="66" t="e">
        <f t="shared" ref="W42:AK42" si="195">D42/$S$42</f>
        <v>#DIV/0!</v>
      </c>
      <c r="X42" s="66" t="e">
        <f t="shared" si="195"/>
        <v>#DIV/0!</v>
      </c>
      <c r="Y42" s="66" t="e">
        <f t="shared" si="195"/>
        <v>#DIV/0!</v>
      </c>
      <c r="Z42" s="66" t="e">
        <f t="shared" si="195"/>
        <v>#DIV/0!</v>
      </c>
      <c r="AA42" s="66" t="e">
        <f t="shared" si="195"/>
        <v>#DIV/0!</v>
      </c>
      <c r="AB42" s="66" t="e">
        <f t="shared" si="195"/>
        <v>#DIV/0!</v>
      </c>
      <c r="AC42" s="66" t="e">
        <f t="shared" si="195"/>
        <v>#DIV/0!</v>
      </c>
      <c r="AD42" s="66" t="e">
        <f t="shared" si="195"/>
        <v>#DIV/0!</v>
      </c>
      <c r="AE42" s="66" t="e">
        <f t="shared" si="195"/>
        <v>#DIV/0!</v>
      </c>
      <c r="AF42" s="66" t="e">
        <f t="shared" si="195"/>
        <v>#DIV/0!</v>
      </c>
      <c r="AG42" s="66" t="e">
        <f t="shared" si="195"/>
        <v>#DIV/0!</v>
      </c>
      <c r="AH42" s="66" t="e">
        <f t="shared" si="195"/>
        <v>#DIV/0!</v>
      </c>
      <c r="AI42" s="66" t="e">
        <f t="shared" si="195"/>
        <v>#DIV/0!</v>
      </c>
      <c r="AJ42" s="66" t="e">
        <f t="shared" si="195"/>
        <v>#DIV/0!</v>
      </c>
      <c r="AK42" s="66" t="e">
        <f t="shared" si="195"/>
        <v>#DIV/0!</v>
      </c>
    </row>
    <row r="43" spans="2:37" x14ac:dyDescent="0.15">
      <c r="B43" s="141" t="s">
        <v>20</v>
      </c>
      <c r="C43" s="75">
        <f>SUMIFS('caseload data'!E:E,'caseload data'!$A:$A,$B43,'caseload data'!$B:$B,"licence")</f>
        <v>0</v>
      </c>
      <c r="D43" s="75">
        <f>SUMIFS('caseload data'!F:F,'caseload data'!$A:$A,$B43,'caseload data'!$B:$B,"licence")</f>
        <v>0</v>
      </c>
      <c r="E43" s="75">
        <f>SUMIFS('caseload data'!G:G,'caseload data'!$A:$A,$B43,'caseload data'!$B:$B,"licence")</f>
        <v>0</v>
      </c>
      <c r="F43" s="75">
        <f>SUMIFS('caseload data'!H:H,'caseload data'!$A:$A,$B43,'caseload data'!$B:$B,"licence")</f>
        <v>0</v>
      </c>
      <c r="G43" s="75">
        <f>SUMIFS('caseload data'!I:I,'caseload data'!$A:$A,$B43,'caseload data'!$B:$B,"licence")</f>
        <v>0</v>
      </c>
      <c r="H43" s="75">
        <f>SUMIFS('caseload data'!J:J,'caseload data'!$A:$A,$B43,'caseload data'!$B:$B,"licence")</f>
        <v>0</v>
      </c>
      <c r="I43" s="75">
        <f>SUMIFS('caseload data'!K:K,'caseload data'!$A:$A,$B43,'caseload data'!$B:$B,"licence")</f>
        <v>0</v>
      </c>
      <c r="J43" s="75">
        <f>SUMIFS('caseload data'!L:L,'caseload data'!$A:$A,$B43,'caseload data'!$B:$B,"licence")</f>
        <v>0</v>
      </c>
      <c r="K43" s="75">
        <f>SUMIFS('caseload data'!M:M,'caseload data'!$A:$A,$B43,'caseload data'!$B:$B,"licence")</f>
        <v>0</v>
      </c>
      <c r="L43" s="75">
        <f>SUMIFS('caseload data'!N:N,'caseload data'!$A:$A,$B43,'caseload data'!$B:$B,"licence")</f>
        <v>0</v>
      </c>
      <c r="M43" s="75">
        <f>SUMIFS('caseload data'!O:O,'caseload data'!$A:$A,$B43,'caseload data'!$B:$B,"licence")</f>
        <v>0</v>
      </c>
      <c r="N43" s="75">
        <f>SUMIFS('caseload data'!P:P,'caseload data'!$A:$A,$B43,'caseload data'!$B:$B,"licence")</f>
        <v>0</v>
      </c>
      <c r="O43" s="75">
        <f>SUMIFS('caseload data'!Q:Q,'caseload data'!$A:$A,$B43,'caseload data'!$B:$B,"licence")</f>
        <v>0</v>
      </c>
      <c r="P43" s="75">
        <f>SUMIFS('caseload data'!R:R,'caseload data'!$A:$A,$B43,'caseload data'!$B:$B,"licence")</f>
        <v>0</v>
      </c>
      <c r="Q43" s="75">
        <f>SUMIFS('caseload data'!S:S,'caseload data'!$A:$A,$B43,'caseload data'!$B:$B,"licence")</f>
        <v>0</v>
      </c>
      <c r="R43" s="75">
        <f>SUMIFS('caseload data'!T:T,'caseload data'!$A:$A,$B43,'caseload data'!$B:$B,"licence")</f>
        <v>0</v>
      </c>
      <c r="S43" s="75">
        <f>SUMIFS('caseload data'!V:V,'caseload data'!$A:$A,B43,'caseload data'!$B:$B,"licence")</f>
        <v>0</v>
      </c>
      <c r="T43" s="91"/>
      <c r="U43" s="141" t="s">
        <v>20</v>
      </c>
      <c r="V43" s="66" t="e">
        <f>C43/$S$43</f>
        <v>#DIV/0!</v>
      </c>
      <c r="W43" s="66" t="e">
        <f t="shared" ref="W43:AK43" si="196">D43/$S$43</f>
        <v>#DIV/0!</v>
      </c>
      <c r="X43" s="66" t="e">
        <f t="shared" si="196"/>
        <v>#DIV/0!</v>
      </c>
      <c r="Y43" s="66" t="e">
        <f t="shared" si="196"/>
        <v>#DIV/0!</v>
      </c>
      <c r="Z43" s="66" t="e">
        <f t="shared" si="196"/>
        <v>#DIV/0!</v>
      </c>
      <c r="AA43" s="66" t="e">
        <f t="shared" si="196"/>
        <v>#DIV/0!</v>
      </c>
      <c r="AB43" s="66" t="e">
        <f t="shared" si="196"/>
        <v>#DIV/0!</v>
      </c>
      <c r="AC43" s="66" t="e">
        <f t="shared" si="196"/>
        <v>#DIV/0!</v>
      </c>
      <c r="AD43" s="66" t="e">
        <f t="shared" si="196"/>
        <v>#DIV/0!</v>
      </c>
      <c r="AE43" s="66" t="e">
        <f t="shared" si="196"/>
        <v>#DIV/0!</v>
      </c>
      <c r="AF43" s="66" t="e">
        <f t="shared" si="196"/>
        <v>#DIV/0!</v>
      </c>
      <c r="AG43" s="66" t="e">
        <f t="shared" si="196"/>
        <v>#DIV/0!</v>
      </c>
      <c r="AH43" s="66" t="e">
        <f t="shared" si="196"/>
        <v>#DIV/0!</v>
      </c>
      <c r="AI43" s="66" t="e">
        <f t="shared" si="196"/>
        <v>#DIV/0!</v>
      </c>
      <c r="AJ43" s="66" t="e">
        <f t="shared" si="196"/>
        <v>#DIV/0!</v>
      </c>
      <c r="AK43" s="66" t="e">
        <f t="shared" si="196"/>
        <v>#DIV/0!</v>
      </c>
    </row>
    <row r="44" spans="2:37" x14ac:dyDescent="0.15">
      <c r="B44" s="141" t="s">
        <v>21</v>
      </c>
      <c r="C44" s="75">
        <f>SUMIFS('caseload data'!E:E,'caseload data'!$A:$A,$B44,'caseload data'!$B:$B,"licence")</f>
        <v>0</v>
      </c>
      <c r="D44" s="75">
        <f>SUMIFS('caseload data'!F:F,'caseload data'!$A:$A,$B44,'caseload data'!$B:$B,"licence")</f>
        <v>0</v>
      </c>
      <c r="E44" s="75">
        <f>SUMIFS('caseload data'!G:G,'caseload data'!$A:$A,$B44,'caseload data'!$B:$B,"licence")</f>
        <v>0</v>
      </c>
      <c r="F44" s="75">
        <f>SUMIFS('caseload data'!H:H,'caseload data'!$A:$A,$B44,'caseload data'!$B:$B,"licence")</f>
        <v>0</v>
      </c>
      <c r="G44" s="75">
        <f>SUMIFS('caseload data'!I:I,'caseload data'!$A:$A,$B44,'caseload data'!$B:$B,"licence")</f>
        <v>0</v>
      </c>
      <c r="H44" s="75">
        <f>SUMIFS('caseload data'!J:J,'caseload data'!$A:$A,$B44,'caseload data'!$B:$B,"licence")</f>
        <v>0</v>
      </c>
      <c r="I44" s="75">
        <f>SUMIFS('caseload data'!K:K,'caseload data'!$A:$A,$B44,'caseload data'!$B:$B,"licence")</f>
        <v>0</v>
      </c>
      <c r="J44" s="75">
        <f>SUMIFS('caseload data'!L:L,'caseload data'!$A:$A,$B44,'caseload data'!$B:$B,"licence")</f>
        <v>0</v>
      </c>
      <c r="K44" s="75">
        <f>SUMIFS('caseload data'!M:M,'caseload data'!$A:$A,$B44,'caseload data'!$B:$B,"licence")</f>
        <v>0</v>
      </c>
      <c r="L44" s="75">
        <f>SUMIFS('caseload data'!N:N,'caseload data'!$A:$A,$B44,'caseload data'!$B:$B,"licence")</f>
        <v>0</v>
      </c>
      <c r="M44" s="75">
        <f>SUMIFS('caseload data'!O:O,'caseload data'!$A:$A,$B44,'caseload data'!$B:$B,"licence")</f>
        <v>0</v>
      </c>
      <c r="N44" s="75">
        <f>SUMIFS('caseload data'!P:P,'caseload data'!$A:$A,$B44,'caseload data'!$B:$B,"licence")</f>
        <v>0</v>
      </c>
      <c r="O44" s="75">
        <f>SUMIFS('caseload data'!Q:Q,'caseload data'!$A:$A,$B44,'caseload data'!$B:$B,"licence")</f>
        <v>0</v>
      </c>
      <c r="P44" s="75">
        <f>SUMIFS('caseload data'!R:R,'caseload data'!$A:$A,$B44,'caseload data'!$B:$B,"licence")</f>
        <v>0</v>
      </c>
      <c r="Q44" s="75">
        <f>SUMIFS('caseload data'!S:S,'caseload data'!$A:$A,$B44,'caseload data'!$B:$B,"licence")</f>
        <v>0</v>
      </c>
      <c r="R44" s="75">
        <f>SUMIFS('caseload data'!T:T,'caseload data'!$A:$A,$B44,'caseload data'!$B:$B,"licence")</f>
        <v>0</v>
      </c>
      <c r="S44" s="75">
        <f>SUMIFS('caseload data'!V:V,'caseload data'!$A:$A,B44,'caseload data'!$B:$B,"licence")</f>
        <v>0</v>
      </c>
      <c r="T44" s="91"/>
      <c r="U44" s="141" t="s">
        <v>21</v>
      </c>
      <c r="V44" s="66" t="e">
        <f>C44/$S$44</f>
        <v>#DIV/0!</v>
      </c>
      <c r="W44" s="66" t="e">
        <f t="shared" ref="W44:AK44" si="197">D44/$S$44</f>
        <v>#DIV/0!</v>
      </c>
      <c r="X44" s="66" t="e">
        <f t="shared" si="197"/>
        <v>#DIV/0!</v>
      </c>
      <c r="Y44" s="66" t="e">
        <f t="shared" si="197"/>
        <v>#DIV/0!</v>
      </c>
      <c r="Z44" s="66" t="e">
        <f t="shared" si="197"/>
        <v>#DIV/0!</v>
      </c>
      <c r="AA44" s="66" t="e">
        <f t="shared" si="197"/>
        <v>#DIV/0!</v>
      </c>
      <c r="AB44" s="66" t="e">
        <f t="shared" si="197"/>
        <v>#DIV/0!</v>
      </c>
      <c r="AC44" s="66" t="e">
        <f t="shared" si="197"/>
        <v>#DIV/0!</v>
      </c>
      <c r="AD44" s="66" t="e">
        <f t="shared" si="197"/>
        <v>#DIV/0!</v>
      </c>
      <c r="AE44" s="66" t="e">
        <f t="shared" si="197"/>
        <v>#DIV/0!</v>
      </c>
      <c r="AF44" s="66" t="e">
        <f t="shared" si="197"/>
        <v>#DIV/0!</v>
      </c>
      <c r="AG44" s="66" t="e">
        <f t="shared" si="197"/>
        <v>#DIV/0!</v>
      </c>
      <c r="AH44" s="66" t="e">
        <f t="shared" si="197"/>
        <v>#DIV/0!</v>
      </c>
      <c r="AI44" s="66" t="e">
        <f t="shared" si="197"/>
        <v>#DIV/0!</v>
      </c>
      <c r="AJ44" s="66" t="e">
        <f t="shared" si="197"/>
        <v>#DIV/0!</v>
      </c>
      <c r="AK44" s="66" t="e">
        <f t="shared" si="197"/>
        <v>#DIV/0!</v>
      </c>
    </row>
    <row r="45" spans="2:37" x14ac:dyDescent="0.15">
      <c r="B45" s="141" t="s">
        <v>22</v>
      </c>
      <c r="C45" s="75">
        <f>SUMIFS('caseload data'!E:E,'caseload data'!$A:$A,$B45,'caseload data'!$B:$B,"licence")</f>
        <v>0</v>
      </c>
      <c r="D45" s="75">
        <f>SUMIFS('caseload data'!F:F,'caseload data'!$A:$A,$B45,'caseload data'!$B:$B,"licence")</f>
        <v>0</v>
      </c>
      <c r="E45" s="75">
        <f>SUMIFS('caseload data'!G:G,'caseload data'!$A:$A,$B45,'caseload data'!$B:$B,"licence")</f>
        <v>0</v>
      </c>
      <c r="F45" s="75">
        <f>SUMIFS('caseload data'!H:H,'caseload data'!$A:$A,$B45,'caseload data'!$B:$B,"licence")</f>
        <v>0</v>
      </c>
      <c r="G45" s="75">
        <f>SUMIFS('caseload data'!I:I,'caseload data'!$A:$A,$B45,'caseload data'!$B:$B,"licence")</f>
        <v>0</v>
      </c>
      <c r="H45" s="75">
        <f>SUMIFS('caseload data'!J:J,'caseload data'!$A:$A,$B45,'caseload data'!$B:$B,"licence")</f>
        <v>0</v>
      </c>
      <c r="I45" s="75">
        <f>SUMIFS('caseload data'!K:K,'caseload data'!$A:$A,$B45,'caseload data'!$B:$B,"licence")</f>
        <v>0</v>
      </c>
      <c r="J45" s="75">
        <f>SUMIFS('caseload data'!L:L,'caseload data'!$A:$A,$B45,'caseload data'!$B:$B,"licence")</f>
        <v>0</v>
      </c>
      <c r="K45" s="75">
        <f>SUMIFS('caseload data'!M:M,'caseload data'!$A:$A,$B45,'caseload data'!$B:$B,"licence")</f>
        <v>0</v>
      </c>
      <c r="L45" s="75">
        <f>SUMIFS('caseload data'!N:N,'caseload data'!$A:$A,$B45,'caseload data'!$B:$B,"licence")</f>
        <v>0</v>
      </c>
      <c r="M45" s="75">
        <f>SUMIFS('caseload data'!O:O,'caseload data'!$A:$A,$B45,'caseload data'!$B:$B,"licence")</f>
        <v>0</v>
      </c>
      <c r="N45" s="75">
        <f>SUMIFS('caseload data'!P:P,'caseload data'!$A:$A,$B45,'caseload data'!$B:$B,"licence")</f>
        <v>0</v>
      </c>
      <c r="O45" s="75">
        <f>SUMIFS('caseload data'!Q:Q,'caseload data'!$A:$A,$B45,'caseload data'!$B:$B,"licence")</f>
        <v>0</v>
      </c>
      <c r="P45" s="75">
        <f>SUMIFS('caseload data'!R:R,'caseload data'!$A:$A,$B45,'caseload data'!$B:$B,"licence")</f>
        <v>0</v>
      </c>
      <c r="Q45" s="75">
        <f>SUMIFS('caseload data'!S:S,'caseload data'!$A:$A,$B45,'caseload data'!$B:$B,"licence")</f>
        <v>0</v>
      </c>
      <c r="R45" s="75">
        <f>SUMIFS('caseload data'!T:T,'caseload data'!$A:$A,$B45,'caseload data'!$B:$B,"licence")</f>
        <v>0</v>
      </c>
      <c r="S45" s="75">
        <f>SUMIFS('caseload data'!V:V,'caseload data'!$A:$A,B45,'caseload data'!$B:$B,"licence")</f>
        <v>0</v>
      </c>
      <c r="T45" s="91"/>
      <c r="U45" s="141" t="s">
        <v>22</v>
      </c>
      <c r="V45" s="66" t="e">
        <f>C45/$S$45</f>
        <v>#DIV/0!</v>
      </c>
      <c r="W45" s="66" t="e">
        <f t="shared" ref="W45:AK45" si="198">D45/$S$45</f>
        <v>#DIV/0!</v>
      </c>
      <c r="X45" s="66" t="e">
        <f t="shared" si="198"/>
        <v>#DIV/0!</v>
      </c>
      <c r="Y45" s="66" t="e">
        <f t="shared" si="198"/>
        <v>#DIV/0!</v>
      </c>
      <c r="Z45" s="66" t="e">
        <f t="shared" si="198"/>
        <v>#DIV/0!</v>
      </c>
      <c r="AA45" s="66" t="e">
        <f t="shared" si="198"/>
        <v>#DIV/0!</v>
      </c>
      <c r="AB45" s="66" t="e">
        <f t="shared" si="198"/>
        <v>#DIV/0!</v>
      </c>
      <c r="AC45" s="66" t="e">
        <f t="shared" si="198"/>
        <v>#DIV/0!</v>
      </c>
      <c r="AD45" s="66" t="e">
        <f t="shared" si="198"/>
        <v>#DIV/0!</v>
      </c>
      <c r="AE45" s="66" t="e">
        <f t="shared" si="198"/>
        <v>#DIV/0!</v>
      </c>
      <c r="AF45" s="66" t="e">
        <f t="shared" si="198"/>
        <v>#DIV/0!</v>
      </c>
      <c r="AG45" s="66" t="e">
        <f t="shared" si="198"/>
        <v>#DIV/0!</v>
      </c>
      <c r="AH45" s="66" t="e">
        <f t="shared" si="198"/>
        <v>#DIV/0!</v>
      </c>
      <c r="AI45" s="66" t="e">
        <f t="shared" si="198"/>
        <v>#DIV/0!</v>
      </c>
      <c r="AJ45" s="66" t="e">
        <f t="shared" si="198"/>
        <v>#DIV/0!</v>
      </c>
      <c r="AK45" s="66" t="e">
        <f t="shared" si="198"/>
        <v>#DIV/0!</v>
      </c>
    </row>
    <row r="46" spans="2:37" x14ac:dyDescent="0.15">
      <c r="B46" s="141" t="s">
        <v>23</v>
      </c>
      <c r="C46" s="75">
        <f>SUMIFS('caseload data'!E:E,'caseload data'!$A:$A,$B46,'caseload data'!$B:$B,"licence")</f>
        <v>0</v>
      </c>
      <c r="D46" s="75">
        <f>SUMIFS('caseload data'!F:F,'caseload data'!$A:$A,$B46,'caseload data'!$B:$B,"licence")</f>
        <v>0</v>
      </c>
      <c r="E46" s="75">
        <f>SUMIFS('caseload data'!G:G,'caseload data'!$A:$A,$B46,'caseload data'!$B:$B,"licence")</f>
        <v>0</v>
      </c>
      <c r="F46" s="75">
        <f>SUMIFS('caseload data'!H:H,'caseload data'!$A:$A,$B46,'caseload data'!$B:$B,"licence")</f>
        <v>0</v>
      </c>
      <c r="G46" s="75">
        <f>SUMIFS('caseload data'!I:I,'caseload data'!$A:$A,$B46,'caseload data'!$B:$B,"licence")</f>
        <v>0</v>
      </c>
      <c r="H46" s="75">
        <f>SUMIFS('caseload data'!J:J,'caseload data'!$A:$A,$B46,'caseload data'!$B:$B,"licence")</f>
        <v>0</v>
      </c>
      <c r="I46" s="75">
        <f>SUMIFS('caseload data'!K:K,'caseload data'!$A:$A,$B46,'caseload data'!$B:$B,"licence")</f>
        <v>0</v>
      </c>
      <c r="J46" s="75">
        <f>SUMIFS('caseload data'!L:L,'caseload data'!$A:$A,$B46,'caseload data'!$B:$B,"licence")</f>
        <v>0</v>
      </c>
      <c r="K46" s="75">
        <f>SUMIFS('caseload data'!M:M,'caseload data'!$A:$A,$B46,'caseload data'!$B:$B,"licence")</f>
        <v>0</v>
      </c>
      <c r="L46" s="75">
        <f>SUMIFS('caseload data'!N:N,'caseload data'!$A:$A,$B46,'caseload data'!$B:$B,"licence")</f>
        <v>0</v>
      </c>
      <c r="M46" s="75">
        <f>SUMIFS('caseload data'!O:O,'caseload data'!$A:$A,$B46,'caseload data'!$B:$B,"licence")</f>
        <v>0</v>
      </c>
      <c r="N46" s="75">
        <f>SUMIFS('caseload data'!P:P,'caseload data'!$A:$A,$B46,'caseload data'!$B:$B,"licence")</f>
        <v>0</v>
      </c>
      <c r="O46" s="75">
        <f>SUMIFS('caseload data'!Q:Q,'caseload data'!$A:$A,$B46,'caseload data'!$B:$B,"licence")</f>
        <v>0</v>
      </c>
      <c r="P46" s="75">
        <f>SUMIFS('caseload data'!R:R,'caseload data'!$A:$A,$B46,'caseload data'!$B:$B,"licence")</f>
        <v>0</v>
      </c>
      <c r="Q46" s="75">
        <f>SUMIFS('caseload data'!S:S,'caseload data'!$A:$A,$B46,'caseload data'!$B:$B,"licence")</f>
        <v>0</v>
      </c>
      <c r="R46" s="75">
        <f>SUMIFS('caseload data'!T:T,'caseload data'!$A:$A,$B46,'caseload data'!$B:$B,"licence")</f>
        <v>0</v>
      </c>
      <c r="S46" s="75">
        <f>SUMIFS('caseload data'!V:V,'caseload data'!$A:$A,B46,'caseload data'!$B:$B,"licence")</f>
        <v>0</v>
      </c>
      <c r="T46" s="91"/>
      <c r="U46" s="141" t="s">
        <v>23</v>
      </c>
      <c r="V46" s="66" t="e">
        <f>C46/$S$46</f>
        <v>#DIV/0!</v>
      </c>
      <c r="W46" s="66" t="e">
        <f t="shared" ref="W46:AK46" si="199">D46/$S$46</f>
        <v>#DIV/0!</v>
      </c>
      <c r="X46" s="66" t="e">
        <f t="shared" si="199"/>
        <v>#DIV/0!</v>
      </c>
      <c r="Y46" s="66" t="e">
        <f t="shared" si="199"/>
        <v>#DIV/0!</v>
      </c>
      <c r="Z46" s="66" t="e">
        <f t="shared" si="199"/>
        <v>#DIV/0!</v>
      </c>
      <c r="AA46" s="66" t="e">
        <f t="shared" si="199"/>
        <v>#DIV/0!</v>
      </c>
      <c r="AB46" s="66" t="e">
        <f t="shared" si="199"/>
        <v>#DIV/0!</v>
      </c>
      <c r="AC46" s="66" t="e">
        <f t="shared" si="199"/>
        <v>#DIV/0!</v>
      </c>
      <c r="AD46" s="66" t="e">
        <f t="shared" si="199"/>
        <v>#DIV/0!</v>
      </c>
      <c r="AE46" s="66" t="e">
        <f t="shared" si="199"/>
        <v>#DIV/0!</v>
      </c>
      <c r="AF46" s="66" t="e">
        <f t="shared" si="199"/>
        <v>#DIV/0!</v>
      </c>
      <c r="AG46" s="66" t="e">
        <f t="shared" si="199"/>
        <v>#DIV/0!</v>
      </c>
      <c r="AH46" s="66" t="e">
        <f t="shared" si="199"/>
        <v>#DIV/0!</v>
      </c>
      <c r="AI46" s="66" t="e">
        <f t="shared" si="199"/>
        <v>#DIV/0!</v>
      </c>
      <c r="AJ46" s="66" t="e">
        <f t="shared" si="199"/>
        <v>#DIV/0!</v>
      </c>
      <c r="AK46" s="66" t="e">
        <f t="shared" si="199"/>
        <v>#DIV/0!</v>
      </c>
    </row>
    <row r="47" spans="2:37" x14ac:dyDescent="0.15">
      <c r="B47" s="141" t="s">
        <v>24</v>
      </c>
      <c r="C47" s="75">
        <f>SUMIFS('caseload data'!E:E,'caseload data'!$A:$A,$B47,'caseload data'!$B:$B,"licence")</f>
        <v>0</v>
      </c>
      <c r="D47" s="75">
        <f>SUMIFS('caseload data'!F:F,'caseload data'!$A:$A,$B47,'caseload data'!$B:$B,"licence")</f>
        <v>0</v>
      </c>
      <c r="E47" s="75">
        <f>SUMIFS('caseload data'!G:G,'caseload data'!$A:$A,$B47,'caseload data'!$B:$B,"licence")</f>
        <v>0</v>
      </c>
      <c r="F47" s="75">
        <f>SUMIFS('caseload data'!H:H,'caseload data'!$A:$A,$B47,'caseload data'!$B:$B,"licence")</f>
        <v>0</v>
      </c>
      <c r="G47" s="75">
        <f>SUMIFS('caseload data'!I:I,'caseload data'!$A:$A,$B47,'caseload data'!$B:$B,"licence")</f>
        <v>0</v>
      </c>
      <c r="H47" s="75">
        <f>SUMIFS('caseload data'!J:J,'caseload data'!$A:$A,$B47,'caseload data'!$B:$B,"licence")</f>
        <v>0</v>
      </c>
      <c r="I47" s="75">
        <f>SUMIFS('caseload data'!K:K,'caseload data'!$A:$A,$B47,'caseload data'!$B:$B,"licence")</f>
        <v>0</v>
      </c>
      <c r="J47" s="75">
        <f>SUMIFS('caseload data'!L:L,'caseload data'!$A:$A,$B47,'caseload data'!$B:$B,"licence")</f>
        <v>0</v>
      </c>
      <c r="K47" s="75">
        <f>SUMIFS('caseload data'!M:M,'caseload data'!$A:$A,$B47,'caseload data'!$B:$B,"licence")</f>
        <v>0</v>
      </c>
      <c r="L47" s="75">
        <f>SUMIFS('caseload data'!N:N,'caseload data'!$A:$A,$B47,'caseload data'!$B:$B,"licence")</f>
        <v>0</v>
      </c>
      <c r="M47" s="75">
        <f>SUMIFS('caseload data'!O:O,'caseload data'!$A:$A,$B47,'caseload data'!$B:$B,"licence")</f>
        <v>0</v>
      </c>
      <c r="N47" s="75">
        <f>SUMIFS('caseload data'!P:P,'caseload data'!$A:$A,$B47,'caseload data'!$B:$B,"licence")</f>
        <v>0</v>
      </c>
      <c r="O47" s="75">
        <f>SUMIFS('caseload data'!Q:Q,'caseload data'!$A:$A,$B47,'caseload data'!$B:$B,"licence")</f>
        <v>0</v>
      </c>
      <c r="P47" s="75">
        <f>SUMIFS('caseload data'!R:R,'caseload data'!$A:$A,$B47,'caseload data'!$B:$B,"licence")</f>
        <v>0</v>
      </c>
      <c r="Q47" s="75">
        <f>SUMIFS('caseload data'!S:S,'caseload data'!$A:$A,$B47,'caseload data'!$B:$B,"licence")</f>
        <v>0</v>
      </c>
      <c r="R47" s="75">
        <f>SUMIFS('caseload data'!T:T,'caseload data'!$A:$A,$B47,'caseload data'!$B:$B,"licence")</f>
        <v>0</v>
      </c>
      <c r="S47" s="75">
        <f>SUMIFS('caseload data'!V:V,'caseload data'!$A:$A,B47,'caseload data'!$B:$B,"licence")</f>
        <v>0</v>
      </c>
      <c r="T47" s="91"/>
      <c r="U47" s="141" t="s">
        <v>24</v>
      </c>
      <c r="V47" s="66" t="e">
        <f t="shared" ref="V47:AK47" si="200">C47/$S$47</f>
        <v>#DIV/0!</v>
      </c>
      <c r="W47" s="66" t="e">
        <f t="shared" si="200"/>
        <v>#DIV/0!</v>
      </c>
      <c r="X47" s="66" t="e">
        <f t="shared" si="200"/>
        <v>#DIV/0!</v>
      </c>
      <c r="Y47" s="66" t="e">
        <f t="shared" si="200"/>
        <v>#DIV/0!</v>
      </c>
      <c r="Z47" s="66" t="e">
        <f t="shared" si="200"/>
        <v>#DIV/0!</v>
      </c>
      <c r="AA47" s="66" t="e">
        <f t="shared" si="200"/>
        <v>#DIV/0!</v>
      </c>
      <c r="AB47" s="66" t="e">
        <f t="shared" si="200"/>
        <v>#DIV/0!</v>
      </c>
      <c r="AC47" s="66" t="e">
        <f t="shared" si="200"/>
        <v>#DIV/0!</v>
      </c>
      <c r="AD47" s="66" t="e">
        <f t="shared" si="200"/>
        <v>#DIV/0!</v>
      </c>
      <c r="AE47" s="66" t="e">
        <f t="shared" si="200"/>
        <v>#DIV/0!</v>
      </c>
      <c r="AF47" s="66" t="e">
        <f t="shared" si="200"/>
        <v>#DIV/0!</v>
      </c>
      <c r="AG47" s="66" t="e">
        <f t="shared" si="200"/>
        <v>#DIV/0!</v>
      </c>
      <c r="AH47" s="66" t="e">
        <f t="shared" si="200"/>
        <v>#DIV/0!</v>
      </c>
      <c r="AI47" s="66" t="e">
        <f t="shared" si="200"/>
        <v>#DIV/0!</v>
      </c>
      <c r="AJ47" s="66" t="e">
        <f t="shared" si="200"/>
        <v>#DIV/0!</v>
      </c>
      <c r="AK47" s="66" t="e">
        <f t="shared" si="200"/>
        <v>#DIV/0!</v>
      </c>
    </row>
    <row r="48" spans="2:37" x14ac:dyDescent="0.15">
      <c r="B48" s="141" t="s">
        <v>25</v>
      </c>
      <c r="C48" s="75">
        <f>SUMIFS('caseload data'!E:E,'caseload data'!$A:$A,$B48,'caseload data'!$B:$B,"licence")</f>
        <v>0</v>
      </c>
      <c r="D48" s="75">
        <f>SUMIFS('caseload data'!F:F,'caseload data'!$A:$A,$B48,'caseload data'!$B:$B,"licence")</f>
        <v>0</v>
      </c>
      <c r="E48" s="75">
        <f>SUMIFS('caseload data'!G:G,'caseload data'!$A:$A,$B48,'caseload data'!$B:$B,"licence")</f>
        <v>0</v>
      </c>
      <c r="F48" s="75">
        <f>SUMIFS('caseload data'!H:H,'caseload data'!$A:$A,$B48,'caseload data'!$B:$B,"licence")</f>
        <v>0</v>
      </c>
      <c r="G48" s="75">
        <f>SUMIFS('caseload data'!I:I,'caseload data'!$A:$A,$B48,'caseload data'!$B:$B,"licence")</f>
        <v>0</v>
      </c>
      <c r="H48" s="75">
        <f>SUMIFS('caseload data'!J:J,'caseload data'!$A:$A,$B48,'caseload data'!$B:$B,"licence")</f>
        <v>0</v>
      </c>
      <c r="I48" s="75">
        <f>SUMIFS('caseload data'!K:K,'caseload data'!$A:$A,$B48,'caseload data'!$B:$B,"licence")</f>
        <v>0</v>
      </c>
      <c r="J48" s="75">
        <f>SUMIFS('caseload data'!L:L,'caseload data'!$A:$A,$B48,'caseload data'!$B:$B,"licence")</f>
        <v>0</v>
      </c>
      <c r="K48" s="75">
        <f>SUMIFS('caseload data'!M:M,'caseload data'!$A:$A,$B48,'caseload data'!$B:$B,"licence")</f>
        <v>0</v>
      </c>
      <c r="L48" s="75">
        <f>SUMIFS('caseload data'!N:N,'caseload data'!$A:$A,$B48,'caseload data'!$B:$B,"licence")</f>
        <v>0</v>
      </c>
      <c r="M48" s="75">
        <f>SUMIFS('caseload data'!O:O,'caseload data'!$A:$A,$B48,'caseload data'!$B:$B,"licence")</f>
        <v>0</v>
      </c>
      <c r="N48" s="75">
        <f>SUMIFS('caseload data'!P:P,'caseload data'!$A:$A,$B48,'caseload data'!$B:$B,"licence")</f>
        <v>0</v>
      </c>
      <c r="O48" s="75">
        <f>SUMIFS('caseload data'!Q:Q,'caseload data'!$A:$A,$B48,'caseload data'!$B:$B,"licence")</f>
        <v>0</v>
      </c>
      <c r="P48" s="75">
        <f>SUMIFS('caseload data'!R:R,'caseload data'!$A:$A,$B48,'caseload data'!$B:$B,"licence")</f>
        <v>0</v>
      </c>
      <c r="Q48" s="75">
        <f>SUMIFS('caseload data'!S:S,'caseload data'!$A:$A,$B48,'caseload data'!$B:$B,"licence")</f>
        <v>0</v>
      </c>
      <c r="R48" s="75">
        <f>SUMIFS('caseload data'!T:T,'caseload data'!$A:$A,$B48,'caseload data'!$B:$B,"licence")</f>
        <v>0</v>
      </c>
      <c r="S48" s="75">
        <f>SUMIFS('caseload data'!V:V,'caseload data'!$A:$A,B48,'caseload data'!$B:$B,"licence")</f>
        <v>0</v>
      </c>
      <c r="T48" s="91"/>
      <c r="U48" s="141" t="s">
        <v>1035</v>
      </c>
      <c r="V48" s="66" t="e">
        <f t="shared" ref="V48:AK48" si="201">C48/$S$48</f>
        <v>#DIV/0!</v>
      </c>
      <c r="W48" s="66" t="e">
        <f t="shared" si="201"/>
        <v>#DIV/0!</v>
      </c>
      <c r="X48" s="66" t="e">
        <f t="shared" si="201"/>
        <v>#DIV/0!</v>
      </c>
      <c r="Y48" s="66" t="e">
        <f t="shared" si="201"/>
        <v>#DIV/0!</v>
      </c>
      <c r="Z48" s="66" t="e">
        <f t="shared" si="201"/>
        <v>#DIV/0!</v>
      </c>
      <c r="AA48" s="66" t="e">
        <f t="shared" si="201"/>
        <v>#DIV/0!</v>
      </c>
      <c r="AB48" s="66" t="e">
        <f t="shared" si="201"/>
        <v>#DIV/0!</v>
      </c>
      <c r="AC48" s="66" t="e">
        <f t="shared" si="201"/>
        <v>#DIV/0!</v>
      </c>
      <c r="AD48" s="66" t="e">
        <f t="shared" si="201"/>
        <v>#DIV/0!</v>
      </c>
      <c r="AE48" s="66" t="e">
        <f t="shared" si="201"/>
        <v>#DIV/0!</v>
      </c>
      <c r="AF48" s="66" t="e">
        <f t="shared" si="201"/>
        <v>#DIV/0!</v>
      </c>
      <c r="AG48" s="66" t="e">
        <f t="shared" si="201"/>
        <v>#DIV/0!</v>
      </c>
      <c r="AH48" s="66" t="e">
        <f t="shared" si="201"/>
        <v>#DIV/0!</v>
      </c>
      <c r="AI48" s="66" t="e">
        <f t="shared" si="201"/>
        <v>#DIV/0!</v>
      </c>
      <c r="AJ48" s="66" t="e">
        <f t="shared" si="201"/>
        <v>#DIV/0!</v>
      </c>
      <c r="AK48" s="66" t="e">
        <f t="shared" si="201"/>
        <v>#DIV/0!</v>
      </c>
    </row>
    <row r="49" spans="2:37" x14ac:dyDescent="0.15">
      <c r="B49" s="141" t="s">
        <v>26</v>
      </c>
      <c r="C49" s="75">
        <f>SUMIFS('caseload data'!E:E,'caseload data'!$A:$A,$B49,'caseload data'!$B:$B,"licence")</f>
        <v>0</v>
      </c>
      <c r="D49" s="75">
        <f>SUMIFS('caseload data'!F:F,'caseload data'!$A:$A,$B49,'caseload data'!$B:$B,"licence")</f>
        <v>0</v>
      </c>
      <c r="E49" s="75">
        <f>SUMIFS('caseload data'!G:G,'caseload data'!$A:$A,$B49,'caseload data'!$B:$B,"licence")</f>
        <v>0</v>
      </c>
      <c r="F49" s="75">
        <f>SUMIFS('caseload data'!H:H,'caseload data'!$A:$A,$B49,'caseload data'!$B:$B,"licence")</f>
        <v>0</v>
      </c>
      <c r="G49" s="75">
        <f>SUMIFS('caseload data'!I:I,'caseload data'!$A:$A,$B49,'caseload data'!$B:$B,"licence")</f>
        <v>0</v>
      </c>
      <c r="H49" s="75">
        <f>SUMIFS('caseload data'!J:J,'caseload data'!$A:$A,$B49,'caseload data'!$B:$B,"licence")</f>
        <v>0</v>
      </c>
      <c r="I49" s="75">
        <f>SUMIFS('caseload data'!K:K,'caseload data'!$A:$A,$B49,'caseload data'!$B:$B,"licence")</f>
        <v>0</v>
      </c>
      <c r="J49" s="75">
        <f>SUMIFS('caseload data'!L:L,'caseload data'!$A:$A,$B49,'caseload data'!$B:$B,"licence")</f>
        <v>0</v>
      </c>
      <c r="K49" s="75">
        <f>SUMIFS('caseload data'!M:M,'caseload data'!$A:$A,$B49,'caseload data'!$B:$B,"licence")</f>
        <v>0</v>
      </c>
      <c r="L49" s="75">
        <f>SUMIFS('caseload data'!N:N,'caseload data'!$A:$A,$B49,'caseload data'!$B:$B,"licence")</f>
        <v>0</v>
      </c>
      <c r="M49" s="75">
        <f>SUMIFS('caseload data'!O:O,'caseload data'!$A:$A,$B49,'caseload data'!$B:$B,"licence")</f>
        <v>0</v>
      </c>
      <c r="N49" s="75">
        <f>SUMIFS('caseload data'!P:P,'caseload data'!$A:$A,$B49,'caseload data'!$B:$B,"licence")</f>
        <v>0</v>
      </c>
      <c r="O49" s="75">
        <f>SUMIFS('caseload data'!Q:Q,'caseload data'!$A:$A,$B49,'caseload data'!$B:$B,"licence")</f>
        <v>0</v>
      </c>
      <c r="P49" s="75">
        <f>SUMIFS('caseload data'!R:R,'caseload data'!$A:$A,$B49,'caseload data'!$B:$B,"licence")</f>
        <v>0</v>
      </c>
      <c r="Q49" s="75">
        <f>SUMIFS('caseload data'!S:S,'caseload data'!$A:$A,$B49,'caseload data'!$B:$B,"licence")</f>
        <v>0</v>
      </c>
      <c r="R49" s="75">
        <f>SUMIFS('caseload data'!T:T,'caseload data'!$A:$A,$B49,'caseload data'!$B:$B,"licence")</f>
        <v>0</v>
      </c>
      <c r="S49" s="75">
        <f>SUMIFS('caseload data'!V:V,'caseload data'!$A:$A,B49,'caseload data'!$B:$B,"licence")</f>
        <v>0</v>
      </c>
      <c r="T49" s="91"/>
      <c r="U49" s="141" t="s">
        <v>26</v>
      </c>
      <c r="V49" s="66" t="e">
        <f>C49/$S$49</f>
        <v>#DIV/0!</v>
      </c>
      <c r="W49" s="66" t="e">
        <f t="shared" ref="W49:AK49" si="202">D49/$S$49</f>
        <v>#DIV/0!</v>
      </c>
      <c r="X49" s="66" t="e">
        <f t="shared" si="202"/>
        <v>#DIV/0!</v>
      </c>
      <c r="Y49" s="66" t="e">
        <f t="shared" si="202"/>
        <v>#DIV/0!</v>
      </c>
      <c r="Z49" s="66" t="e">
        <f t="shared" si="202"/>
        <v>#DIV/0!</v>
      </c>
      <c r="AA49" s="66" t="e">
        <f t="shared" si="202"/>
        <v>#DIV/0!</v>
      </c>
      <c r="AB49" s="66" t="e">
        <f t="shared" si="202"/>
        <v>#DIV/0!</v>
      </c>
      <c r="AC49" s="66" t="e">
        <f t="shared" si="202"/>
        <v>#DIV/0!</v>
      </c>
      <c r="AD49" s="66" t="e">
        <f t="shared" si="202"/>
        <v>#DIV/0!</v>
      </c>
      <c r="AE49" s="66" t="e">
        <f t="shared" si="202"/>
        <v>#DIV/0!</v>
      </c>
      <c r="AF49" s="66" t="e">
        <f t="shared" si="202"/>
        <v>#DIV/0!</v>
      </c>
      <c r="AG49" s="66" t="e">
        <f t="shared" si="202"/>
        <v>#DIV/0!</v>
      </c>
      <c r="AH49" s="66" t="e">
        <f t="shared" si="202"/>
        <v>#DIV/0!</v>
      </c>
      <c r="AI49" s="66" t="e">
        <f t="shared" si="202"/>
        <v>#DIV/0!</v>
      </c>
      <c r="AJ49" s="66" t="e">
        <f t="shared" si="202"/>
        <v>#DIV/0!</v>
      </c>
      <c r="AK49" s="66" t="e">
        <f t="shared" si="202"/>
        <v>#DIV/0!</v>
      </c>
    </row>
    <row r="50" spans="2:37" x14ac:dyDescent="0.15">
      <c r="B50" s="141" t="s">
        <v>27</v>
      </c>
      <c r="C50" s="75">
        <f>SUMIFS('caseload data'!E:E,'caseload data'!$A:$A,$B50,'caseload data'!$B:$B,"licence")</f>
        <v>0</v>
      </c>
      <c r="D50" s="75">
        <f>SUMIFS('caseload data'!F:F,'caseload data'!$A:$A,$B50,'caseload data'!$B:$B,"licence")</f>
        <v>0</v>
      </c>
      <c r="E50" s="75">
        <f>SUMIFS('caseload data'!G:G,'caseload data'!$A:$A,$B50,'caseload data'!$B:$B,"licence")</f>
        <v>0</v>
      </c>
      <c r="F50" s="75">
        <f>SUMIFS('caseload data'!H:H,'caseload data'!$A:$A,$B50,'caseload data'!$B:$B,"licence")</f>
        <v>0</v>
      </c>
      <c r="G50" s="75">
        <f>SUMIFS('caseload data'!I:I,'caseload data'!$A:$A,$B50,'caseload data'!$B:$B,"licence")</f>
        <v>0</v>
      </c>
      <c r="H50" s="75">
        <f>SUMIFS('caseload data'!J:J,'caseload data'!$A:$A,$B50,'caseload data'!$B:$B,"licence")</f>
        <v>0</v>
      </c>
      <c r="I50" s="75">
        <f>SUMIFS('caseload data'!K:K,'caseload data'!$A:$A,$B50,'caseload data'!$B:$B,"licence")</f>
        <v>0</v>
      </c>
      <c r="J50" s="75">
        <f>SUMIFS('caseload data'!L:L,'caseload data'!$A:$A,$B50,'caseload data'!$B:$B,"licence")</f>
        <v>0</v>
      </c>
      <c r="K50" s="75">
        <f>SUMIFS('caseload data'!M:M,'caseload data'!$A:$A,$B50,'caseload data'!$B:$B,"licence")</f>
        <v>0</v>
      </c>
      <c r="L50" s="75">
        <f>SUMIFS('caseload data'!N:N,'caseload data'!$A:$A,$B50,'caseload data'!$B:$B,"licence")</f>
        <v>0</v>
      </c>
      <c r="M50" s="75">
        <f>SUMIFS('caseload data'!O:O,'caseload data'!$A:$A,$B50,'caseload data'!$B:$B,"licence")</f>
        <v>0</v>
      </c>
      <c r="N50" s="75">
        <f>SUMIFS('caseload data'!P:P,'caseload data'!$A:$A,$B50,'caseload data'!$B:$B,"licence")</f>
        <v>0</v>
      </c>
      <c r="O50" s="75">
        <f>SUMIFS('caseload data'!Q:Q,'caseload data'!$A:$A,$B50,'caseload data'!$B:$B,"licence")</f>
        <v>0</v>
      </c>
      <c r="P50" s="75">
        <f>SUMIFS('caseload data'!R:R,'caseload data'!$A:$A,$B50,'caseload data'!$B:$B,"licence")</f>
        <v>0</v>
      </c>
      <c r="Q50" s="75">
        <f>SUMIFS('caseload data'!S:S,'caseload data'!$A:$A,$B50,'caseload data'!$B:$B,"licence")</f>
        <v>0</v>
      </c>
      <c r="R50" s="75">
        <f>SUMIFS('caseload data'!T:T,'caseload data'!$A:$A,$B50,'caseload data'!$B:$B,"licence")</f>
        <v>0</v>
      </c>
      <c r="S50" s="75">
        <f>SUMIFS('caseload data'!V:V,'caseload data'!$A:$A,B50,'caseload data'!$B:$B,"licence")</f>
        <v>0</v>
      </c>
      <c r="T50" s="91"/>
      <c r="U50" s="141" t="s">
        <v>27</v>
      </c>
      <c r="V50" s="66" t="e">
        <f>C50/$S$50</f>
        <v>#DIV/0!</v>
      </c>
      <c r="W50" s="66" t="e">
        <f t="shared" ref="W50:AK50" si="203">D50/$S$50</f>
        <v>#DIV/0!</v>
      </c>
      <c r="X50" s="66" t="e">
        <f t="shared" si="203"/>
        <v>#DIV/0!</v>
      </c>
      <c r="Y50" s="66" t="e">
        <f t="shared" si="203"/>
        <v>#DIV/0!</v>
      </c>
      <c r="Z50" s="66" t="e">
        <f t="shared" si="203"/>
        <v>#DIV/0!</v>
      </c>
      <c r="AA50" s="66" t="e">
        <f t="shared" si="203"/>
        <v>#DIV/0!</v>
      </c>
      <c r="AB50" s="66" t="e">
        <f t="shared" si="203"/>
        <v>#DIV/0!</v>
      </c>
      <c r="AC50" s="66" t="e">
        <f t="shared" si="203"/>
        <v>#DIV/0!</v>
      </c>
      <c r="AD50" s="66" t="e">
        <f t="shared" si="203"/>
        <v>#DIV/0!</v>
      </c>
      <c r="AE50" s="66" t="e">
        <f t="shared" si="203"/>
        <v>#DIV/0!</v>
      </c>
      <c r="AF50" s="66" t="e">
        <f t="shared" si="203"/>
        <v>#DIV/0!</v>
      </c>
      <c r="AG50" s="66" t="e">
        <f t="shared" si="203"/>
        <v>#DIV/0!</v>
      </c>
      <c r="AH50" s="66" t="e">
        <f t="shared" si="203"/>
        <v>#DIV/0!</v>
      </c>
      <c r="AI50" s="66" t="e">
        <f t="shared" si="203"/>
        <v>#DIV/0!</v>
      </c>
      <c r="AJ50" s="66" t="e">
        <f t="shared" si="203"/>
        <v>#DIV/0!</v>
      </c>
      <c r="AK50" s="66" t="e">
        <f t="shared" si="203"/>
        <v>#DIV/0!</v>
      </c>
    </row>
    <row r="51" spans="2:37" x14ac:dyDescent="0.15">
      <c r="B51" s="141" t="s">
        <v>28</v>
      </c>
      <c r="C51" s="75">
        <f>SUMIFS('caseload data'!E:E,'caseload data'!$A:$A,$B51,'caseload data'!$B:$B,"licence")</f>
        <v>0</v>
      </c>
      <c r="D51" s="75">
        <f>SUMIFS('caseload data'!F:F,'caseload data'!$A:$A,$B51,'caseload data'!$B:$B,"licence")</f>
        <v>0</v>
      </c>
      <c r="E51" s="75">
        <f>SUMIFS('caseload data'!G:G,'caseload data'!$A:$A,$B51,'caseload data'!$B:$B,"licence")</f>
        <v>0</v>
      </c>
      <c r="F51" s="75">
        <f>SUMIFS('caseload data'!H:H,'caseload data'!$A:$A,$B51,'caseload data'!$B:$B,"licence")</f>
        <v>0</v>
      </c>
      <c r="G51" s="75">
        <f>SUMIFS('caseload data'!I:I,'caseload data'!$A:$A,$B51,'caseload data'!$B:$B,"licence")</f>
        <v>0</v>
      </c>
      <c r="H51" s="75">
        <f>SUMIFS('caseload data'!J:J,'caseload data'!$A:$A,$B51,'caseload data'!$B:$B,"licence")</f>
        <v>0</v>
      </c>
      <c r="I51" s="75">
        <f>SUMIFS('caseload data'!K:K,'caseload data'!$A:$A,$B51,'caseload data'!$B:$B,"licence")</f>
        <v>0</v>
      </c>
      <c r="J51" s="75">
        <f>SUMIFS('caseload data'!L:L,'caseload data'!$A:$A,$B51,'caseload data'!$B:$B,"licence")</f>
        <v>0</v>
      </c>
      <c r="K51" s="75">
        <f>SUMIFS('caseload data'!M:M,'caseload data'!$A:$A,$B51,'caseload data'!$B:$B,"licence")</f>
        <v>0</v>
      </c>
      <c r="L51" s="75">
        <f>SUMIFS('caseload data'!N:N,'caseload data'!$A:$A,$B51,'caseload data'!$B:$B,"licence")</f>
        <v>0</v>
      </c>
      <c r="M51" s="75">
        <f>SUMIFS('caseload data'!O:O,'caseload data'!$A:$A,$B51,'caseload data'!$B:$B,"licence")</f>
        <v>0</v>
      </c>
      <c r="N51" s="75">
        <f>SUMIFS('caseload data'!P:P,'caseload data'!$A:$A,$B51,'caseload data'!$B:$B,"licence")</f>
        <v>0</v>
      </c>
      <c r="O51" s="75">
        <f>SUMIFS('caseload data'!Q:Q,'caseload data'!$A:$A,$B51,'caseload data'!$B:$B,"licence")</f>
        <v>0</v>
      </c>
      <c r="P51" s="75">
        <f>SUMIFS('caseload data'!R:R,'caseload data'!$A:$A,$B51,'caseload data'!$B:$B,"licence")</f>
        <v>0</v>
      </c>
      <c r="Q51" s="75">
        <f>SUMIFS('caseload data'!S:S,'caseload data'!$A:$A,$B51,'caseload data'!$B:$B,"licence")</f>
        <v>0</v>
      </c>
      <c r="R51" s="75">
        <f>SUMIFS('caseload data'!T:T,'caseload data'!$A:$A,$B51,'caseload data'!$B:$B,"licence")</f>
        <v>0</v>
      </c>
      <c r="S51" s="75">
        <f>SUMIFS('caseload data'!V:V,'caseload data'!$A:$A,B51,'caseload data'!$B:$B,"licence")</f>
        <v>0</v>
      </c>
      <c r="T51" s="91"/>
      <c r="U51" s="141" t="s">
        <v>28</v>
      </c>
      <c r="V51" s="66" t="e">
        <f>C51/$S$51</f>
        <v>#DIV/0!</v>
      </c>
      <c r="W51" s="66" t="e">
        <f t="shared" ref="W51:AK51" si="204">D51/$S$51</f>
        <v>#DIV/0!</v>
      </c>
      <c r="X51" s="66" t="e">
        <f t="shared" si="204"/>
        <v>#DIV/0!</v>
      </c>
      <c r="Y51" s="66" t="e">
        <f t="shared" si="204"/>
        <v>#DIV/0!</v>
      </c>
      <c r="Z51" s="66" t="e">
        <f t="shared" si="204"/>
        <v>#DIV/0!</v>
      </c>
      <c r="AA51" s="66" t="e">
        <f t="shared" si="204"/>
        <v>#DIV/0!</v>
      </c>
      <c r="AB51" s="66" t="e">
        <f t="shared" si="204"/>
        <v>#DIV/0!</v>
      </c>
      <c r="AC51" s="66" t="e">
        <f t="shared" si="204"/>
        <v>#DIV/0!</v>
      </c>
      <c r="AD51" s="66" t="e">
        <f t="shared" si="204"/>
        <v>#DIV/0!</v>
      </c>
      <c r="AE51" s="66" t="e">
        <f t="shared" si="204"/>
        <v>#DIV/0!</v>
      </c>
      <c r="AF51" s="66" t="e">
        <f t="shared" si="204"/>
        <v>#DIV/0!</v>
      </c>
      <c r="AG51" s="66" t="e">
        <f t="shared" si="204"/>
        <v>#DIV/0!</v>
      </c>
      <c r="AH51" s="66" t="e">
        <f t="shared" si="204"/>
        <v>#DIV/0!</v>
      </c>
      <c r="AI51" s="66" t="e">
        <f t="shared" si="204"/>
        <v>#DIV/0!</v>
      </c>
      <c r="AJ51" s="66" t="e">
        <f t="shared" si="204"/>
        <v>#DIV/0!</v>
      </c>
      <c r="AK51" s="66" t="e">
        <f t="shared" si="204"/>
        <v>#DIV/0!</v>
      </c>
    </row>
    <row r="52" spans="2:37" x14ac:dyDescent="0.15">
      <c r="B52" s="110" t="s">
        <v>1030</v>
      </c>
      <c r="C52" s="110">
        <f>SUMIF('caseload data'!$B:$B,"licence",'caseload data'!E:E)</f>
        <v>0</v>
      </c>
      <c r="D52" s="110">
        <f>SUMIF('caseload data'!$B:$B,"licence",'caseload data'!F:F)</f>
        <v>0</v>
      </c>
      <c r="E52" s="110">
        <f>SUMIF('caseload data'!$B:$B,"licence",'caseload data'!G:G)</f>
        <v>0</v>
      </c>
      <c r="F52" s="110">
        <f>SUMIF('caseload data'!$B:$B,"licence",'caseload data'!H:H)</f>
        <v>0</v>
      </c>
      <c r="G52" s="110">
        <f>SUMIF('caseload data'!$B:$B,"licence",'caseload data'!I:I)</f>
        <v>0</v>
      </c>
      <c r="H52" s="110">
        <f>SUMIF('caseload data'!$B:$B,"licence",'caseload data'!J:J)</f>
        <v>0</v>
      </c>
      <c r="I52" s="110">
        <f>SUMIF('caseload data'!$B:$B,"licence",'caseload data'!K:K)</f>
        <v>0</v>
      </c>
      <c r="J52" s="110">
        <f>SUMIF('caseload data'!$B:$B,"licence",'caseload data'!L:L)</f>
        <v>0</v>
      </c>
      <c r="K52" s="110">
        <f>SUMIF('caseload data'!$B:$B,"licence",'caseload data'!M:M)</f>
        <v>0</v>
      </c>
      <c r="L52" s="110">
        <f>SUMIF('caseload data'!$B:$B,"licence",'caseload data'!N:N)</f>
        <v>0</v>
      </c>
      <c r="M52" s="110">
        <f>SUMIF('caseload data'!$B:$B,"licence",'caseload data'!O:O)</f>
        <v>0</v>
      </c>
      <c r="N52" s="110">
        <f>SUMIF('caseload data'!$B:$B,"licence",'caseload data'!P:P)</f>
        <v>0</v>
      </c>
      <c r="O52" s="110">
        <f>SUMIF('caseload data'!$B:$B,"licence",'caseload data'!Q:Q)</f>
        <v>0</v>
      </c>
      <c r="P52" s="110">
        <f>SUMIF('caseload data'!$B:$B,"licence",'caseload data'!R:R)</f>
        <v>0</v>
      </c>
      <c r="Q52" s="110">
        <f>SUMIF('caseload data'!$B:$B,"licence",'caseload data'!S:S)</f>
        <v>0</v>
      </c>
      <c r="R52" s="110">
        <f>SUMIF('caseload data'!$B:$B,"licence",'caseload data'!T:T)</f>
        <v>0</v>
      </c>
      <c r="S52" s="110">
        <f>SUMIF('caseload data'!$B:$B,"licence",'caseload data'!V:V)</f>
        <v>0</v>
      </c>
      <c r="T52" s="91"/>
      <c r="U52" s="110" t="s">
        <v>1030</v>
      </c>
      <c r="V52" s="115" t="e">
        <f>C52/$S$52</f>
        <v>#DIV/0!</v>
      </c>
      <c r="W52" s="115" t="e">
        <f t="shared" ref="W52:AK52" si="205">D52/$S$52</f>
        <v>#DIV/0!</v>
      </c>
      <c r="X52" s="115" t="e">
        <f t="shared" si="205"/>
        <v>#DIV/0!</v>
      </c>
      <c r="Y52" s="115" t="e">
        <f t="shared" si="205"/>
        <v>#DIV/0!</v>
      </c>
      <c r="Z52" s="115" t="e">
        <f t="shared" si="205"/>
        <v>#DIV/0!</v>
      </c>
      <c r="AA52" s="115" t="e">
        <f t="shared" si="205"/>
        <v>#DIV/0!</v>
      </c>
      <c r="AB52" s="115" t="e">
        <f t="shared" si="205"/>
        <v>#DIV/0!</v>
      </c>
      <c r="AC52" s="115" t="e">
        <f t="shared" si="205"/>
        <v>#DIV/0!</v>
      </c>
      <c r="AD52" s="115" t="e">
        <f t="shared" si="205"/>
        <v>#DIV/0!</v>
      </c>
      <c r="AE52" s="115" t="e">
        <f t="shared" si="205"/>
        <v>#DIV/0!</v>
      </c>
      <c r="AF52" s="115" t="e">
        <f t="shared" si="205"/>
        <v>#DIV/0!</v>
      </c>
      <c r="AG52" s="115" t="e">
        <f t="shared" si="205"/>
        <v>#DIV/0!</v>
      </c>
      <c r="AH52" s="115" t="e">
        <f t="shared" si="205"/>
        <v>#DIV/0!</v>
      </c>
      <c r="AI52" s="115" t="e">
        <f t="shared" si="205"/>
        <v>#DIV/0!</v>
      </c>
      <c r="AJ52" s="115" t="e">
        <f t="shared" si="205"/>
        <v>#DIV/0!</v>
      </c>
      <c r="AK52" s="115" t="e">
        <f t="shared" si="205"/>
        <v>#DIV/0!</v>
      </c>
    </row>
    <row r="54" spans="2:37" ht="22.5" customHeight="1" x14ac:dyDescent="0.2">
      <c r="C54" s="536" t="s">
        <v>1036</v>
      </c>
      <c r="D54" s="537"/>
      <c r="E54" s="537"/>
      <c r="F54" s="537"/>
      <c r="G54" s="537"/>
      <c r="H54" s="537"/>
      <c r="I54" s="537"/>
      <c r="J54" s="537"/>
      <c r="K54" s="537"/>
      <c r="L54" s="537"/>
      <c r="M54" s="537"/>
      <c r="N54" s="537"/>
      <c r="O54" s="537"/>
      <c r="P54" s="537"/>
      <c r="Q54" s="537"/>
      <c r="R54" s="537"/>
      <c r="S54" s="538"/>
      <c r="V54" s="536" t="s">
        <v>1037</v>
      </c>
      <c r="W54" s="537"/>
      <c r="X54" s="537"/>
      <c r="Y54" s="537"/>
      <c r="Z54" s="537"/>
      <c r="AA54" s="537"/>
      <c r="AB54" s="537"/>
      <c r="AC54" s="537"/>
      <c r="AD54" s="537"/>
      <c r="AE54" s="537"/>
      <c r="AF54" s="537"/>
      <c r="AG54" s="537"/>
      <c r="AH54" s="537"/>
      <c r="AI54" s="537"/>
      <c r="AJ54" s="537"/>
      <c r="AK54" s="537"/>
    </row>
    <row r="55" spans="2:37" ht="15.75" customHeight="1" x14ac:dyDescent="0.15">
      <c r="B55" s="139"/>
      <c r="C55" s="38" t="s">
        <v>814</v>
      </c>
      <c r="D55" s="38" t="s">
        <v>815</v>
      </c>
      <c r="E55" s="38" t="s">
        <v>816</v>
      </c>
      <c r="F55" s="38" t="s">
        <v>817</v>
      </c>
      <c r="G55" s="38" t="s">
        <v>818</v>
      </c>
      <c r="H55" s="38" t="s">
        <v>819</v>
      </c>
      <c r="I55" s="38" t="s">
        <v>820</v>
      </c>
      <c r="J55" s="38" t="s">
        <v>821</v>
      </c>
      <c r="K55" s="38" t="s">
        <v>822</v>
      </c>
      <c r="L55" s="38" t="s">
        <v>823</v>
      </c>
      <c r="M55" s="38" t="s">
        <v>824</v>
      </c>
      <c r="N55" s="38" t="s">
        <v>825</v>
      </c>
      <c r="O55" s="38" t="s">
        <v>826</v>
      </c>
      <c r="P55" s="38" t="s">
        <v>827</v>
      </c>
      <c r="Q55" s="38" t="s">
        <v>828</v>
      </c>
      <c r="R55" s="38" t="s">
        <v>829</v>
      </c>
      <c r="S55" s="39" t="s">
        <v>831</v>
      </c>
      <c r="T55" s="91"/>
      <c r="U55" s="231"/>
      <c r="V55" s="38" t="s">
        <v>814</v>
      </c>
      <c r="W55" s="38" t="s">
        <v>815</v>
      </c>
      <c r="X55" s="38" t="s">
        <v>816</v>
      </c>
      <c r="Y55" s="38" t="s">
        <v>817</v>
      </c>
      <c r="Z55" s="38" t="s">
        <v>818</v>
      </c>
      <c r="AA55" s="38" t="s">
        <v>819</v>
      </c>
      <c r="AB55" s="38" t="s">
        <v>820</v>
      </c>
      <c r="AC55" s="38" t="s">
        <v>821</v>
      </c>
      <c r="AD55" s="38" t="s">
        <v>822</v>
      </c>
      <c r="AE55" s="38" t="s">
        <v>823</v>
      </c>
      <c r="AF55" s="38" t="s">
        <v>824</v>
      </c>
      <c r="AG55" s="38" t="s">
        <v>825</v>
      </c>
      <c r="AH55" s="38" t="s">
        <v>826</v>
      </c>
      <c r="AI55" s="38" t="s">
        <v>827</v>
      </c>
      <c r="AJ55" s="38" t="s">
        <v>828</v>
      </c>
      <c r="AK55" s="38" t="s">
        <v>829</v>
      </c>
    </row>
    <row r="56" spans="2:37" x14ac:dyDescent="0.15">
      <c r="B56" s="141" t="s">
        <v>17</v>
      </c>
      <c r="C56" s="75">
        <f>SUMIFS('caseload data'!E:E,'caseload data'!$A:$A,$B56,'caseload data'!$B:$B,"community")</f>
        <v>0</v>
      </c>
      <c r="D56" s="75">
        <f>SUMIFS('caseload data'!F:F,'caseload data'!$A:$A,$B56,'caseload data'!$B:$B,"community")</f>
        <v>0</v>
      </c>
      <c r="E56" s="75">
        <f>SUMIFS('caseload data'!G:G,'caseload data'!$A:$A,$B56,'caseload data'!$B:$B,"community")</f>
        <v>0</v>
      </c>
      <c r="F56" s="75">
        <f>SUMIFS('caseload data'!H:H,'caseload data'!$A:$A,$B56,'caseload data'!$B:$B,"community")</f>
        <v>0</v>
      </c>
      <c r="G56" s="75">
        <f>SUMIFS('caseload data'!I:I,'caseload data'!$A:$A,$B56,'caseload data'!$B:$B,"community")</f>
        <v>0</v>
      </c>
      <c r="H56" s="75">
        <f>SUMIFS('caseload data'!J:J,'caseload data'!$A:$A,$B56,'caseload data'!$B:$B,"community")</f>
        <v>0</v>
      </c>
      <c r="I56" s="75">
        <f>SUMIFS('caseload data'!K:K,'caseload data'!$A:$A,$B56,'caseload data'!$B:$B,"community")</f>
        <v>0</v>
      </c>
      <c r="J56" s="75">
        <f>SUMIFS('caseload data'!L:L,'caseload data'!$A:$A,$B56,'caseload data'!$B:$B,"community")</f>
        <v>0</v>
      </c>
      <c r="K56" s="75">
        <f>SUMIFS('caseload data'!M:M,'caseload data'!$A:$A,$B56,'caseload data'!$B:$B,"community")</f>
        <v>0</v>
      </c>
      <c r="L56" s="75">
        <f>SUMIFS('caseload data'!N:N,'caseload data'!$A:$A,$B56,'caseload data'!$B:$B,"community")</f>
        <v>0</v>
      </c>
      <c r="M56" s="75">
        <f>SUMIFS('caseload data'!O:O,'caseload data'!$A:$A,$B56,'caseload data'!$B:$B,"community")</f>
        <v>0</v>
      </c>
      <c r="N56" s="75">
        <f>SUMIFS('caseload data'!P:P,'caseload data'!$A:$A,$B56,'caseload data'!$B:$B,"community")</f>
        <v>0</v>
      </c>
      <c r="O56" s="75">
        <f>SUMIFS('caseload data'!Q:Q,'caseload data'!$A:$A,$B56,'caseload data'!$B:$B,"community")</f>
        <v>0</v>
      </c>
      <c r="P56" s="75">
        <f>SUMIFS('caseload data'!R:R,'caseload data'!$A:$A,$B56,'caseload data'!$B:$B,"community")</f>
        <v>0</v>
      </c>
      <c r="Q56" s="75">
        <f>SUMIFS('caseload data'!S:S,'caseload data'!$A:$A,$B56,'caseload data'!$B:$B,"community")</f>
        <v>0</v>
      </c>
      <c r="R56" s="75">
        <f>SUMIFS('caseload data'!T:T,'caseload data'!$A:$A,$B56,'caseload data'!$B:$B,"community")</f>
        <v>0</v>
      </c>
      <c r="S56" s="75">
        <f>SUMIFS('caseload data'!V:V,'caseload data'!$A:$A,B56,'caseload data'!$B:$B,"community")</f>
        <v>0</v>
      </c>
      <c r="T56" s="91"/>
      <c r="U56" s="141" t="s">
        <v>17</v>
      </c>
      <c r="V56" s="66" t="e">
        <f>C56/$S$56</f>
        <v>#DIV/0!</v>
      </c>
      <c r="W56" s="66" t="e">
        <f t="shared" ref="W56:AK56" si="206">D56/$S$56</f>
        <v>#DIV/0!</v>
      </c>
      <c r="X56" s="66" t="e">
        <f t="shared" si="206"/>
        <v>#DIV/0!</v>
      </c>
      <c r="Y56" s="66" t="e">
        <f t="shared" si="206"/>
        <v>#DIV/0!</v>
      </c>
      <c r="Z56" s="66" t="e">
        <f t="shared" si="206"/>
        <v>#DIV/0!</v>
      </c>
      <c r="AA56" s="66" t="e">
        <f t="shared" si="206"/>
        <v>#DIV/0!</v>
      </c>
      <c r="AB56" s="66" t="e">
        <f t="shared" si="206"/>
        <v>#DIV/0!</v>
      </c>
      <c r="AC56" s="66" t="e">
        <f t="shared" si="206"/>
        <v>#DIV/0!</v>
      </c>
      <c r="AD56" s="66" t="e">
        <f t="shared" si="206"/>
        <v>#DIV/0!</v>
      </c>
      <c r="AE56" s="66" t="e">
        <f t="shared" si="206"/>
        <v>#DIV/0!</v>
      </c>
      <c r="AF56" s="66" t="e">
        <f t="shared" si="206"/>
        <v>#DIV/0!</v>
      </c>
      <c r="AG56" s="66" t="e">
        <f t="shared" si="206"/>
        <v>#DIV/0!</v>
      </c>
      <c r="AH56" s="66" t="e">
        <f t="shared" si="206"/>
        <v>#DIV/0!</v>
      </c>
      <c r="AI56" s="66" t="e">
        <f t="shared" si="206"/>
        <v>#DIV/0!</v>
      </c>
      <c r="AJ56" s="66" t="e">
        <f t="shared" si="206"/>
        <v>#DIV/0!</v>
      </c>
      <c r="AK56" s="66" t="e">
        <f t="shared" si="206"/>
        <v>#DIV/0!</v>
      </c>
    </row>
    <row r="57" spans="2:37" x14ac:dyDescent="0.15">
      <c r="B57" s="141" t="s">
        <v>18</v>
      </c>
      <c r="C57" s="75">
        <f>SUMIFS('caseload data'!E:E,'caseload data'!$A:$A,$B57,'caseload data'!$B:$B,"community")</f>
        <v>0</v>
      </c>
      <c r="D57" s="75">
        <f>SUMIFS('caseload data'!F:F,'caseload data'!$A:$A,$B57,'caseload data'!$B:$B,"community")</f>
        <v>0</v>
      </c>
      <c r="E57" s="75">
        <f>SUMIFS('caseload data'!G:G,'caseload data'!$A:$A,$B57,'caseload data'!$B:$B,"community")</f>
        <v>0</v>
      </c>
      <c r="F57" s="75">
        <f>SUMIFS('caseload data'!H:H,'caseload data'!$A:$A,$B57,'caseload data'!$B:$B,"community")</f>
        <v>0</v>
      </c>
      <c r="G57" s="75">
        <f>SUMIFS('caseload data'!I:I,'caseload data'!$A:$A,$B57,'caseload data'!$B:$B,"community")</f>
        <v>0</v>
      </c>
      <c r="H57" s="75">
        <f>SUMIFS('caseload data'!J:J,'caseload data'!$A:$A,$B57,'caseload data'!$B:$B,"community")</f>
        <v>0</v>
      </c>
      <c r="I57" s="75">
        <f>SUMIFS('caseload data'!K:K,'caseload data'!$A:$A,$B57,'caseload data'!$B:$B,"community")</f>
        <v>0</v>
      </c>
      <c r="J57" s="75">
        <f>SUMIFS('caseload data'!L:L,'caseload data'!$A:$A,$B57,'caseload data'!$B:$B,"community")</f>
        <v>0</v>
      </c>
      <c r="K57" s="75">
        <f>SUMIFS('caseload data'!M:M,'caseload data'!$A:$A,$B57,'caseload data'!$B:$B,"community")</f>
        <v>0</v>
      </c>
      <c r="L57" s="75">
        <f>SUMIFS('caseload data'!N:N,'caseload data'!$A:$A,$B57,'caseload data'!$B:$B,"community")</f>
        <v>0</v>
      </c>
      <c r="M57" s="75">
        <f>SUMIFS('caseload data'!O:O,'caseload data'!$A:$A,$B57,'caseload data'!$B:$B,"community")</f>
        <v>0</v>
      </c>
      <c r="N57" s="75">
        <f>SUMIFS('caseload data'!P:P,'caseload data'!$A:$A,$B57,'caseload data'!$B:$B,"community")</f>
        <v>0</v>
      </c>
      <c r="O57" s="75">
        <f>SUMIFS('caseload data'!Q:Q,'caseload data'!$A:$A,$B57,'caseload data'!$B:$B,"community")</f>
        <v>0</v>
      </c>
      <c r="P57" s="75">
        <f>SUMIFS('caseload data'!R:R,'caseload data'!$A:$A,$B57,'caseload data'!$B:$B,"community")</f>
        <v>0</v>
      </c>
      <c r="Q57" s="75">
        <f>SUMIFS('caseload data'!S:S,'caseload data'!$A:$A,$B57,'caseload data'!$B:$B,"community")</f>
        <v>0</v>
      </c>
      <c r="R57" s="75">
        <f>SUMIFS('caseload data'!T:T,'caseload data'!$A:$A,$B57,'caseload data'!$B:$B,"community")</f>
        <v>0</v>
      </c>
      <c r="S57" s="75">
        <f>SUMIFS('caseload data'!V:V,'caseload data'!$A:$A,B57,'caseload data'!$B:$B,"community")</f>
        <v>0</v>
      </c>
      <c r="T57" s="91"/>
      <c r="U57" s="141" t="s">
        <v>18</v>
      </c>
      <c r="V57" s="66" t="e">
        <f>C57/$S$57</f>
        <v>#DIV/0!</v>
      </c>
      <c r="W57" s="66" t="e">
        <f t="shared" ref="W57:AK57" si="207">D57/$S$57</f>
        <v>#DIV/0!</v>
      </c>
      <c r="X57" s="66" t="e">
        <f t="shared" si="207"/>
        <v>#DIV/0!</v>
      </c>
      <c r="Y57" s="66" t="e">
        <f t="shared" si="207"/>
        <v>#DIV/0!</v>
      </c>
      <c r="Z57" s="66" t="e">
        <f t="shared" si="207"/>
        <v>#DIV/0!</v>
      </c>
      <c r="AA57" s="66" t="e">
        <f t="shared" si="207"/>
        <v>#DIV/0!</v>
      </c>
      <c r="AB57" s="66" t="e">
        <f t="shared" si="207"/>
        <v>#DIV/0!</v>
      </c>
      <c r="AC57" s="66" t="e">
        <f t="shared" si="207"/>
        <v>#DIV/0!</v>
      </c>
      <c r="AD57" s="66" t="e">
        <f t="shared" si="207"/>
        <v>#DIV/0!</v>
      </c>
      <c r="AE57" s="66" t="e">
        <f t="shared" si="207"/>
        <v>#DIV/0!</v>
      </c>
      <c r="AF57" s="66" t="e">
        <f t="shared" si="207"/>
        <v>#DIV/0!</v>
      </c>
      <c r="AG57" s="66" t="e">
        <f t="shared" si="207"/>
        <v>#DIV/0!</v>
      </c>
      <c r="AH57" s="66" t="e">
        <f t="shared" si="207"/>
        <v>#DIV/0!</v>
      </c>
      <c r="AI57" s="66" t="e">
        <f t="shared" si="207"/>
        <v>#DIV/0!</v>
      </c>
      <c r="AJ57" s="66" t="e">
        <f t="shared" si="207"/>
        <v>#DIV/0!</v>
      </c>
      <c r="AK57" s="66" t="e">
        <f t="shared" si="207"/>
        <v>#DIV/0!</v>
      </c>
    </row>
    <row r="58" spans="2:37" x14ac:dyDescent="0.15">
      <c r="B58" s="141" t="s">
        <v>19</v>
      </c>
      <c r="C58" s="75">
        <f>SUMIFS('caseload data'!E:E,'caseload data'!$A:$A,$B58,'caseload data'!$B:$B,"community")</f>
        <v>0</v>
      </c>
      <c r="D58" s="75">
        <f>SUMIFS('caseload data'!F:F,'caseload data'!$A:$A,$B58,'caseload data'!$B:$B,"community")</f>
        <v>0</v>
      </c>
      <c r="E58" s="75">
        <f>SUMIFS('caseload data'!G:G,'caseload data'!$A:$A,$B58,'caseload data'!$B:$B,"community")</f>
        <v>0</v>
      </c>
      <c r="F58" s="75">
        <f>SUMIFS('caseload data'!H:H,'caseload data'!$A:$A,$B58,'caseload data'!$B:$B,"community")</f>
        <v>0</v>
      </c>
      <c r="G58" s="75">
        <f>SUMIFS('caseload data'!I:I,'caseload data'!$A:$A,$B58,'caseload data'!$B:$B,"community")</f>
        <v>0</v>
      </c>
      <c r="H58" s="75">
        <f>SUMIFS('caseload data'!J:J,'caseload data'!$A:$A,$B58,'caseload data'!$B:$B,"community")</f>
        <v>0</v>
      </c>
      <c r="I58" s="75">
        <f>SUMIFS('caseload data'!K:K,'caseload data'!$A:$A,$B58,'caseload data'!$B:$B,"community")</f>
        <v>0</v>
      </c>
      <c r="J58" s="75">
        <f>SUMIFS('caseload data'!L:L,'caseload data'!$A:$A,$B58,'caseload data'!$B:$B,"community")</f>
        <v>0</v>
      </c>
      <c r="K58" s="75">
        <f>SUMIFS('caseload data'!M:M,'caseload data'!$A:$A,$B58,'caseload data'!$B:$B,"community")</f>
        <v>0</v>
      </c>
      <c r="L58" s="75">
        <f>SUMIFS('caseload data'!N:N,'caseload data'!$A:$A,$B58,'caseload data'!$B:$B,"community")</f>
        <v>0</v>
      </c>
      <c r="M58" s="75">
        <f>SUMIFS('caseload data'!O:O,'caseload data'!$A:$A,$B58,'caseload data'!$B:$B,"community")</f>
        <v>0</v>
      </c>
      <c r="N58" s="75">
        <f>SUMIFS('caseload data'!P:P,'caseload data'!$A:$A,$B58,'caseload data'!$B:$B,"community")</f>
        <v>0</v>
      </c>
      <c r="O58" s="75">
        <f>SUMIFS('caseload data'!Q:Q,'caseload data'!$A:$A,$B58,'caseload data'!$B:$B,"community")</f>
        <v>0</v>
      </c>
      <c r="P58" s="75">
        <f>SUMIFS('caseload data'!R:R,'caseload data'!$A:$A,$B58,'caseload data'!$B:$B,"community")</f>
        <v>0</v>
      </c>
      <c r="Q58" s="75">
        <f>SUMIFS('caseload data'!S:S,'caseload data'!$A:$A,$B58,'caseload data'!$B:$B,"community")</f>
        <v>0</v>
      </c>
      <c r="R58" s="75">
        <f>SUMIFS('caseload data'!T:T,'caseload data'!$A:$A,$B58,'caseload data'!$B:$B,"community")</f>
        <v>0</v>
      </c>
      <c r="S58" s="75">
        <f>SUMIFS('caseload data'!V:V,'caseload data'!$A:$A,B58,'caseload data'!$B:$B,"community")</f>
        <v>0</v>
      </c>
      <c r="T58" s="91"/>
      <c r="U58" s="141" t="s">
        <v>19</v>
      </c>
      <c r="V58" s="66" t="e">
        <f>C58/$S$58</f>
        <v>#DIV/0!</v>
      </c>
      <c r="W58" s="66" t="e">
        <f t="shared" ref="W58:AK58" si="208">D58/$S$58</f>
        <v>#DIV/0!</v>
      </c>
      <c r="X58" s="66" t="e">
        <f t="shared" si="208"/>
        <v>#DIV/0!</v>
      </c>
      <c r="Y58" s="66" t="e">
        <f t="shared" si="208"/>
        <v>#DIV/0!</v>
      </c>
      <c r="Z58" s="66" t="e">
        <f t="shared" si="208"/>
        <v>#DIV/0!</v>
      </c>
      <c r="AA58" s="66" t="e">
        <f t="shared" si="208"/>
        <v>#DIV/0!</v>
      </c>
      <c r="AB58" s="66" t="e">
        <f t="shared" si="208"/>
        <v>#DIV/0!</v>
      </c>
      <c r="AC58" s="66" t="e">
        <f t="shared" si="208"/>
        <v>#DIV/0!</v>
      </c>
      <c r="AD58" s="66" t="e">
        <f t="shared" si="208"/>
        <v>#DIV/0!</v>
      </c>
      <c r="AE58" s="66" t="e">
        <f t="shared" si="208"/>
        <v>#DIV/0!</v>
      </c>
      <c r="AF58" s="66" t="e">
        <f t="shared" si="208"/>
        <v>#DIV/0!</v>
      </c>
      <c r="AG58" s="66" t="e">
        <f t="shared" si="208"/>
        <v>#DIV/0!</v>
      </c>
      <c r="AH58" s="66" t="e">
        <f t="shared" si="208"/>
        <v>#DIV/0!</v>
      </c>
      <c r="AI58" s="66" t="e">
        <f t="shared" si="208"/>
        <v>#DIV/0!</v>
      </c>
      <c r="AJ58" s="66" t="e">
        <f t="shared" si="208"/>
        <v>#DIV/0!</v>
      </c>
      <c r="AK58" s="66" t="e">
        <f t="shared" si="208"/>
        <v>#DIV/0!</v>
      </c>
    </row>
    <row r="59" spans="2:37" x14ac:dyDescent="0.15">
      <c r="B59" s="141" t="s">
        <v>20</v>
      </c>
      <c r="C59" s="75">
        <f>SUMIFS('caseload data'!E:E,'caseload data'!$A:$A,$B59,'caseload data'!$B:$B,"community")</f>
        <v>0</v>
      </c>
      <c r="D59" s="75">
        <f>SUMIFS('caseload data'!F:F,'caseload data'!$A:$A,$B59,'caseload data'!$B:$B,"community")</f>
        <v>0</v>
      </c>
      <c r="E59" s="75">
        <f>SUMIFS('caseload data'!G:G,'caseload data'!$A:$A,$B59,'caseload data'!$B:$B,"community")</f>
        <v>0</v>
      </c>
      <c r="F59" s="75">
        <f>SUMIFS('caseload data'!H:H,'caseload data'!$A:$A,$B59,'caseload data'!$B:$B,"community")</f>
        <v>0</v>
      </c>
      <c r="G59" s="75">
        <f>SUMIFS('caseload data'!I:I,'caseload data'!$A:$A,$B59,'caseload data'!$B:$B,"community")</f>
        <v>0</v>
      </c>
      <c r="H59" s="75">
        <f>SUMIFS('caseload data'!J:J,'caseload data'!$A:$A,$B59,'caseload data'!$B:$B,"community")</f>
        <v>0</v>
      </c>
      <c r="I59" s="75">
        <f>SUMIFS('caseload data'!K:K,'caseload data'!$A:$A,$B59,'caseload data'!$B:$B,"community")</f>
        <v>0</v>
      </c>
      <c r="J59" s="75">
        <f>SUMIFS('caseload data'!L:L,'caseload data'!$A:$A,$B59,'caseload data'!$B:$B,"community")</f>
        <v>0</v>
      </c>
      <c r="K59" s="75">
        <f>SUMIFS('caseload data'!M:M,'caseload data'!$A:$A,$B59,'caseload data'!$B:$B,"community")</f>
        <v>0</v>
      </c>
      <c r="L59" s="75">
        <f>SUMIFS('caseload data'!N:N,'caseload data'!$A:$A,$B59,'caseload data'!$B:$B,"community")</f>
        <v>0</v>
      </c>
      <c r="M59" s="75">
        <f>SUMIFS('caseload data'!O:O,'caseload data'!$A:$A,$B59,'caseload data'!$B:$B,"community")</f>
        <v>0</v>
      </c>
      <c r="N59" s="75">
        <f>SUMIFS('caseload data'!P:P,'caseload data'!$A:$A,$B59,'caseload data'!$B:$B,"community")</f>
        <v>0</v>
      </c>
      <c r="O59" s="75">
        <f>SUMIFS('caseload data'!Q:Q,'caseload data'!$A:$A,$B59,'caseload data'!$B:$B,"community")</f>
        <v>0</v>
      </c>
      <c r="P59" s="75">
        <f>SUMIFS('caseload data'!R:R,'caseload data'!$A:$A,$B59,'caseload data'!$B:$B,"community")</f>
        <v>0</v>
      </c>
      <c r="Q59" s="75">
        <f>SUMIFS('caseload data'!S:S,'caseload data'!$A:$A,$B59,'caseload data'!$B:$B,"community")</f>
        <v>0</v>
      </c>
      <c r="R59" s="75">
        <f>SUMIFS('caseload data'!T:T,'caseload data'!$A:$A,$B59,'caseload data'!$B:$B,"community")</f>
        <v>0</v>
      </c>
      <c r="S59" s="75">
        <f>SUMIFS('caseload data'!V:V,'caseload data'!$A:$A,B59,'caseload data'!$B:$B,"community")</f>
        <v>0</v>
      </c>
      <c r="T59" s="91"/>
      <c r="U59" s="141" t="s">
        <v>20</v>
      </c>
      <c r="V59" s="66" t="e">
        <f>C59/$S$59</f>
        <v>#DIV/0!</v>
      </c>
      <c r="W59" s="66" t="e">
        <f t="shared" ref="W59:AK59" si="209">D59/$S$59</f>
        <v>#DIV/0!</v>
      </c>
      <c r="X59" s="66" t="e">
        <f t="shared" si="209"/>
        <v>#DIV/0!</v>
      </c>
      <c r="Y59" s="66" t="e">
        <f t="shared" si="209"/>
        <v>#DIV/0!</v>
      </c>
      <c r="Z59" s="66" t="e">
        <f t="shared" si="209"/>
        <v>#DIV/0!</v>
      </c>
      <c r="AA59" s="66" t="e">
        <f t="shared" si="209"/>
        <v>#DIV/0!</v>
      </c>
      <c r="AB59" s="66" t="e">
        <f t="shared" si="209"/>
        <v>#DIV/0!</v>
      </c>
      <c r="AC59" s="66" t="e">
        <f t="shared" si="209"/>
        <v>#DIV/0!</v>
      </c>
      <c r="AD59" s="66" t="e">
        <f t="shared" si="209"/>
        <v>#DIV/0!</v>
      </c>
      <c r="AE59" s="66" t="e">
        <f t="shared" si="209"/>
        <v>#DIV/0!</v>
      </c>
      <c r="AF59" s="66" t="e">
        <f t="shared" si="209"/>
        <v>#DIV/0!</v>
      </c>
      <c r="AG59" s="66" t="e">
        <f t="shared" si="209"/>
        <v>#DIV/0!</v>
      </c>
      <c r="AH59" s="66" t="e">
        <f t="shared" si="209"/>
        <v>#DIV/0!</v>
      </c>
      <c r="AI59" s="66" t="e">
        <f t="shared" si="209"/>
        <v>#DIV/0!</v>
      </c>
      <c r="AJ59" s="66" t="e">
        <f t="shared" si="209"/>
        <v>#DIV/0!</v>
      </c>
      <c r="AK59" s="66" t="e">
        <f t="shared" si="209"/>
        <v>#DIV/0!</v>
      </c>
    </row>
    <row r="60" spans="2:37" x14ac:dyDescent="0.15">
      <c r="B60" s="141" t="s">
        <v>21</v>
      </c>
      <c r="C60" s="75">
        <f>SUMIFS('caseload data'!E:E,'caseload data'!$A:$A,$B60,'caseload data'!$B:$B,"community")</f>
        <v>0</v>
      </c>
      <c r="D60" s="75">
        <f>SUMIFS('caseload data'!F:F,'caseload data'!$A:$A,$B60,'caseload data'!$B:$B,"community")</f>
        <v>0</v>
      </c>
      <c r="E60" s="75">
        <f>SUMIFS('caseload data'!G:G,'caseload data'!$A:$A,$B60,'caseload data'!$B:$B,"community")</f>
        <v>0</v>
      </c>
      <c r="F60" s="75">
        <f>SUMIFS('caseload data'!H:H,'caseload data'!$A:$A,$B60,'caseload data'!$B:$B,"community")</f>
        <v>0</v>
      </c>
      <c r="G60" s="75">
        <f>SUMIFS('caseload data'!I:I,'caseload data'!$A:$A,$B60,'caseload data'!$B:$B,"community")</f>
        <v>0</v>
      </c>
      <c r="H60" s="75">
        <f>SUMIFS('caseload data'!J:J,'caseload data'!$A:$A,$B60,'caseload data'!$B:$B,"community")</f>
        <v>0</v>
      </c>
      <c r="I60" s="75">
        <f>SUMIFS('caseload data'!K:K,'caseload data'!$A:$A,$B60,'caseload data'!$B:$B,"community")</f>
        <v>0</v>
      </c>
      <c r="J60" s="75">
        <f>SUMIFS('caseload data'!L:L,'caseload data'!$A:$A,$B60,'caseload data'!$B:$B,"community")</f>
        <v>0</v>
      </c>
      <c r="K60" s="75">
        <f>SUMIFS('caseload data'!M:M,'caseload data'!$A:$A,$B60,'caseload data'!$B:$B,"community")</f>
        <v>0</v>
      </c>
      <c r="L60" s="75">
        <f>SUMIFS('caseload data'!N:N,'caseload data'!$A:$A,$B60,'caseload data'!$B:$B,"community")</f>
        <v>0</v>
      </c>
      <c r="M60" s="75">
        <f>SUMIFS('caseload data'!O:O,'caseload data'!$A:$A,$B60,'caseload data'!$B:$B,"community")</f>
        <v>0</v>
      </c>
      <c r="N60" s="75">
        <f>SUMIFS('caseload data'!P:P,'caseload data'!$A:$A,$B60,'caseload data'!$B:$B,"community")</f>
        <v>0</v>
      </c>
      <c r="O60" s="75">
        <f>SUMIFS('caseload data'!Q:Q,'caseload data'!$A:$A,$B60,'caseload data'!$B:$B,"community")</f>
        <v>0</v>
      </c>
      <c r="P60" s="75">
        <f>SUMIFS('caseload data'!R:R,'caseload data'!$A:$A,$B60,'caseload data'!$B:$B,"community")</f>
        <v>0</v>
      </c>
      <c r="Q60" s="75">
        <f>SUMIFS('caseload data'!S:S,'caseload data'!$A:$A,$B60,'caseload data'!$B:$B,"community")</f>
        <v>0</v>
      </c>
      <c r="R60" s="75">
        <f>SUMIFS('caseload data'!T:T,'caseload data'!$A:$A,$B60,'caseload data'!$B:$B,"community")</f>
        <v>0</v>
      </c>
      <c r="S60" s="75">
        <f>SUMIFS('caseload data'!V:V,'caseload data'!$A:$A,B60,'caseload data'!$B:$B,"community")</f>
        <v>0</v>
      </c>
      <c r="T60" s="91"/>
      <c r="U60" s="141" t="s">
        <v>21</v>
      </c>
      <c r="V60" s="66" t="e">
        <f>C60/$S$60</f>
        <v>#DIV/0!</v>
      </c>
      <c r="W60" s="66" t="e">
        <f t="shared" ref="W60:AK60" si="210">D60/$S$60</f>
        <v>#DIV/0!</v>
      </c>
      <c r="X60" s="66" t="e">
        <f t="shared" si="210"/>
        <v>#DIV/0!</v>
      </c>
      <c r="Y60" s="66" t="e">
        <f t="shared" si="210"/>
        <v>#DIV/0!</v>
      </c>
      <c r="Z60" s="66" t="e">
        <f t="shared" si="210"/>
        <v>#DIV/0!</v>
      </c>
      <c r="AA60" s="66" t="e">
        <f t="shared" si="210"/>
        <v>#DIV/0!</v>
      </c>
      <c r="AB60" s="66" t="e">
        <f t="shared" si="210"/>
        <v>#DIV/0!</v>
      </c>
      <c r="AC60" s="66" t="e">
        <f t="shared" si="210"/>
        <v>#DIV/0!</v>
      </c>
      <c r="AD60" s="66" t="e">
        <f t="shared" si="210"/>
        <v>#DIV/0!</v>
      </c>
      <c r="AE60" s="66" t="e">
        <f t="shared" si="210"/>
        <v>#DIV/0!</v>
      </c>
      <c r="AF60" s="66" t="e">
        <f t="shared" si="210"/>
        <v>#DIV/0!</v>
      </c>
      <c r="AG60" s="66" t="e">
        <f t="shared" si="210"/>
        <v>#DIV/0!</v>
      </c>
      <c r="AH60" s="66" t="e">
        <f t="shared" si="210"/>
        <v>#DIV/0!</v>
      </c>
      <c r="AI60" s="66" t="e">
        <f t="shared" si="210"/>
        <v>#DIV/0!</v>
      </c>
      <c r="AJ60" s="66" t="e">
        <f t="shared" si="210"/>
        <v>#DIV/0!</v>
      </c>
      <c r="AK60" s="66" t="e">
        <f t="shared" si="210"/>
        <v>#DIV/0!</v>
      </c>
    </row>
    <row r="61" spans="2:37" x14ac:dyDescent="0.15">
      <c r="B61" s="141" t="s">
        <v>22</v>
      </c>
      <c r="C61" s="75">
        <f>SUMIFS('caseload data'!E:E,'caseload data'!$A:$A,$B61,'caseload data'!$B:$B,"community")</f>
        <v>0</v>
      </c>
      <c r="D61" s="75">
        <f>SUMIFS('caseload data'!F:F,'caseload data'!$A:$A,$B61,'caseload data'!$B:$B,"community")</f>
        <v>0</v>
      </c>
      <c r="E61" s="75">
        <f>SUMIFS('caseload data'!G:G,'caseload data'!$A:$A,$B61,'caseload data'!$B:$B,"community")</f>
        <v>0</v>
      </c>
      <c r="F61" s="75">
        <f>SUMIFS('caseload data'!H:H,'caseload data'!$A:$A,$B61,'caseload data'!$B:$B,"community")</f>
        <v>0</v>
      </c>
      <c r="G61" s="75">
        <f>SUMIFS('caseload data'!I:I,'caseload data'!$A:$A,$B61,'caseload data'!$B:$B,"community")</f>
        <v>0</v>
      </c>
      <c r="H61" s="75">
        <f>SUMIFS('caseload data'!J:J,'caseload data'!$A:$A,$B61,'caseload data'!$B:$B,"community")</f>
        <v>0</v>
      </c>
      <c r="I61" s="75">
        <f>SUMIFS('caseload data'!K:K,'caseload data'!$A:$A,$B61,'caseload data'!$B:$B,"community")</f>
        <v>0</v>
      </c>
      <c r="J61" s="75">
        <f>SUMIFS('caseload data'!L:L,'caseload data'!$A:$A,$B61,'caseload data'!$B:$B,"community")</f>
        <v>0</v>
      </c>
      <c r="K61" s="75">
        <f>SUMIFS('caseload data'!M:M,'caseload data'!$A:$A,$B61,'caseload data'!$B:$B,"community")</f>
        <v>0</v>
      </c>
      <c r="L61" s="75">
        <f>SUMIFS('caseload data'!N:N,'caseload data'!$A:$A,$B61,'caseload data'!$B:$B,"community")</f>
        <v>0</v>
      </c>
      <c r="M61" s="75">
        <f>SUMIFS('caseload data'!O:O,'caseload data'!$A:$A,$B61,'caseload data'!$B:$B,"community")</f>
        <v>0</v>
      </c>
      <c r="N61" s="75">
        <f>SUMIFS('caseload data'!P:P,'caseload data'!$A:$A,$B61,'caseload data'!$B:$B,"community")</f>
        <v>0</v>
      </c>
      <c r="O61" s="75">
        <f>SUMIFS('caseload data'!Q:Q,'caseload data'!$A:$A,$B61,'caseload data'!$B:$B,"community")</f>
        <v>0</v>
      </c>
      <c r="P61" s="75">
        <f>SUMIFS('caseload data'!R:R,'caseload data'!$A:$A,$B61,'caseload data'!$B:$B,"community")</f>
        <v>0</v>
      </c>
      <c r="Q61" s="75">
        <f>SUMIFS('caseload data'!S:S,'caseload data'!$A:$A,$B61,'caseload data'!$B:$B,"community")</f>
        <v>0</v>
      </c>
      <c r="R61" s="75">
        <f>SUMIFS('caseload data'!T:T,'caseload data'!$A:$A,$B61,'caseload data'!$B:$B,"community")</f>
        <v>0</v>
      </c>
      <c r="S61" s="75">
        <f>SUMIFS('caseload data'!V:V,'caseload data'!$A:$A,B61,'caseload data'!$B:$B,"community")</f>
        <v>0</v>
      </c>
      <c r="T61" s="91"/>
      <c r="U61" s="141" t="s">
        <v>22</v>
      </c>
      <c r="V61" s="66" t="e">
        <f>C61/$S$61</f>
        <v>#DIV/0!</v>
      </c>
      <c r="W61" s="66" t="e">
        <f t="shared" ref="W61:AK61" si="211">D61/$S$61</f>
        <v>#DIV/0!</v>
      </c>
      <c r="X61" s="66" t="e">
        <f t="shared" si="211"/>
        <v>#DIV/0!</v>
      </c>
      <c r="Y61" s="66" t="e">
        <f t="shared" si="211"/>
        <v>#DIV/0!</v>
      </c>
      <c r="Z61" s="66" t="e">
        <f t="shared" si="211"/>
        <v>#DIV/0!</v>
      </c>
      <c r="AA61" s="66" t="e">
        <f t="shared" si="211"/>
        <v>#DIV/0!</v>
      </c>
      <c r="AB61" s="66" t="e">
        <f t="shared" si="211"/>
        <v>#DIV/0!</v>
      </c>
      <c r="AC61" s="66" t="e">
        <f t="shared" si="211"/>
        <v>#DIV/0!</v>
      </c>
      <c r="AD61" s="66" t="e">
        <f t="shared" si="211"/>
        <v>#DIV/0!</v>
      </c>
      <c r="AE61" s="66" t="e">
        <f t="shared" si="211"/>
        <v>#DIV/0!</v>
      </c>
      <c r="AF61" s="66" t="e">
        <f t="shared" si="211"/>
        <v>#DIV/0!</v>
      </c>
      <c r="AG61" s="66" t="e">
        <f t="shared" si="211"/>
        <v>#DIV/0!</v>
      </c>
      <c r="AH61" s="66" t="e">
        <f t="shared" si="211"/>
        <v>#DIV/0!</v>
      </c>
      <c r="AI61" s="66" t="e">
        <f t="shared" si="211"/>
        <v>#DIV/0!</v>
      </c>
      <c r="AJ61" s="66" t="e">
        <f t="shared" si="211"/>
        <v>#DIV/0!</v>
      </c>
      <c r="AK61" s="66" t="e">
        <f t="shared" si="211"/>
        <v>#DIV/0!</v>
      </c>
    </row>
    <row r="62" spans="2:37" x14ac:dyDescent="0.15">
      <c r="B62" s="141" t="s">
        <v>23</v>
      </c>
      <c r="C62" s="75">
        <f>SUMIFS('caseload data'!E:E,'caseload data'!$A:$A,$B62,'caseload data'!$B:$B,"community")</f>
        <v>0</v>
      </c>
      <c r="D62" s="75">
        <f>SUMIFS('caseload data'!F:F,'caseload data'!$A:$A,$B62,'caseload data'!$B:$B,"community")</f>
        <v>0</v>
      </c>
      <c r="E62" s="75">
        <f>SUMIFS('caseload data'!G:G,'caseload data'!$A:$A,$B62,'caseload data'!$B:$B,"community")</f>
        <v>0</v>
      </c>
      <c r="F62" s="75">
        <f>SUMIFS('caseload data'!H:H,'caseload data'!$A:$A,$B62,'caseload data'!$B:$B,"community")</f>
        <v>0</v>
      </c>
      <c r="G62" s="75">
        <f>SUMIFS('caseload data'!I:I,'caseload data'!$A:$A,$B62,'caseload data'!$B:$B,"community")</f>
        <v>0</v>
      </c>
      <c r="H62" s="75">
        <f>SUMIFS('caseload data'!J:J,'caseload data'!$A:$A,$B62,'caseload data'!$B:$B,"community")</f>
        <v>0</v>
      </c>
      <c r="I62" s="75">
        <f>SUMIFS('caseload data'!K:K,'caseload data'!$A:$A,$B62,'caseload data'!$B:$B,"community")</f>
        <v>0</v>
      </c>
      <c r="J62" s="75">
        <f>SUMIFS('caseload data'!L:L,'caseload data'!$A:$A,$B62,'caseload data'!$B:$B,"community")</f>
        <v>0</v>
      </c>
      <c r="K62" s="75">
        <f>SUMIFS('caseload data'!M:M,'caseload data'!$A:$A,$B62,'caseload data'!$B:$B,"community")</f>
        <v>0</v>
      </c>
      <c r="L62" s="75">
        <f>SUMIFS('caseload data'!N:N,'caseload data'!$A:$A,$B62,'caseload data'!$B:$B,"community")</f>
        <v>0</v>
      </c>
      <c r="M62" s="75">
        <f>SUMIFS('caseload data'!O:O,'caseload data'!$A:$A,$B62,'caseload data'!$B:$B,"community")</f>
        <v>0</v>
      </c>
      <c r="N62" s="75">
        <f>SUMIFS('caseload data'!P:P,'caseload data'!$A:$A,$B62,'caseload data'!$B:$B,"community")</f>
        <v>0</v>
      </c>
      <c r="O62" s="75">
        <f>SUMIFS('caseload data'!Q:Q,'caseload data'!$A:$A,$B62,'caseload data'!$B:$B,"community")</f>
        <v>0</v>
      </c>
      <c r="P62" s="75">
        <f>SUMIFS('caseload data'!R:R,'caseload data'!$A:$A,$B62,'caseload data'!$B:$B,"community")</f>
        <v>0</v>
      </c>
      <c r="Q62" s="75">
        <f>SUMIFS('caseload data'!S:S,'caseload data'!$A:$A,$B62,'caseload data'!$B:$B,"community")</f>
        <v>0</v>
      </c>
      <c r="R62" s="75">
        <f>SUMIFS('caseload data'!T:T,'caseload data'!$A:$A,$B62,'caseload data'!$B:$B,"community")</f>
        <v>0</v>
      </c>
      <c r="S62" s="75">
        <f>SUMIFS('caseload data'!V:V,'caseload data'!$A:$A,B62,'caseload data'!$B:$B,"community")</f>
        <v>0</v>
      </c>
      <c r="T62" s="91"/>
      <c r="U62" s="141" t="s">
        <v>23</v>
      </c>
      <c r="V62" s="66" t="e">
        <f>C62/$S$62</f>
        <v>#DIV/0!</v>
      </c>
      <c r="W62" s="66" t="e">
        <f t="shared" ref="W62:AK62" si="212">D62/$S$62</f>
        <v>#DIV/0!</v>
      </c>
      <c r="X62" s="66" t="e">
        <f t="shared" si="212"/>
        <v>#DIV/0!</v>
      </c>
      <c r="Y62" s="66" t="e">
        <f t="shared" si="212"/>
        <v>#DIV/0!</v>
      </c>
      <c r="Z62" s="66" t="e">
        <f t="shared" si="212"/>
        <v>#DIV/0!</v>
      </c>
      <c r="AA62" s="66" t="e">
        <f t="shared" si="212"/>
        <v>#DIV/0!</v>
      </c>
      <c r="AB62" s="66" t="e">
        <f t="shared" si="212"/>
        <v>#DIV/0!</v>
      </c>
      <c r="AC62" s="66" t="e">
        <f t="shared" si="212"/>
        <v>#DIV/0!</v>
      </c>
      <c r="AD62" s="66" t="e">
        <f t="shared" si="212"/>
        <v>#DIV/0!</v>
      </c>
      <c r="AE62" s="66" t="e">
        <f t="shared" si="212"/>
        <v>#DIV/0!</v>
      </c>
      <c r="AF62" s="66" t="e">
        <f t="shared" si="212"/>
        <v>#DIV/0!</v>
      </c>
      <c r="AG62" s="66" t="e">
        <f t="shared" si="212"/>
        <v>#DIV/0!</v>
      </c>
      <c r="AH62" s="66" t="e">
        <f t="shared" si="212"/>
        <v>#DIV/0!</v>
      </c>
      <c r="AI62" s="66" t="e">
        <f t="shared" si="212"/>
        <v>#DIV/0!</v>
      </c>
      <c r="AJ62" s="66" t="e">
        <f t="shared" si="212"/>
        <v>#DIV/0!</v>
      </c>
      <c r="AK62" s="66" t="e">
        <f t="shared" si="212"/>
        <v>#DIV/0!</v>
      </c>
    </row>
    <row r="63" spans="2:37" x14ac:dyDescent="0.15">
      <c r="B63" s="141" t="s">
        <v>24</v>
      </c>
      <c r="C63" s="75">
        <f>SUMIFS('caseload data'!E:E,'caseload data'!$A:$A,$B63,'caseload data'!$B:$B,"community")</f>
        <v>0</v>
      </c>
      <c r="D63" s="75">
        <f>SUMIFS('caseload data'!F:F,'caseload data'!$A:$A,$B63,'caseload data'!$B:$B,"community")</f>
        <v>0</v>
      </c>
      <c r="E63" s="75">
        <f>SUMIFS('caseload data'!G:G,'caseload data'!$A:$A,$B63,'caseload data'!$B:$B,"community")</f>
        <v>0</v>
      </c>
      <c r="F63" s="75">
        <f>SUMIFS('caseload data'!H:H,'caseload data'!$A:$A,$B63,'caseload data'!$B:$B,"community")</f>
        <v>0</v>
      </c>
      <c r="G63" s="75">
        <f>SUMIFS('caseload data'!I:I,'caseload data'!$A:$A,$B63,'caseload data'!$B:$B,"community")</f>
        <v>0</v>
      </c>
      <c r="H63" s="75">
        <f>SUMIFS('caseload data'!J:J,'caseload data'!$A:$A,$B63,'caseload data'!$B:$B,"community")</f>
        <v>0</v>
      </c>
      <c r="I63" s="75">
        <f>SUMIFS('caseload data'!K:K,'caseload data'!$A:$A,$B63,'caseload data'!$B:$B,"community")</f>
        <v>0</v>
      </c>
      <c r="J63" s="75">
        <f>SUMIFS('caseload data'!L:L,'caseload data'!$A:$A,$B63,'caseload data'!$B:$B,"community")</f>
        <v>0</v>
      </c>
      <c r="K63" s="75">
        <f>SUMIFS('caseload data'!M:M,'caseload data'!$A:$A,$B63,'caseload data'!$B:$B,"community")</f>
        <v>0</v>
      </c>
      <c r="L63" s="75">
        <f>SUMIFS('caseload data'!N:N,'caseload data'!$A:$A,$B63,'caseload data'!$B:$B,"community")</f>
        <v>0</v>
      </c>
      <c r="M63" s="75">
        <f>SUMIFS('caseload data'!O:O,'caseload data'!$A:$A,$B63,'caseload data'!$B:$B,"community")</f>
        <v>0</v>
      </c>
      <c r="N63" s="75">
        <f>SUMIFS('caseload data'!P:P,'caseload data'!$A:$A,$B63,'caseload data'!$B:$B,"community")</f>
        <v>0</v>
      </c>
      <c r="O63" s="75">
        <f>SUMIFS('caseload data'!Q:Q,'caseload data'!$A:$A,$B63,'caseload data'!$B:$B,"community")</f>
        <v>0</v>
      </c>
      <c r="P63" s="75">
        <f>SUMIFS('caseload data'!R:R,'caseload data'!$A:$A,$B63,'caseload data'!$B:$B,"community")</f>
        <v>0</v>
      </c>
      <c r="Q63" s="75">
        <f>SUMIFS('caseload data'!S:S,'caseload data'!$A:$A,$B63,'caseload data'!$B:$B,"community")</f>
        <v>0</v>
      </c>
      <c r="R63" s="75">
        <f>SUMIFS('caseload data'!T:T,'caseload data'!$A:$A,$B63,'caseload data'!$B:$B,"community")</f>
        <v>0</v>
      </c>
      <c r="S63" s="75">
        <f>SUMIFS('caseload data'!V:V,'caseload data'!$A:$A,B63,'caseload data'!$B:$B,"community")</f>
        <v>0</v>
      </c>
      <c r="T63" s="91"/>
      <c r="U63" s="141" t="s">
        <v>24</v>
      </c>
      <c r="V63" s="66" t="e">
        <f t="shared" ref="V63:AK63" si="213">C63/$S$63</f>
        <v>#DIV/0!</v>
      </c>
      <c r="W63" s="66" t="e">
        <f t="shared" si="213"/>
        <v>#DIV/0!</v>
      </c>
      <c r="X63" s="66" t="e">
        <f t="shared" si="213"/>
        <v>#DIV/0!</v>
      </c>
      <c r="Y63" s="66" t="e">
        <f t="shared" si="213"/>
        <v>#DIV/0!</v>
      </c>
      <c r="Z63" s="66" t="e">
        <f t="shared" si="213"/>
        <v>#DIV/0!</v>
      </c>
      <c r="AA63" s="66" t="e">
        <f t="shared" si="213"/>
        <v>#DIV/0!</v>
      </c>
      <c r="AB63" s="66" t="e">
        <f t="shared" si="213"/>
        <v>#DIV/0!</v>
      </c>
      <c r="AC63" s="66" t="e">
        <f t="shared" si="213"/>
        <v>#DIV/0!</v>
      </c>
      <c r="AD63" s="66" t="e">
        <f t="shared" si="213"/>
        <v>#DIV/0!</v>
      </c>
      <c r="AE63" s="66" t="e">
        <f t="shared" si="213"/>
        <v>#DIV/0!</v>
      </c>
      <c r="AF63" s="66" t="e">
        <f t="shared" si="213"/>
        <v>#DIV/0!</v>
      </c>
      <c r="AG63" s="66" t="e">
        <f t="shared" si="213"/>
        <v>#DIV/0!</v>
      </c>
      <c r="AH63" s="66" t="e">
        <f t="shared" si="213"/>
        <v>#DIV/0!</v>
      </c>
      <c r="AI63" s="66" t="e">
        <f t="shared" si="213"/>
        <v>#DIV/0!</v>
      </c>
      <c r="AJ63" s="66" t="e">
        <f t="shared" si="213"/>
        <v>#DIV/0!</v>
      </c>
      <c r="AK63" s="66" t="e">
        <f t="shared" si="213"/>
        <v>#DIV/0!</v>
      </c>
    </row>
    <row r="64" spans="2:37" x14ac:dyDescent="0.15">
      <c r="B64" s="141" t="s">
        <v>25</v>
      </c>
      <c r="C64" s="75">
        <f>SUMIFS('caseload data'!E:E,'caseload data'!$A:$A,$B64,'caseload data'!$B:$B,"community")</f>
        <v>0</v>
      </c>
      <c r="D64" s="75">
        <f>SUMIFS('caseload data'!F:F,'caseload data'!$A:$A,$B64,'caseload data'!$B:$B,"community")</f>
        <v>0</v>
      </c>
      <c r="E64" s="75">
        <f>SUMIFS('caseload data'!G:G,'caseload data'!$A:$A,$B64,'caseload data'!$B:$B,"community")</f>
        <v>0</v>
      </c>
      <c r="F64" s="75">
        <f>SUMIFS('caseload data'!H:H,'caseload data'!$A:$A,$B64,'caseload data'!$B:$B,"community")</f>
        <v>0</v>
      </c>
      <c r="G64" s="75">
        <f>SUMIFS('caseload data'!I:I,'caseload data'!$A:$A,$B64,'caseload data'!$B:$B,"community")</f>
        <v>0</v>
      </c>
      <c r="H64" s="75">
        <f>SUMIFS('caseload data'!J:J,'caseload data'!$A:$A,$B64,'caseload data'!$B:$B,"community")</f>
        <v>0</v>
      </c>
      <c r="I64" s="75">
        <f>SUMIFS('caseload data'!K:K,'caseload data'!$A:$A,$B64,'caseload data'!$B:$B,"community")</f>
        <v>0</v>
      </c>
      <c r="J64" s="75">
        <f>SUMIFS('caseload data'!L:L,'caseload data'!$A:$A,$B64,'caseload data'!$B:$B,"community")</f>
        <v>0</v>
      </c>
      <c r="K64" s="75">
        <f>SUMIFS('caseload data'!M:M,'caseload data'!$A:$A,$B64,'caseload data'!$B:$B,"community")</f>
        <v>0</v>
      </c>
      <c r="L64" s="75">
        <f>SUMIFS('caseload data'!N:N,'caseload data'!$A:$A,$B64,'caseload data'!$B:$B,"community")</f>
        <v>0</v>
      </c>
      <c r="M64" s="75">
        <f>SUMIFS('caseload data'!O:O,'caseload data'!$A:$A,$B64,'caseload data'!$B:$B,"community")</f>
        <v>0</v>
      </c>
      <c r="N64" s="75">
        <f>SUMIFS('caseload data'!P:P,'caseload data'!$A:$A,$B64,'caseload data'!$B:$B,"community")</f>
        <v>0</v>
      </c>
      <c r="O64" s="75">
        <f>SUMIFS('caseload data'!Q:Q,'caseload data'!$A:$A,$B64,'caseload data'!$B:$B,"community")</f>
        <v>0</v>
      </c>
      <c r="P64" s="75">
        <f>SUMIFS('caseload data'!R:R,'caseload data'!$A:$A,$B64,'caseload data'!$B:$B,"community")</f>
        <v>0</v>
      </c>
      <c r="Q64" s="75">
        <f>SUMIFS('caseload data'!S:S,'caseload data'!$A:$A,$B64,'caseload data'!$B:$B,"community")</f>
        <v>0</v>
      </c>
      <c r="R64" s="75">
        <f>SUMIFS('caseload data'!T:T,'caseload data'!$A:$A,$B64,'caseload data'!$B:$B,"community")</f>
        <v>0</v>
      </c>
      <c r="S64" s="75">
        <f>SUMIFS('caseload data'!V:V,'caseload data'!$A:$A,B64,'caseload data'!$B:$B,"community")</f>
        <v>0</v>
      </c>
      <c r="T64" s="91"/>
      <c r="U64" s="141" t="s">
        <v>25</v>
      </c>
      <c r="V64" s="66" t="e">
        <f t="shared" ref="V64:AK64" si="214">C64/$S$64</f>
        <v>#DIV/0!</v>
      </c>
      <c r="W64" s="66" t="e">
        <f t="shared" si="214"/>
        <v>#DIV/0!</v>
      </c>
      <c r="X64" s="66" t="e">
        <f t="shared" si="214"/>
        <v>#DIV/0!</v>
      </c>
      <c r="Y64" s="66" t="e">
        <f t="shared" si="214"/>
        <v>#DIV/0!</v>
      </c>
      <c r="Z64" s="66" t="e">
        <f t="shared" si="214"/>
        <v>#DIV/0!</v>
      </c>
      <c r="AA64" s="66" t="e">
        <f t="shared" si="214"/>
        <v>#DIV/0!</v>
      </c>
      <c r="AB64" s="66" t="e">
        <f t="shared" si="214"/>
        <v>#DIV/0!</v>
      </c>
      <c r="AC64" s="66" t="e">
        <f t="shared" si="214"/>
        <v>#DIV/0!</v>
      </c>
      <c r="AD64" s="66" t="e">
        <f t="shared" si="214"/>
        <v>#DIV/0!</v>
      </c>
      <c r="AE64" s="66" t="e">
        <f t="shared" si="214"/>
        <v>#DIV/0!</v>
      </c>
      <c r="AF64" s="66" t="e">
        <f t="shared" si="214"/>
        <v>#DIV/0!</v>
      </c>
      <c r="AG64" s="66" t="e">
        <f t="shared" si="214"/>
        <v>#DIV/0!</v>
      </c>
      <c r="AH64" s="66" t="e">
        <f t="shared" si="214"/>
        <v>#DIV/0!</v>
      </c>
      <c r="AI64" s="66" t="e">
        <f t="shared" si="214"/>
        <v>#DIV/0!</v>
      </c>
      <c r="AJ64" s="66" t="e">
        <f t="shared" si="214"/>
        <v>#DIV/0!</v>
      </c>
      <c r="AK64" s="66" t="e">
        <f t="shared" si="214"/>
        <v>#DIV/0!</v>
      </c>
    </row>
    <row r="65" spans="2:37" x14ac:dyDescent="0.15">
      <c r="B65" s="141" t="s">
        <v>26</v>
      </c>
      <c r="C65" s="75">
        <f>SUMIFS('caseload data'!E:E,'caseload data'!$A:$A,$B65,'caseload data'!$B:$B,"community")</f>
        <v>0</v>
      </c>
      <c r="D65" s="75">
        <f>SUMIFS('caseload data'!F:F,'caseload data'!$A:$A,$B65,'caseload data'!$B:$B,"community")</f>
        <v>0</v>
      </c>
      <c r="E65" s="75">
        <f>SUMIFS('caseload data'!G:G,'caseload data'!$A:$A,$B65,'caseload data'!$B:$B,"community")</f>
        <v>0</v>
      </c>
      <c r="F65" s="75">
        <f>SUMIFS('caseload data'!H:H,'caseload data'!$A:$A,$B65,'caseload data'!$B:$B,"community")</f>
        <v>0</v>
      </c>
      <c r="G65" s="75">
        <f>SUMIFS('caseload data'!I:I,'caseload data'!$A:$A,$B65,'caseload data'!$B:$B,"community")</f>
        <v>0</v>
      </c>
      <c r="H65" s="75">
        <f>SUMIFS('caseload data'!J:J,'caseload data'!$A:$A,$B65,'caseload data'!$B:$B,"community")</f>
        <v>0</v>
      </c>
      <c r="I65" s="75">
        <f>SUMIFS('caseload data'!K:K,'caseload data'!$A:$A,$B65,'caseload data'!$B:$B,"community")</f>
        <v>0</v>
      </c>
      <c r="J65" s="75">
        <f>SUMIFS('caseload data'!L:L,'caseload data'!$A:$A,$B65,'caseload data'!$B:$B,"community")</f>
        <v>0</v>
      </c>
      <c r="K65" s="75">
        <f>SUMIFS('caseload data'!M:M,'caseload data'!$A:$A,$B65,'caseload data'!$B:$B,"community")</f>
        <v>0</v>
      </c>
      <c r="L65" s="75">
        <f>SUMIFS('caseload data'!N:N,'caseload data'!$A:$A,$B65,'caseload data'!$B:$B,"community")</f>
        <v>0</v>
      </c>
      <c r="M65" s="75">
        <f>SUMIFS('caseload data'!O:O,'caseload data'!$A:$A,$B65,'caseload data'!$B:$B,"community")</f>
        <v>0</v>
      </c>
      <c r="N65" s="75">
        <f>SUMIFS('caseload data'!P:P,'caseload data'!$A:$A,$B65,'caseload data'!$B:$B,"community")</f>
        <v>0</v>
      </c>
      <c r="O65" s="75">
        <f>SUMIFS('caseload data'!Q:Q,'caseload data'!$A:$A,$B65,'caseload data'!$B:$B,"community")</f>
        <v>0</v>
      </c>
      <c r="P65" s="75">
        <f>SUMIFS('caseload data'!R:R,'caseload data'!$A:$A,$B65,'caseload data'!$B:$B,"community")</f>
        <v>0</v>
      </c>
      <c r="Q65" s="75">
        <f>SUMIFS('caseload data'!S:S,'caseload data'!$A:$A,$B65,'caseload data'!$B:$B,"community")</f>
        <v>0</v>
      </c>
      <c r="R65" s="75">
        <f>SUMIFS('caseload data'!T:T,'caseload data'!$A:$A,$B65,'caseload data'!$B:$B,"community")</f>
        <v>0</v>
      </c>
      <c r="S65" s="75">
        <f>SUMIFS('caseload data'!V:V,'caseload data'!$A:$A,B65,'caseload data'!$B:$B,"community")</f>
        <v>0</v>
      </c>
      <c r="T65" s="91"/>
      <c r="U65" s="141" t="s">
        <v>26</v>
      </c>
      <c r="V65" s="66" t="e">
        <f>C65/$S$65</f>
        <v>#DIV/0!</v>
      </c>
      <c r="W65" s="66" t="e">
        <f t="shared" ref="W65:AK65" si="215">D65/$S$65</f>
        <v>#DIV/0!</v>
      </c>
      <c r="X65" s="66" t="e">
        <f t="shared" si="215"/>
        <v>#DIV/0!</v>
      </c>
      <c r="Y65" s="66" t="e">
        <f t="shared" si="215"/>
        <v>#DIV/0!</v>
      </c>
      <c r="Z65" s="66" t="e">
        <f t="shared" si="215"/>
        <v>#DIV/0!</v>
      </c>
      <c r="AA65" s="66" t="e">
        <f t="shared" si="215"/>
        <v>#DIV/0!</v>
      </c>
      <c r="AB65" s="66" t="e">
        <f t="shared" si="215"/>
        <v>#DIV/0!</v>
      </c>
      <c r="AC65" s="66" t="e">
        <f t="shared" si="215"/>
        <v>#DIV/0!</v>
      </c>
      <c r="AD65" s="66" t="e">
        <f t="shared" si="215"/>
        <v>#DIV/0!</v>
      </c>
      <c r="AE65" s="66" t="e">
        <f t="shared" si="215"/>
        <v>#DIV/0!</v>
      </c>
      <c r="AF65" s="66" t="e">
        <f t="shared" si="215"/>
        <v>#DIV/0!</v>
      </c>
      <c r="AG65" s="66" t="e">
        <f t="shared" si="215"/>
        <v>#DIV/0!</v>
      </c>
      <c r="AH65" s="66" t="e">
        <f t="shared" si="215"/>
        <v>#DIV/0!</v>
      </c>
      <c r="AI65" s="66" t="e">
        <f t="shared" si="215"/>
        <v>#DIV/0!</v>
      </c>
      <c r="AJ65" s="66" t="e">
        <f t="shared" si="215"/>
        <v>#DIV/0!</v>
      </c>
      <c r="AK65" s="66" t="e">
        <f t="shared" si="215"/>
        <v>#DIV/0!</v>
      </c>
    </row>
    <row r="66" spans="2:37" x14ac:dyDescent="0.15">
      <c r="B66" s="141" t="s">
        <v>27</v>
      </c>
      <c r="C66" s="75">
        <f>SUMIFS('caseload data'!E:E,'caseload data'!$A:$A,$B66,'caseload data'!$B:$B,"community")</f>
        <v>0</v>
      </c>
      <c r="D66" s="75">
        <f>SUMIFS('caseload data'!F:F,'caseload data'!$A:$A,$B66,'caseload data'!$B:$B,"community")</f>
        <v>0</v>
      </c>
      <c r="E66" s="75">
        <f>SUMIFS('caseload data'!G:G,'caseload data'!$A:$A,$B66,'caseload data'!$B:$B,"community")</f>
        <v>0</v>
      </c>
      <c r="F66" s="75">
        <f>SUMIFS('caseload data'!H:H,'caseload data'!$A:$A,$B66,'caseload data'!$B:$B,"community")</f>
        <v>0</v>
      </c>
      <c r="G66" s="75">
        <f>SUMIFS('caseload data'!I:I,'caseload data'!$A:$A,$B66,'caseload data'!$B:$B,"community")</f>
        <v>0</v>
      </c>
      <c r="H66" s="75">
        <f>SUMIFS('caseload data'!J:J,'caseload data'!$A:$A,$B66,'caseload data'!$B:$B,"community")</f>
        <v>0</v>
      </c>
      <c r="I66" s="75">
        <f>SUMIFS('caseload data'!K:K,'caseload data'!$A:$A,$B66,'caseload data'!$B:$B,"community")</f>
        <v>0</v>
      </c>
      <c r="J66" s="75">
        <f>SUMIFS('caseload data'!L:L,'caseload data'!$A:$A,$B66,'caseload data'!$B:$B,"community")</f>
        <v>0</v>
      </c>
      <c r="K66" s="75">
        <f>SUMIFS('caseload data'!M:M,'caseload data'!$A:$A,$B66,'caseload data'!$B:$B,"community")</f>
        <v>0</v>
      </c>
      <c r="L66" s="75">
        <f>SUMIFS('caseload data'!N:N,'caseload data'!$A:$A,$B66,'caseload data'!$B:$B,"community")</f>
        <v>0</v>
      </c>
      <c r="M66" s="75">
        <f>SUMIFS('caseload data'!O:O,'caseload data'!$A:$A,$B66,'caseload data'!$B:$B,"community")</f>
        <v>0</v>
      </c>
      <c r="N66" s="75">
        <f>SUMIFS('caseload data'!P:P,'caseload data'!$A:$A,$B66,'caseload data'!$B:$B,"community")</f>
        <v>0</v>
      </c>
      <c r="O66" s="75">
        <f>SUMIFS('caseload data'!Q:Q,'caseload data'!$A:$A,$B66,'caseload data'!$B:$B,"community")</f>
        <v>0</v>
      </c>
      <c r="P66" s="75">
        <f>SUMIFS('caseload data'!R:R,'caseload data'!$A:$A,$B66,'caseload data'!$B:$B,"community")</f>
        <v>0</v>
      </c>
      <c r="Q66" s="75">
        <f>SUMIFS('caseload data'!S:S,'caseload data'!$A:$A,$B66,'caseload data'!$B:$B,"community")</f>
        <v>0</v>
      </c>
      <c r="R66" s="75">
        <f>SUMIFS('caseload data'!T:T,'caseload data'!$A:$A,$B66,'caseload data'!$B:$B,"community")</f>
        <v>0</v>
      </c>
      <c r="S66" s="75">
        <f>SUMIFS('caseload data'!V:V,'caseload data'!$A:$A,B66,'caseload data'!$B:$B,"community")</f>
        <v>0</v>
      </c>
      <c r="T66" s="91"/>
      <c r="U66" s="141" t="s">
        <v>27</v>
      </c>
      <c r="V66" s="66" t="e">
        <f>C66/$S$66</f>
        <v>#DIV/0!</v>
      </c>
      <c r="W66" s="66" t="e">
        <f t="shared" ref="W66:AK66" si="216">D66/$S$66</f>
        <v>#DIV/0!</v>
      </c>
      <c r="X66" s="66" t="e">
        <f t="shared" si="216"/>
        <v>#DIV/0!</v>
      </c>
      <c r="Y66" s="66" t="e">
        <f t="shared" si="216"/>
        <v>#DIV/0!</v>
      </c>
      <c r="Z66" s="66" t="e">
        <f t="shared" si="216"/>
        <v>#DIV/0!</v>
      </c>
      <c r="AA66" s="66" t="e">
        <f t="shared" si="216"/>
        <v>#DIV/0!</v>
      </c>
      <c r="AB66" s="66" t="e">
        <f t="shared" si="216"/>
        <v>#DIV/0!</v>
      </c>
      <c r="AC66" s="66" t="e">
        <f t="shared" si="216"/>
        <v>#DIV/0!</v>
      </c>
      <c r="AD66" s="66" t="e">
        <f t="shared" si="216"/>
        <v>#DIV/0!</v>
      </c>
      <c r="AE66" s="66" t="e">
        <f t="shared" si="216"/>
        <v>#DIV/0!</v>
      </c>
      <c r="AF66" s="66" t="e">
        <f t="shared" si="216"/>
        <v>#DIV/0!</v>
      </c>
      <c r="AG66" s="66" t="e">
        <f t="shared" si="216"/>
        <v>#DIV/0!</v>
      </c>
      <c r="AH66" s="66" t="e">
        <f t="shared" si="216"/>
        <v>#DIV/0!</v>
      </c>
      <c r="AI66" s="66" t="e">
        <f t="shared" si="216"/>
        <v>#DIV/0!</v>
      </c>
      <c r="AJ66" s="66" t="e">
        <f t="shared" si="216"/>
        <v>#DIV/0!</v>
      </c>
      <c r="AK66" s="66" t="e">
        <f t="shared" si="216"/>
        <v>#DIV/0!</v>
      </c>
    </row>
    <row r="67" spans="2:37" x14ac:dyDescent="0.15">
      <c r="B67" s="141" t="s">
        <v>28</v>
      </c>
      <c r="C67" s="75">
        <f>SUMIFS('caseload data'!E:E,'caseload data'!$A:$A,$B67,'caseload data'!$B:$B,"community")</f>
        <v>0</v>
      </c>
      <c r="D67" s="75">
        <f>SUMIFS('caseload data'!F:F,'caseload data'!$A:$A,$B67,'caseload data'!$B:$B,"community")</f>
        <v>0</v>
      </c>
      <c r="E67" s="75">
        <f>SUMIFS('caseload data'!G:G,'caseload data'!$A:$A,$B67,'caseload data'!$B:$B,"community")</f>
        <v>0</v>
      </c>
      <c r="F67" s="75">
        <f>SUMIFS('caseload data'!H:H,'caseload data'!$A:$A,$B67,'caseload data'!$B:$B,"community")</f>
        <v>0</v>
      </c>
      <c r="G67" s="75">
        <f>SUMIFS('caseload data'!I:I,'caseload data'!$A:$A,$B67,'caseload data'!$B:$B,"community")</f>
        <v>0</v>
      </c>
      <c r="H67" s="75">
        <f>SUMIFS('caseload data'!J:J,'caseload data'!$A:$A,$B67,'caseload data'!$B:$B,"community")</f>
        <v>0</v>
      </c>
      <c r="I67" s="75">
        <f>SUMIFS('caseload data'!K:K,'caseload data'!$A:$A,$B67,'caseload data'!$B:$B,"community")</f>
        <v>0</v>
      </c>
      <c r="J67" s="75">
        <f>SUMIFS('caseload data'!L:L,'caseload data'!$A:$A,$B67,'caseload data'!$B:$B,"community")</f>
        <v>0</v>
      </c>
      <c r="K67" s="75">
        <f>SUMIFS('caseload data'!M:M,'caseload data'!$A:$A,$B67,'caseload data'!$B:$B,"community")</f>
        <v>0</v>
      </c>
      <c r="L67" s="75">
        <f>SUMIFS('caseload data'!N:N,'caseload data'!$A:$A,$B67,'caseload data'!$B:$B,"community")</f>
        <v>0</v>
      </c>
      <c r="M67" s="75">
        <f>SUMIFS('caseload data'!O:O,'caseload data'!$A:$A,$B67,'caseload data'!$B:$B,"community")</f>
        <v>0</v>
      </c>
      <c r="N67" s="75">
        <f>SUMIFS('caseload data'!P:P,'caseload data'!$A:$A,$B67,'caseload data'!$B:$B,"community")</f>
        <v>0</v>
      </c>
      <c r="O67" s="75">
        <f>SUMIFS('caseload data'!Q:Q,'caseload data'!$A:$A,$B67,'caseload data'!$B:$B,"community")</f>
        <v>0</v>
      </c>
      <c r="P67" s="75">
        <f>SUMIFS('caseload data'!R:R,'caseload data'!$A:$A,$B67,'caseload data'!$B:$B,"community")</f>
        <v>0</v>
      </c>
      <c r="Q67" s="75">
        <f>SUMIFS('caseload data'!S:S,'caseload data'!$A:$A,$B67,'caseload data'!$B:$B,"community")</f>
        <v>0</v>
      </c>
      <c r="R67" s="75">
        <f>SUMIFS('caseload data'!T:T,'caseload data'!$A:$A,$B67,'caseload data'!$B:$B,"community")</f>
        <v>0</v>
      </c>
      <c r="S67" s="75">
        <f>SUMIFS('caseload data'!V:V,'caseload data'!$A:$A,B67,'caseload data'!$B:$B,"community")</f>
        <v>0</v>
      </c>
      <c r="T67" s="91"/>
      <c r="U67" s="141" t="s">
        <v>28</v>
      </c>
      <c r="V67" s="66" t="e">
        <f>C67/$S$67</f>
        <v>#DIV/0!</v>
      </c>
      <c r="W67" s="66" t="e">
        <f t="shared" ref="W67:AK67" si="217">D67/$S$67</f>
        <v>#DIV/0!</v>
      </c>
      <c r="X67" s="66" t="e">
        <f t="shared" si="217"/>
        <v>#DIV/0!</v>
      </c>
      <c r="Y67" s="66" t="e">
        <f t="shared" si="217"/>
        <v>#DIV/0!</v>
      </c>
      <c r="Z67" s="66" t="e">
        <f t="shared" si="217"/>
        <v>#DIV/0!</v>
      </c>
      <c r="AA67" s="66" t="e">
        <f t="shared" si="217"/>
        <v>#DIV/0!</v>
      </c>
      <c r="AB67" s="66" t="e">
        <f t="shared" si="217"/>
        <v>#DIV/0!</v>
      </c>
      <c r="AC67" s="66" t="e">
        <f t="shared" si="217"/>
        <v>#DIV/0!</v>
      </c>
      <c r="AD67" s="66" t="e">
        <f t="shared" si="217"/>
        <v>#DIV/0!</v>
      </c>
      <c r="AE67" s="66" t="e">
        <f t="shared" si="217"/>
        <v>#DIV/0!</v>
      </c>
      <c r="AF67" s="66" t="e">
        <f t="shared" si="217"/>
        <v>#DIV/0!</v>
      </c>
      <c r="AG67" s="66" t="e">
        <f t="shared" si="217"/>
        <v>#DIV/0!</v>
      </c>
      <c r="AH67" s="66" t="e">
        <f t="shared" si="217"/>
        <v>#DIV/0!</v>
      </c>
      <c r="AI67" s="66" t="e">
        <f t="shared" si="217"/>
        <v>#DIV/0!</v>
      </c>
      <c r="AJ67" s="66" t="e">
        <f t="shared" si="217"/>
        <v>#DIV/0!</v>
      </c>
      <c r="AK67" s="66" t="e">
        <f t="shared" si="217"/>
        <v>#DIV/0!</v>
      </c>
    </row>
    <row r="68" spans="2:37" x14ac:dyDescent="0.15">
      <c r="B68" s="110" t="s">
        <v>1030</v>
      </c>
      <c r="C68" s="110">
        <f>SUMIF('caseload data'!$B:$B,"community",'caseload data'!E:E)</f>
        <v>0</v>
      </c>
      <c r="D68" s="110">
        <f>SUMIF('caseload data'!$B:$B,"community",'caseload data'!F:F)</f>
        <v>0</v>
      </c>
      <c r="E68" s="110">
        <f>SUMIF('caseload data'!$B:$B,"community",'caseload data'!G:G)</f>
        <v>0</v>
      </c>
      <c r="F68" s="110">
        <f>SUMIF('caseload data'!$B:$B,"community",'caseload data'!H:H)</f>
        <v>0</v>
      </c>
      <c r="G68" s="110">
        <f>SUMIF('caseload data'!$B:$B,"community",'caseload data'!I:I)</f>
        <v>0</v>
      </c>
      <c r="H68" s="110">
        <f>SUMIF('caseload data'!$B:$B,"community",'caseload data'!J:J)</f>
        <v>0</v>
      </c>
      <c r="I68" s="110">
        <f>SUMIF('caseload data'!$B:$B,"community",'caseload data'!K:K)</f>
        <v>0</v>
      </c>
      <c r="J68" s="110">
        <f>SUMIF('caseload data'!$B:$B,"community",'caseload data'!L:L)</f>
        <v>0</v>
      </c>
      <c r="K68" s="110">
        <f>SUMIF('caseload data'!$B:$B,"community",'caseload data'!M:M)</f>
        <v>0</v>
      </c>
      <c r="L68" s="110">
        <f>SUMIF('caseload data'!$B:$B,"community",'caseload data'!N:N)</f>
        <v>0</v>
      </c>
      <c r="M68" s="110">
        <f>SUMIF('caseload data'!$B:$B,"community",'caseload data'!O:O)</f>
        <v>0</v>
      </c>
      <c r="N68" s="110">
        <f>SUMIF('caseload data'!$B:$B,"community",'caseload data'!P:P)</f>
        <v>0</v>
      </c>
      <c r="O68" s="110">
        <f>SUMIF('caseload data'!$B:$B,"community",'caseload data'!Q:Q)</f>
        <v>0</v>
      </c>
      <c r="P68" s="110">
        <f>SUMIF('caseload data'!$B:$B,"community",'caseload data'!R:R)</f>
        <v>0</v>
      </c>
      <c r="Q68" s="110">
        <f>SUMIF('caseload data'!$B:$B,"community",'caseload data'!S:S)</f>
        <v>0</v>
      </c>
      <c r="R68" s="110">
        <f>SUMIF('caseload data'!$B:$B,"community",'caseload data'!T:T)</f>
        <v>0</v>
      </c>
      <c r="S68" s="110">
        <f>SUMIF('caseload data'!$B:$B,"community",'caseload data'!V:V)</f>
        <v>0</v>
      </c>
      <c r="T68" s="91"/>
      <c r="U68" s="110" t="s">
        <v>1030</v>
      </c>
      <c r="V68" s="115" t="e">
        <f>C68/$S$68</f>
        <v>#DIV/0!</v>
      </c>
      <c r="W68" s="115" t="e">
        <f t="shared" ref="W68:AK68" si="218">D68/$S$68</f>
        <v>#DIV/0!</v>
      </c>
      <c r="X68" s="115" t="e">
        <f t="shared" si="218"/>
        <v>#DIV/0!</v>
      </c>
      <c r="Y68" s="115" t="e">
        <f t="shared" si="218"/>
        <v>#DIV/0!</v>
      </c>
      <c r="Z68" s="115" t="e">
        <f t="shared" si="218"/>
        <v>#DIV/0!</v>
      </c>
      <c r="AA68" s="115" t="e">
        <f t="shared" si="218"/>
        <v>#DIV/0!</v>
      </c>
      <c r="AB68" s="115" t="e">
        <f t="shared" si="218"/>
        <v>#DIV/0!</v>
      </c>
      <c r="AC68" s="115" t="e">
        <f t="shared" si="218"/>
        <v>#DIV/0!</v>
      </c>
      <c r="AD68" s="115" t="e">
        <f t="shared" si="218"/>
        <v>#DIV/0!</v>
      </c>
      <c r="AE68" s="115" t="e">
        <f t="shared" si="218"/>
        <v>#DIV/0!</v>
      </c>
      <c r="AF68" s="115" t="e">
        <f t="shared" si="218"/>
        <v>#DIV/0!</v>
      </c>
      <c r="AG68" s="115" t="e">
        <f t="shared" si="218"/>
        <v>#DIV/0!</v>
      </c>
      <c r="AH68" s="115" t="e">
        <f t="shared" si="218"/>
        <v>#DIV/0!</v>
      </c>
      <c r="AI68" s="115" t="e">
        <f t="shared" si="218"/>
        <v>#DIV/0!</v>
      </c>
      <c r="AJ68" s="115" t="e">
        <f t="shared" si="218"/>
        <v>#DIV/0!</v>
      </c>
      <c r="AK68" s="115" t="e">
        <f t="shared" si="218"/>
        <v>#DIV/0!</v>
      </c>
    </row>
  </sheetData>
  <mergeCells count="11">
    <mergeCell ref="C54:S54"/>
    <mergeCell ref="V38:AK38"/>
    <mergeCell ref="V54:AK54"/>
    <mergeCell ref="A2:AN2"/>
    <mergeCell ref="C4:S4"/>
    <mergeCell ref="C21:S21"/>
    <mergeCell ref="AA1:AM1"/>
    <mergeCell ref="A1:Z1"/>
    <mergeCell ref="V4:AK4"/>
    <mergeCell ref="V21:AK21"/>
    <mergeCell ref="C38:S38"/>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85" zoomScaleNormal="85" workbookViewId="0">
      <selection activeCell="G4" sqref="G4"/>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512" t="s">
        <v>1038</v>
      </c>
      <c r="B1" s="512"/>
      <c r="C1" s="512"/>
      <c r="D1" s="512"/>
      <c r="E1" s="512"/>
      <c r="F1" s="512"/>
      <c r="G1" s="512"/>
      <c r="H1" s="512"/>
      <c r="I1" s="512"/>
      <c r="J1" s="512"/>
      <c r="K1" s="512"/>
      <c r="L1" s="512"/>
      <c r="M1" s="512"/>
      <c r="N1" s="512"/>
      <c r="O1" s="512"/>
      <c r="P1" s="512"/>
      <c r="Q1" s="512"/>
      <c r="R1" s="512"/>
      <c r="S1" s="512"/>
      <c r="T1" s="512"/>
      <c r="U1" s="512"/>
      <c r="V1" s="512"/>
      <c r="W1" s="512"/>
      <c r="X1" s="512"/>
      <c r="Y1" s="512"/>
      <c r="Z1" s="512"/>
      <c r="AA1" s="512"/>
      <c r="AB1" s="512"/>
      <c r="AC1" s="512"/>
      <c r="AD1" s="512"/>
      <c r="AE1" s="512"/>
      <c r="AF1" s="512"/>
      <c r="AG1" s="512"/>
      <c r="AH1" s="512"/>
      <c r="AI1" s="512"/>
      <c r="AJ1" s="512"/>
      <c r="AK1" s="512"/>
      <c r="AL1" s="512"/>
      <c r="AM1" s="512"/>
      <c r="AN1" s="512"/>
      <c r="AO1" s="512"/>
    </row>
    <row r="2" spans="1:41" ht="56.25" customHeight="1" x14ac:dyDescent="0.15">
      <c r="A2" s="517" t="s">
        <v>1362</v>
      </c>
      <c r="B2" s="555"/>
      <c r="C2" s="555"/>
      <c r="D2" s="555"/>
      <c r="E2" s="555"/>
      <c r="F2" s="555"/>
      <c r="G2" s="555"/>
      <c r="H2" s="555"/>
      <c r="I2" s="555"/>
      <c r="J2" s="555"/>
      <c r="K2" s="555"/>
      <c r="L2" s="555"/>
      <c r="M2" s="555"/>
      <c r="N2" s="555"/>
      <c r="O2" s="555"/>
      <c r="P2" s="555"/>
      <c r="Q2" s="555"/>
      <c r="R2" s="555"/>
      <c r="S2" s="555"/>
      <c r="T2" s="555"/>
      <c r="U2" s="555"/>
      <c r="V2" s="555"/>
      <c r="W2" s="555"/>
      <c r="X2" s="555"/>
      <c r="Y2" s="555"/>
      <c r="Z2" s="555"/>
      <c r="AA2" s="555"/>
      <c r="AB2" s="555"/>
      <c r="AC2" s="555"/>
      <c r="AD2" s="555"/>
      <c r="AE2" s="555"/>
      <c r="AF2" s="555"/>
      <c r="AG2" s="555"/>
      <c r="AH2" s="555"/>
      <c r="AI2" s="555"/>
      <c r="AJ2" s="555"/>
      <c r="AK2" s="555"/>
      <c r="AL2" s="555"/>
      <c r="AM2" s="555"/>
      <c r="AN2" s="555"/>
      <c r="AO2" s="555"/>
    </row>
    <row r="3" spans="1:41"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28" x14ac:dyDescent="0.15">
      <c r="B4" s="143" t="s">
        <v>885</v>
      </c>
    </row>
    <row r="5" spans="1:41" ht="25.5" customHeight="1" x14ac:dyDescent="0.15">
      <c r="B5" s="242" t="s">
        <v>22</v>
      </c>
      <c r="P5" s="40"/>
      <c r="Q5" s="40"/>
    </row>
    <row r="6" spans="1:41" x14ac:dyDescent="0.15">
      <c r="B6" s="46"/>
    </row>
    <row r="8" spans="1:41" ht="28.5" customHeight="1" x14ac:dyDescent="0.15">
      <c r="B8" s="288" t="str">
        <f>HLOOKUP($B$5,Region_Table,2,0)</f>
        <v>Corporate Services - N54</v>
      </c>
      <c r="C8" s="548" t="s">
        <v>1039</v>
      </c>
      <c r="D8" s="549"/>
      <c r="E8" s="549"/>
      <c r="F8" s="549"/>
      <c r="G8" s="549"/>
      <c r="H8" s="549"/>
      <c r="I8" s="549"/>
      <c r="J8" s="549"/>
      <c r="K8" s="549"/>
      <c r="L8" s="549"/>
      <c r="M8" s="553"/>
      <c r="N8" s="553"/>
      <c r="O8" s="554"/>
      <c r="P8" s="543">
        <f>SUMIF('caseload data'!C:C,'divisional &amp; regional caseload'!B8,'caseload data'!V:V)</f>
        <v>0</v>
      </c>
      <c r="Q8" s="544"/>
      <c r="R8" s="545"/>
      <c r="S8" s="91"/>
      <c r="T8" s="288" t="str">
        <f>HLOOKUP($B$5,Region_Table,3,0)</f>
        <v>County Durham and Darlington</v>
      </c>
      <c r="U8" s="548" t="s">
        <v>1039</v>
      </c>
      <c r="V8" s="549"/>
      <c r="W8" s="549"/>
      <c r="X8" s="549"/>
      <c r="Y8" s="549"/>
      <c r="Z8" s="549"/>
      <c r="AA8" s="549"/>
      <c r="AB8" s="549"/>
      <c r="AC8" s="549"/>
      <c r="AD8" s="549"/>
      <c r="AE8" s="549"/>
      <c r="AF8" s="549"/>
      <c r="AG8" s="550"/>
      <c r="AH8" s="543">
        <f>SUMIF('caseload data'!C:C,'divisional &amp; regional caseload'!T8,'caseload data'!V:V)</f>
        <v>0</v>
      </c>
      <c r="AI8" s="546"/>
      <c r="AJ8" s="547"/>
    </row>
    <row r="9" spans="1:41"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91"/>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41" x14ac:dyDescent="0.15">
      <c r="B10" s="96" t="s">
        <v>947</v>
      </c>
      <c r="C10" s="94">
        <f>SUMIFS('caseload data'!E:E,'caseload data'!$D:$D,"PO",'caseload data'!$C:$C,'divisional &amp; regional caseload'!$B$8)</f>
        <v>0</v>
      </c>
      <c r="D10" s="94">
        <f>SUMIFS('caseload data'!F:F,'caseload data'!$D:$D,"PO",'caseload data'!$C:$C,'divisional &amp; regional caseload'!$B$8)</f>
        <v>0</v>
      </c>
      <c r="E10" s="94">
        <f>SUMIFS('caseload data'!G:G,'caseload data'!$D:$D,"PO",'caseload data'!$C:$C,'divisional &amp; regional caseload'!$B$8)</f>
        <v>0</v>
      </c>
      <c r="F10" s="94">
        <f>SUMIFS('caseload data'!H:H,'caseload data'!$D:$D,"PO",'caseload data'!$C:$C,'divisional &amp; regional caseload'!$B$8)</f>
        <v>0</v>
      </c>
      <c r="G10" s="94">
        <f>SUMIFS('caseload data'!I:I,'caseload data'!$D:$D,"PO",'caseload data'!$C:$C,'divisional &amp; regional caseload'!$B$8)</f>
        <v>0</v>
      </c>
      <c r="H10" s="94">
        <f>SUMIFS('caseload data'!J:J,'caseload data'!$D:$D,"PO",'caseload data'!$C:$C,'divisional &amp; regional caseload'!$B$8)</f>
        <v>0</v>
      </c>
      <c r="I10" s="94">
        <f>SUMIFS('caseload data'!K:K,'caseload data'!$D:$D,"PO",'caseload data'!$C:$C,'divisional &amp; regional caseload'!$B$8)</f>
        <v>0</v>
      </c>
      <c r="J10" s="94">
        <f>SUMIFS('caseload data'!L:L,'caseload data'!$D:$D,"PO",'caseload data'!$C:$C,'divisional &amp; regional caseload'!$B$8)</f>
        <v>0</v>
      </c>
      <c r="K10" s="94">
        <f>SUMIFS('caseload data'!M:M,'caseload data'!$D:$D,"PO",'caseload data'!$C:$C,'divisional &amp; regional caseload'!$B$8)</f>
        <v>0</v>
      </c>
      <c r="L10" s="94">
        <f>SUMIFS('caseload data'!N:N,'caseload data'!$D:$D,"PO",'caseload data'!$C:$C,'divisional &amp; regional caseload'!$B$8)</f>
        <v>0</v>
      </c>
      <c r="M10" s="94">
        <f>SUMIFS('caseload data'!O:O,'caseload data'!$D:$D,"PO",'caseload data'!$C:$C,'divisional &amp; regional caseload'!$B$8)</f>
        <v>0</v>
      </c>
      <c r="N10" s="94">
        <f>SUMIFS('caseload data'!P:P,'caseload data'!$D:$D,"PO",'caseload data'!$C:$C,'divisional &amp; regional caseload'!$B$8)</f>
        <v>0</v>
      </c>
      <c r="O10" s="94">
        <f>SUMIFS('caseload data'!Q:Q,'caseload data'!$D:$D,"PO",'caseload data'!$C:$C,'divisional &amp; regional caseload'!$B$8)</f>
        <v>0</v>
      </c>
      <c r="P10" s="94">
        <f>SUMIFS('caseload data'!R:R,'caseload data'!$D:$D,"PO",'caseload data'!$C:$C,'divisional &amp; regional caseload'!$B$8)</f>
        <v>0</v>
      </c>
      <c r="Q10" s="94">
        <f>SUMIFS('caseload data'!S:S,'caseload data'!$D:$D,"PO",'caseload data'!$C:$C,'divisional &amp; regional caseload'!$B$8)</f>
        <v>0</v>
      </c>
      <c r="R10" s="94">
        <f>SUMIFS('caseload data'!T:T,'caseload data'!$D:$D,"PO",'caseload data'!$C:$C,'divisional &amp; regional caseload'!$B$8)</f>
        <v>0</v>
      </c>
      <c r="S10" s="91"/>
      <c r="T10" s="96" t="s">
        <v>947</v>
      </c>
      <c r="U10" s="94">
        <f>SUMIFS('caseload data'!E:E,'caseload data'!$D:$D,"PO",'caseload data'!$C:$C,'divisional &amp; regional caseload'!$T$8)</f>
        <v>0</v>
      </c>
      <c r="V10" s="94">
        <f>SUMIFS('caseload data'!F:F,'caseload data'!$D:$D,"PO",'caseload data'!$C:$C,'divisional &amp; regional caseload'!$T$8)</f>
        <v>0</v>
      </c>
      <c r="W10" s="94">
        <f>SUMIFS('caseload data'!G:G,'caseload data'!$D:$D,"PO",'caseload data'!$C:$C,'divisional &amp; regional caseload'!$T$8)</f>
        <v>0</v>
      </c>
      <c r="X10" s="94">
        <f>SUMIFS('caseload data'!H:H,'caseload data'!$D:$D,"PO",'caseload data'!$C:$C,'divisional &amp; regional caseload'!$T$8)</f>
        <v>0</v>
      </c>
      <c r="Y10" s="94">
        <f>SUMIFS('caseload data'!I:I,'caseload data'!$D:$D,"PO",'caseload data'!$C:$C,'divisional &amp; regional caseload'!$T$8)</f>
        <v>0</v>
      </c>
      <c r="Z10" s="94">
        <f>SUMIFS('caseload data'!J:J,'caseload data'!$D:$D,"PO",'caseload data'!$C:$C,'divisional &amp; regional caseload'!$T$8)</f>
        <v>0</v>
      </c>
      <c r="AA10" s="94">
        <f>SUMIFS('caseload data'!K:K,'caseload data'!$D:$D,"PO",'caseload data'!$C:$C,'divisional &amp; regional caseload'!$T$8)</f>
        <v>0</v>
      </c>
      <c r="AB10" s="94">
        <f>SUMIFS('caseload data'!L:L,'caseload data'!$D:$D,"PO",'caseload data'!$C:$C,'divisional &amp; regional caseload'!$T$8)</f>
        <v>0</v>
      </c>
      <c r="AC10" s="94">
        <f>SUMIFS('caseload data'!M:M,'caseload data'!$D:$D,"PO",'caseload data'!$C:$C,'divisional &amp; regional caseload'!$T$8)</f>
        <v>0</v>
      </c>
      <c r="AD10" s="94">
        <f>SUMIFS('caseload data'!N:N,'caseload data'!$D:$D,"PO",'caseload data'!$C:$C,'divisional &amp; regional caseload'!$T$8)</f>
        <v>0</v>
      </c>
      <c r="AE10" s="94">
        <f>SUMIFS('caseload data'!O:O,'caseload data'!$D:$D,"PO",'caseload data'!$C:$C,'divisional &amp; regional caseload'!$T$8)</f>
        <v>0</v>
      </c>
      <c r="AF10" s="94">
        <f>SUMIFS('caseload data'!P:P,'caseload data'!$D:$D,"PO",'caseload data'!$C:$C,'divisional &amp; regional caseload'!$T$8)</f>
        <v>0</v>
      </c>
      <c r="AG10" s="94">
        <f>SUMIFS('caseload data'!Q:Q,'caseload data'!$D:$D,"PO",'caseload data'!$C:$C,'divisional &amp; regional caseload'!$T$8)</f>
        <v>0</v>
      </c>
      <c r="AH10" s="94">
        <f>SUMIFS('caseload data'!R:R,'caseload data'!$D:$D,"PO",'caseload data'!$C:$C,'divisional &amp; regional caseload'!$T$8)</f>
        <v>0</v>
      </c>
      <c r="AI10" s="94">
        <f>SUMIFS('caseload data'!S:S,'caseload data'!$D:$D,"PO",'caseload data'!$C:$C,'divisional &amp; regional caseload'!$T$8)</f>
        <v>0</v>
      </c>
      <c r="AJ10" s="94">
        <f>SUMIFS('caseload data'!T:T,'caseload data'!$D:$D,"PO",'caseload data'!$C:$C,'divisional &amp; regional caseload'!$T$8)</f>
        <v>0</v>
      </c>
    </row>
    <row r="11" spans="1:41" x14ac:dyDescent="0.15">
      <c r="B11" s="97" t="s">
        <v>952</v>
      </c>
      <c r="C11" s="94">
        <f>SUMIFS('caseload data'!E:E,'caseload data'!$D:$D,"PSO",'caseload data'!$C:$C,'divisional &amp; regional caseload'!$B$8)</f>
        <v>0</v>
      </c>
      <c r="D11" s="94">
        <f>SUMIFS('caseload data'!F:F,'caseload data'!$D:$D,"PSO",'caseload data'!$C:$C,'divisional &amp; regional caseload'!$B$8)</f>
        <v>0</v>
      </c>
      <c r="E11" s="94">
        <f>SUMIFS('caseload data'!G:G,'caseload data'!$D:$D,"PSO",'caseload data'!$C:$C,'divisional &amp; regional caseload'!$B$8)</f>
        <v>0</v>
      </c>
      <c r="F11" s="94">
        <f>SUMIFS('caseload data'!H:H,'caseload data'!$D:$D,"PSO",'caseload data'!$C:$C,'divisional &amp; regional caseload'!$B$8)</f>
        <v>0</v>
      </c>
      <c r="G11" s="94">
        <f>SUMIFS('caseload data'!I:I,'caseload data'!$D:$D,"PSO",'caseload data'!$C:$C,'divisional &amp; regional caseload'!$B$8)</f>
        <v>0</v>
      </c>
      <c r="H11" s="94">
        <f>SUMIFS('caseload data'!J:J,'caseload data'!$D:$D,"PSO",'caseload data'!$C:$C,'divisional &amp; regional caseload'!$B$8)</f>
        <v>0</v>
      </c>
      <c r="I11" s="94">
        <f>SUMIFS('caseload data'!K:K,'caseload data'!$D:$D,"PSO",'caseload data'!$C:$C,'divisional &amp; regional caseload'!$B$8)</f>
        <v>0</v>
      </c>
      <c r="J11" s="94">
        <f>SUMIFS('caseload data'!L:L,'caseload data'!$D:$D,"PSO",'caseload data'!$C:$C,'divisional &amp; regional caseload'!$B$8)</f>
        <v>0</v>
      </c>
      <c r="K11" s="94">
        <f>SUMIFS('caseload data'!M:M,'caseload data'!$D:$D,"PSO",'caseload data'!$C:$C,'divisional &amp; regional caseload'!$B$8)</f>
        <v>0</v>
      </c>
      <c r="L11" s="94">
        <f>SUMIFS('caseload data'!N:N,'caseload data'!$D:$D,"PSO",'caseload data'!$C:$C,'divisional &amp; regional caseload'!$B$8)</f>
        <v>0</v>
      </c>
      <c r="M11" s="94">
        <f>SUMIFS('caseload data'!O:O,'caseload data'!$D:$D,"PSO",'caseload data'!$C:$C,'divisional &amp; regional caseload'!$B$8)</f>
        <v>0</v>
      </c>
      <c r="N11" s="94">
        <f>SUMIFS('caseload data'!P:P,'caseload data'!$D:$D,"PSO",'caseload data'!$C:$C,'divisional &amp; regional caseload'!$B$8)</f>
        <v>0</v>
      </c>
      <c r="O11" s="94">
        <f>SUMIFS('caseload data'!Q:Q,'caseload data'!$D:$D,"PSO",'caseload data'!$C:$C,'divisional &amp; regional caseload'!$B$8)</f>
        <v>0</v>
      </c>
      <c r="P11" s="94">
        <f>SUMIFS('caseload data'!R:R,'caseload data'!$D:$D,"PSO",'caseload data'!$C:$C,'divisional &amp; regional caseload'!$B$8)</f>
        <v>0</v>
      </c>
      <c r="Q11" s="94">
        <f>SUMIFS('caseload data'!S:S,'caseload data'!$D:$D,"PSO",'caseload data'!$C:$C,'divisional &amp; regional caseload'!$B$8)</f>
        <v>0</v>
      </c>
      <c r="R11" s="94">
        <f>SUMIFS('caseload data'!T:T,'caseload data'!$D:$D,"PSO",'caseload data'!$C:$C,'divisional &amp; regional caseload'!$B$8)</f>
        <v>0</v>
      </c>
      <c r="S11" s="91"/>
      <c r="T11" s="97" t="s">
        <v>952</v>
      </c>
      <c r="U11" s="94">
        <f>SUMIFS('caseload data'!E:E,'caseload data'!$D:$D,"PSO",'caseload data'!$C:$C,'divisional &amp; regional caseload'!$T$8)</f>
        <v>0</v>
      </c>
      <c r="V11" s="94">
        <f>SUMIFS('caseload data'!F:F,'caseload data'!$D:$D,"PSO",'caseload data'!$C:$C,'divisional &amp; regional caseload'!$T$8)</f>
        <v>0</v>
      </c>
      <c r="W11" s="94">
        <f>SUMIFS('caseload data'!G:G,'caseload data'!$D:$D,"PSO",'caseload data'!$C:$C,'divisional &amp; regional caseload'!$T$8)</f>
        <v>0</v>
      </c>
      <c r="X11" s="94">
        <f>SUMIFS('caseload data'!H:H,'caseload data'!$D:$D,"PSO",'caseload data'!$C:$C,'divisional &amp; regional caseload'!$T$8)</f>
        <v>0</v>
      </c>
      <c r="Y11" s="94">
        <f>SUMIFS('caseload data'!I:I,'caseload data'!$D:$D,"PSO",'caseload data'!$C:$C,'divisional &amp; regional caseload'!$T$8)</f>
        <v>0</v>
      </c>
      <c r="Z11" s="94">
        <f>SUMIFS('caseload data'!J:J,'caseload data'!$D:$D,"PSO",'caseload data'!$C:$C,'divisional &amp; regional caseload'!$T$8)</f>
        <v>0</v>
      </c>
      <c r="AA11" s="94">
        <f>SUMIFS('caseload data'!K:K,'caseload data'!$D:$D,"PSO",'caseload data'!$C:$C,'divisional &amp; regional caseload'!$T$8)</f>
        <v>0</v>
      </c>
      <c r="AB11" s="94">
        <f>SUMIFS('caseload data'!L:L,'caseload data'!$D:$D,"PSO",'caseload data'!$C:$C,'divisional &amp; regional caseload'!$T$8)</f>
        <v>0</v>
      </c>
      <c r="AC11" s="94">
        <f>SUMIFS('caseload data'!M:M,'caseload data'!$D:$D,"PSO",'caseload data'!$C:$C,'divisional &amp; regional caseload'!$T$8)</f>
        <v>0</v>
      </c>
      <c r="AD11" s="94">
        <f>SUMIFS('caseload data'!N:N,'caseload data'!$D:$D,"PSO",'caseload data'!$C:$C,'divisional &amp; regional caseload'!$T$8)</f>
        <v>0</v>
      </c>
      <c r="AE11" s="94">
        <f>SUMIFS('caseload data'!O:O,'caseload data'!$D:$D,"PSO",'caseload data'!$C:$C,'divisional &amp; regional caseload'!$T$8)</f>
        <v>0</v>
      </c>
      <c r="AF11" s="94">
        <f>SUMIFS('caseload data'!P:P,'caseload data'!$D:$D,"PSO",'caseload data'!$C:$C,'divisional &amp; regional caseload'!$T$8)</f>
        <v>0</v>
      </c>
      <c r="AG11" s="94">
        <f>SUMIFS('caseload data'!Q:Q,'caseload data'!$D:$D,"PSO",'caseload data'!$C:$C,'divisional &amp; regional caseload'!$T$8)</f>
        <v>0</v>
      </c>
      <c r="AH11" s="94">
        <f>SUMIFS('caseload data'!R:R,'caseload data'!$D:$D,"PSO",'caseload data'!$C:$C,'divisional &amp; regional caseload'!$T$8)</f>
        <v>0</v>
      </c>
      <c r="AI11" s="94">
        <f>SUMIFS('caseload data'!S:S,'caseload data'!$D:$D,"PSO",'caseload data'!$C:$C,'divisional &amp; regional caseload'!$T$8)</f>
        <v>0</v>
      </c>
      <c r="AJ11" s="94">
        <f>SUMIFS('caseload data'!T:T,'caseload data'!$D:$D,"PSO",'caseload data'!$C:$C,'divisional &amp; regional caseload'!$T$8)</f>
        <v>0</v>
      </c>
    </row>
    <row r="12" spans="1:41" x14ac:dyDescent="0.15">
      <c r="B12" s="97" t="s">
        <v>953</v>
      </c>
      <c r="C12" s="94">
        <f>SUMIFS('caseload data'!E:E,'caseload data'!$D:$D,"TPO",'caseload data'!$C:$C,'divisional &amp; regional caseload'!$B$8)</f>
        <v>0</v>
      </c>
      <c r="D12" s="94">
        <f>SUMIFS('caseload data'!F:F,'caseload data'!$D:$D,"TPO",'caseload data'!$C:$C,'divisional &amp; regional caseload'!$B$8)</f>
        <v>0</v>
      </c>
      <c r="E12" s="94">
        <f>SUMIFS('caseload data'!G:G,'caseload data'!$D:$D,"TPO",'caseload data'!$C:$C,'divisional &amp; regional caseload'!$B$8)</f>
        <v>0</v>
      </c>
      <c r="F12" s="94">
        <f>SUMIFS('caseload data'!H:H,'caseload data'!$D:$D,"TPO",'caseload data'!$C:$C,'divisional &amp; regional caseload'!$B$8)</f>
        <v>0</v>
      </c>
      <c r="G12" s="94">
        <f>SUMIFS('caseload data'!I:I,'caseload data'!$D:$D,"TPO",'caseload data'!$C:$C,'divisional &amp; regional caseload'!$B$8)</f>
        <v>0</v>
      </c>
      <c r="H12" s="94">
        <f>SUMIFS('caseload data'!J:J,'caseload data'!$D:$D,"TPO",'caseload data'!$C:$C,'divisional &amp; regional caseload'!$B$8)</f>
        <v>0</v>
      </c>
      <c r="I12" s="94">
        <f>SUMIFS('caseload data'!K:K,'caseload data'!$D:$D,"TPO",'caseload data'!$C:$C,'divisional &amp; regional caseload'!$B$8)</f>
        <v>0</v>
      </c>
      <c r="J12" s="94">
        <f>SUMIFS('caseload data'!L:L,'caseload data'!$D:$D,"TPO",'caseload data'!$C:$C,'divisional &amp; regional caseload'!$B$8)</f>
        <v>0</v>
      </c>
      <c r="K12" s="94">
        <f>SUMIFS('caseload data'!M:M,'caseload data'!$D:$D,"TPO",'caseload data'!$C:$C,'divisional &amp; regional caseload'!$B$8)</f>
        <v>0</v>
      </c>
      <c r="L12" s="94">
        <f>SUMIFS('caseload data'!N:N,'caseload data'!$D:$D,"TPO",'caseload data'!$C:$C,'divisional &amp; regional caseload'!$B$8)</f>
        <v>0</v>
      </c>
      <c r="M12" s="94">
        <f>SUMIFS('caseload data'!O:O,'caseload data'!$D:$D,"TPO",'caseload data'!$C:$C,'divisional &amp; regional caseload'!$B$8)</f>
        <v>0</v>
      </c>
      <c r="N12" s="94">
        <f>SUMIFS('caseload data'!P:P,'caseload data'!$D:$D,"TPO",'caseload data'!$C:$C,'divisional &amp; regional caseload'!$B$8)</f>
        <v>0</v>
      </c>
      <c r="O12" s="94">
        <f>SUMIFS('caseload data'!Q:Q,'caseload data'!$D:$D,"TPO",'caseload data'!$C:$C,'divisional &amp; regional caseload'!$B$8)</f>
        <v>0</v>
      </c>
      <c r="P12" s="94">
        <f>SUMIFS('caseload data'!R:R,'caseload data'!$D:$D,"TPO",'caseload data'!$C:$C,'divisional &amp; regional caseload'!$B$8)</f>
        <v>0</v>
      </c>
      <c r="Q12" s="94">
        <f>SUMIFS('caseload data'!S:S,'caseload data'!$D:$D,"TPO",'caseload data'!$C:$C,'divisional &amp; regional caseload'!$B$8)</f>
        <v>0</v>
      </c>
      <c r="R12" s="94">
        <f>SUMIFS('caseload data'!T:T,'caseload data'!$D:$D,"TPO",'caseload data'!$C:$C,'divisional &amp; regional caseload'!$B$8)</f>
        <v>0</v>
      </c>
      <c r="S12" s="91"/>
      <c r="T12" s="97" t="s">
        <v>953</v>
      </c>
      <c r="U12" s="94">
        <f>SUMIFS('caseload data'!E:E,'caseload data'!$D:$D,"TPO",'caseload data'!$C:$C,'divisional &amp; regional caseload'!$T$8)</f>
        <v>0</v>
      </c>
      <c r="V12" s="94">
        <f>SUMIFS('caseload data'!F:F,'caseload data'!$D:$D,"TPO",'caseload data'!$C:$C,'divisional &amp; regional caseload'!$T$8)</f>
        <v>0</v>
      </c>
      <c r="W12" s="94">
        <f>SUMIFS('caseload data'!G:G,'caseload data'!$D:$D,"TPO",'caseload data'!$C:$C,'divisional &amp; regional caseload'!$T$8)</f>
        <v>0</v>
      </c>
      <c r="X12" s="94">
        <f>SUMIFS('caseload data'!H:H,'caseload data'!$D:$D,"TPO",'caseload data'!$C:$C,'divisional &amp; regional caseload'!$T$8)</f>
        <v>0</v>
      </c>
      <c r="Y12" s="94">
        <f>SUMIFS('caseload data'!I:I,'caseload data'!$D:$D,"TPO",'caseload data'!$C:$C,'divisional &amp; regional caseload'!$T$8)</f>
        <v>0</v>
      </c>
      <c r="Z12" s="94">
        <f>SUMIFS('caseload data'!J:J,'caseload data'!$D:$D,"TPO",'caseload data'!$C:$C,'divisional &amp; regional caseload'!$T$8)</f>
        <v>0</v>
      </c>
      <c r="AA12" s="94">
        <f>SUMIFS('caseload data'!K:K,'caseload data'!$D:$D,"TPO",'caseload data'!$C:$C,'divisional &amp; regional caseload'!$T$8)</f>
        <v>0</v>
      </c>
      <c r="AB12" s="94">
        <f>SUMIFS('caseload data'!L:L,'caseload data'!$D:$D,"TPO",'caseload data'!$C:$C,'divisional &amp; regional caseload'!$T$8)</f>
        <v>0</v>
      </c>
      <c r="AC12" s="94">
        <f>SUMIFS('caseload data'!M:M,'caseload data'!$D:$D,"TPO",'caseload data'!$C:$C,'divisional &amp; regional caseload'!$T$8)</f>
        <v>0</v>
      </c>
      <c r="AD12" s="94">
        <f>SUMIFS('caseload data'!N:N,'caseload data'!$D:$D,"TPO",'caseload data'!$C:$C,'divisional &amp; regional caseload'!$T$8)</f>
        <v>0</v>
      </c>
      <c r="AE12" s="94">
        <f>SUMIFS('caseload data'!O:O,'caseload data'!$D:$D,"TPO",'caseload data'!$C:$C,'divisional &amp; regional caseload'!$T$8)</f>
        <v>0</v>
      </c>
      <c r="AF12" s="94">
        <f>SUMIFS('caseload data'!P:P,'caseload data'!$D:$D,"TPO",'caseload data'!$C:$C,'divisional &amp; regional caseload'!$T$8)</f>
        <v>0</v>
      </c>
      <c r="AG12" s="94">
        <f>SUMIFS('caseload data'!Q:Q,'caseload data'!$D:$D,"TPO",'caseload data'!$C:$C,'divisional &amp; regional caseload'!$T$8)</f>
        <v>0</v>
      </c>
      <c r="AH12" s="94">
        <f>SUMIFS('caseload data'!R:R,'caseload data'!$D:$D,"TPO",'caseload data'!$C:$C,'divisional &amp; regional caseload'!$T$8)</f>
        <v>0</v>
      </c>
      <c r="AI12" s="94">
        <f>SUMIFS('caseload data'!S:S,'caseload data'!$D:$D,"TPO",'caseload data'!$C:$C,'divisional &amp; regional caseload'!$T$8)</f>
        <v>0</v>
      </c>
      <c r="AJ12" s="94">
        <f>SUMIFS('caseload data'!T:T,'caseload data'!$D:$D,"TPO",'caseload data'!$C:$C,'divisional &amp; regional caseload'!$T$8)</f>
        <v>0</v>
      </c>
    </row>
    <row r="13" spans="1:41" x14ac:dyDescent="0.15">
      <c r="B13" s="98" t="s">
        <v>954</v>
      </c>
      <c r="C13" s="94">
        <f>SUMIFS('caseload data'!E:E,'caseload data'!$D:$D,"SPO",'caseload data'!$C:$C,'divisional &amp; regional caseload'!$B$8)</f>
        <v>0</v>
      </c>
      <c r="D13" s="94">
        <f>SUMIFS('caseload data'!F:F,'caseload data'!$D:$D,"SPO",'caseload data'!$C:$C,'divisional &amp; regional caseload'!$B$8)</f>
        <v>0</v>
      </c>
      <c r="E13" s="94">
        <f>SUMIFS('caseload data'!G:G,'caseload data'!$D:$D,"SPO",'caseload data'!$C:$C,'divisional &amp; regional caseload'!$B$8)</f>
        <v>0</v>
      </c>
      <c r="F13" s="94">
        <f>SUMIFS('caseload data'!H:H,'caseload data'!$D:$D,"SPO",'caseload data'!$C:$C,'divisional &amp; regional caseload'!$B$8)</f>
        <v>0</v>
      </c>
      <c r="G13" s="94">
        <f>SUMIFS('caseload data'!I:I,'caseload data'!$D:$D,"SPO",'caseload data'!$C:$C,'divisional &amp; regional caseload'!$B$8)</f>
        <v>0</v>
      </c>
      <c r="H13" s="94">
        <f>SUMIFS('caseload data'!J:J,'caseload data'!$D:$D,"SPO",'caseload data'!$C:$C,'divisional &amp; regional caseload'!$B$8)</f>
        <v>0</v>
      </c>
      <c r="I13" s="94">
        <f>SUMIFS('caseload data'!K:K,'caseload data'!$D:$D,"SPO",'caseload data'!$C:$C,'divisional &amp; regional caseload'!$B$8)</f>
        <v>0</v>
      </c>
      <c r="J13" s="94">
        <f>SUMIFS('caseload data'!L:L,'caseload data'!$D:$D,"SPO",'caseload data'!$C:$C,'divisional &amp; regional caseload'!$B$8)</f>
        <v>0</v>
      </c>
      <c r="K13" s="94">
        <f>SUMIFS('caseload data'!M:M,'caseload data'!$D:$D,"SPO",'caseload data'!$C:$C,'divisional &amp; regional caseload'!$B$8)</f>
        <v>0</v>
      </c>
      <c r="L13" s="94">
        <f>SUMIFS('caseload data'!N:N,'caseload data'!$D:$D,"SPO",'caseload data'!$C:$C,'divisional &amp; regional caseload'!$B$8)</f>
        <v>0</v>
      </c>
      <c r="M13" s="94">
        <f>SUMIFS('caseload data'!O:O,'caseload data'!$D:$D,"SPO",'caseload data'!$C:$C,'divisional &amp; regional caseload'!$B$8)</f>
        <v>0</v>
      </c>
      <c r="N13" s="94">
        <f>SUMIFS('caseload data'!P:P,'caseload data'!$D:$D,"SPO",'caseload data'!$C:$C,'divisional &amp; regional caseload'!$B$8)</f>
        <v>0</v>
      </c>
      <c r="O13" s="94">
        <f>SUMIFS('caseload data'!Q:Q,'caseload data'!$D:$D,"SPO",'caseload data'!$C:$C,'divisional &amp; regional caseload'!$B$8)</f>
        <v>0</v>
      </c>
      <c r="P13" s="94">
        <f>SUMIFS('caseload data'!R:R,'caseload data'!$D:$D,"SPO",'caseload data'!$C:$C,'divisional &amp; regional caseload'!$B$8)</f>
        <v>0</v>
      </c>
      <c r="Q13" s="94">
        <f>SUMIFS('caseload data'!S:S,'caseload data'!$D:$D,"SPO",'caseload data'!$C:$C,'divisional &amp; regional caseload'!$B$8)</f>
        <v>0</v>
      </c>
      <c r="R13" s="94">
        <f>SUMIFS('caseload data'!T:T,'caseload data'!$D:$D,"SPO",'caseload data'!$C:$C,'divisional &amp; regional caseload'!$B$8)</f>
        <v>0</v>
      </c>
      <c r="S13" s="91"/>
      <c r="T13" s="98" t="s">
        <v>954</v>
      </c>
      <c r="U13" s="94">
        <f>SUMIFS('caseload data'!E:E,'caseload data'!$D:$D,"SPO",'caseload data'!$C:$C,'divisional &amp; regional caseload'!$T$8)</f>
        <v>0</v>
      </c>
      <c r="V13" s="94">
        <f>SUMIFS('caseload data'!F:F,'caseload data'!$D:$D,"SPO",'caseload data'!$C:$C,'divisional &amp; regional caseload'!$T$8)</f>
        <v>0</v>
      </c>
      <c r="W13" s="94">
        <f>SUMIFS('caseload data'!G:G,'caseload data'!$D:$D,"SPO",'caseload data'!$C:$C,'divisional &amp; regional caseload'!$T$8)</f>
        <v>0</v>
      </c>
      <c r="X13" s="94">
        <f>SUMIFS('caseload data'!H:H,'caseload data'!$D:$D,"SPO",'caseload data'!$C:$C,'divisional &amp; regional caseload'!$T$8)</f>
        <v>0</v>
      </c>
      <c r="Y13" s="94">
        <f>SUMIFS('caseload data'!I:I,'caseload data'!$D:$D,"SPO",'caseload data'!$C:$C,'divisional &amp; regional caseload'!$T$8)</f>
        <v>0</v>
      </c>
      <c r="Z13" s="94">
        <f>SUMIFS('caseload data'!J:J,'caseload data'!$D:$D,"SPO",'caseload data'!$C:$C,'divisional &amp; regional caseload'!$T$8)</f>
        <v>0</v>
      </c>
      <c r="AA13" s="94">
        <f>SUMIFS('caseload data'!K:K,'caseload data'!$D:$D,"SPO",'caseload data'!$C:$C,'divisional &amp; regional caseload'!$T$8)</f>
        <v>0</v>
      </c>
      <c r="AB13" s="94">
        <f>SUMIFS('caseload data'!L:L,'caseload data'!$D:$D,"SPO",'caseload data'!$C:$C,'divisional &amp; regional caseload'!$T$8)</f>
        <v>0</v>
      </c>
      <c r="AC13" s="94">
        <f>SUMIFS('caseload data'!M:M,'caseload data'!$D:$D,"SPO",'caseload data'!$C:$C,'divisional &amp; regional caseload'!$T$8)</f>
        <v>0</v>
      </c>
      <c r="AD13" s="94">
        <f>SUMIFS('caseload data'!N:N,'caseload data'!$D:$D,"SPO",'caseload data'!$C:$C,'divisional &amp; regional caseload'!$T$8)</f>
        <v>0</v>
      </c>
      <c r="AE13" s="94">
        <f>SUMIFS('caseload data'!O:O,'caseload data'!$D:$D,"SPO",'caseload data'!$C:$C,'divisional &amp; regional caseload'!$T$8)</f>
        <v>0</v>
      </c>
      <c r="AF13" s="94">
        <f>SUMIFS('caseload data'!P:P,'caseload data'!$D:$D,"SPO",'caseload data'!$C:$C,'divisional &amp; regional caseload'!$T$8)</f>
        <v>0</v>
      </c>
      <c r="AG13" s="94">
        <f>SUMIFS('caseload data'!Q:Q,'caseload data'!$D:$D,"SPO",'caseload data'!$C:$C,'divisional &amp; regional caseload'!$T$8)</f>
        <v>0</v>
      </c>
      <c r="AH13" s="94">
        <f>SUMIFS('caseload data'!R:R,'caseload data'!$D:$D,"SPO",'caseload data'!$C:$C,'divisional &amp; regional caseload'!$T$8)</f>
        <v>0</v>
      </c>
      <c r="AI13" s="94">
        <f>SUMIFS('caseload data'!S:S,'caseload data'!$D:$D,"SPO",'caseload data'!$C:$C,'divisional &amp; regional caseload'!$T$8)</f>
        <v>0</v>
      </c>
      <c r="AJ13" s="94">
        <f>SUMIFS('caseload data'!T:T,'caseload data'!$D:$D,"SPO",'caseload data'!$C:$C,'divisional &amp; regional caseload'!$T$8)</f>
        <v>0</v>
      </c>
    </row>
    <row r="14" spans="1:41" x14ac:dyDescent="0.1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row>
    <row r="15" spans="1:41" ht="30" customHeight="1" x14ac:dyDescent="0.15">
      <c r="B15" s="288" t="str">
        <f>HLOOKUP($B$5,Region_Table,4,0)</f>
        <v>Gateshead and South Tyneside</v>
      </c>
      <c r="C15" s="548" t="s">
        <v>1039</v>
      </c>
      <c r="D15" s="549"/>
      <c r="E15" s="549"/>
      <c r="F15" s="549"/>
      <c r="G15" s="549"/>
      <c r="H15" s="549"/>
      <c r="I15" s="549"/>
      <c r="J15" s="549"/>
      <c r="K15" s="549"/>
      <c r="L15" s="549"/>
      <c r="M15" s="553"/>
      <c r="N15" s="553"/>
      <c r="O15" s="554"/>
      <c r="P15" s="543">
        <f>SUMIF('caseload data'!$C:$C,'divisional &amp; regional caseload'!B15,'caseload data'!V:V)</f>
        <v>0</v>
      </c>
      <c r="Q15" s="544"/>
      <c r="R15" s="545"/>
      <c r="S15" s="91"/>
      <c r="T15" s="288" t="str">
        <f>HLOOKUP($B$5,Region_Table,5,0)</f>
        <v>Inactive Level 2(N54)</v>
      </c>
      <c r="U15" s="548" t="s">
        <v>1039</v>
      </c>
      <c r="V15" s="549"/>
      <c r="W15" s="549"/>
      <c r="X15" s="549"/>
      <c r="Y15" s="549"/>
      <c r="Z15" s="549"/>
      <c r="AA15" s="549"/>
      <c r="AB15" s="549"/>
      <c r="AC15" s="549"/>
      <c r="AD15" s="549"/>
      <c r="AE15" s="549"/>
      <c r="AF15" s="549"/>
      <c r="AG15" s="550"/>
      <c r="AH15" s="543">
        <f>SUMIF('caseload data'!$C:$C,'divisional &amp; regional caseload'!T15,'caseload data'!V:V)</f>
        <v>0</v>
      </c>
      <c r="AI15" s="544"/>
      <c r="AJ15" s="545"/>
    </row>
    <row r="16" spans="1:41"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91"/>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94">
        <f>SUMIFS('caseload data'!E:E,'caseload data'!$D:$D,"PO",'caseload data'!$C:$C,'divisional &amp; regional caseload'!$B$15)</f>
        <v>0</v>
      </c>
      <c r="D17" s="94">
        <f>SUMIFS('caseload data'!F:F,'caseload data'!$D:$D,"PO",'caseload data'!$C:$C,'divisional &amp; regional caseload'!$B$15)</f>
        <v>0</v>
      </c>
      <c r="E17" s="94">
        <f>SUMIFS('caseload data'!G:G,'caseload data'!$D:$D,"PO",'caseload data'!$C:$C,'divisional &amp; regional caseload'!$B$15)</f>
        <v>0</v>
      </c>
      <c r="F17" s="94">
        <f>SUMIFS('caseload data'!H:H,'caseload data'!$D:$D,"PO",'caseload data'!$C:$C,'divisional &amp; regional caseload'!$B$15)</f>
        <v>0</v>
      </c>
      <c r="G17" s="94">
        <f>SUMIFS('caseload data'!I:I,'caseload data'!$D:$D,"PO",'caseload data'!$C:$C,'divisional &amp; regional caseload'!$B$15)</f>
        <v>0</v>
      </c>
      <c r="H17" s="94">
        <f>SUMIFS('caseload data'!J:J,'caseload data'!$D:$D,"PO",'caseload data'!$C:$C,'divisional &amp; regional caseload'!$B$15)</f>
        <v>0</v>
      </c>
      <c r="I17" s="94">
        <f>SUMIFS('caseload data'!K:K,'caseload data'!$D:$D,"PO",'caseload data'!$C:$C,'divisional &amp; regional caseload'!$B$15)</f>
        <v>0</v>
      </c>
      <c r="J17" s="94">
        <f>SUMIFS('caseload data'!L:L,'caseload data'!$D:$D,"PO",'caseload data'!$C:$C,'divisional &amp; regional caseload'!$B$15)</f>
        <v>0</v>
      </c>
      <c r="K17" s="94">
        <f>SUMIFS('caseload data'!M:M,'caseload data'!$D:$D,"PO",'caseload data'!$C:$C,'divisional &amp; regional caseload'!$B$15)</f>
        <v>0</v>
      </c>
      <c r="L17" s="94">
        <f>SUMIFS('caseload data'!N:N,'caseload data'!$D:$D,"PO",'caseload data'!$C:$C,'divisional &amp; regional caseload'!$B$15)</f>
        <v>0</v>
      </c>
      <c r="M17" s="94">
        <f>SUMIFS('caseload data'!O:O,'caseload data'!$D:$D,"PO",'caseload data'!$C:$C,'divisional &amp; regional caseload'!$B$15)</f>
        <v>0</v>
      </c>
      <c r="N17" s="94">
        <f>SUMIFS('caseload data'!P:P,'caseload data'!$D:$D,"PO",'caseload data'!$C:$C,'divisional &amp; regional caseload'!$B$15)</f>
        <v>0</v>
      </c>
      <c r="O17" s="94">
        <f>SUMIFS('caseload data'!Q:Q,'caseload data'!$D:$D,"PO",'caseload data'!$C:$C,'divisional &amp; regional caseload'!$B$15)</f>
        <v>0</v>
      </c>
      <c r="P17" s="94">
        <f>SUMIFS('caseload data'!R:R,'caseload data'!$D:$D,"PO",'caseload data'!$C:$C,'divisional &amp; regional caseload'!$B$15)</f>
        <v>0</v>
      </c>
      <c r="Q17" s="94">
        <f>SUMIFS('caseload data'!S:S,'caseload data'!$D:$D,"PO",'caseload data'!$C:$C,'divisional &amp; regional caseload'!$B$15)</f>
        <v>0</v>
      </c>
      <c r="R17" s="94">
        <f>SUMIFS('caseload data'!T:T,'caseload data'!$D:$D,"PO",'caseload data'!$C:$C,'divisional &amp; regional caseload'!$B$15)</f>
        <v>0</v>
      </c>
      <c r="S17" s="91"/>
      <c r="T17" s="96" t="s">
        <v>947</v>
      </c>
      <c r="U17" s="94">
        <f>SUMIFS('caseload data'!E:E,'caseload data'!$D:$D,"PO",'caseload data'!$C:$C,'divisional &amp; regional caseload'!$T$15)</f>
        <v>0</v>
      </c>
      <c r="V17" s="94">
        <f>SUMIFS('caseload data'!F:F,'caseload data'!$D:$D,"PO",'caseload data'!$C:$C,'divisional &amp; regional caseload'!$T$15)</f>
        <v>0</v>
      </c>
      <c r="W17" s="94">
        <f>SUMIFS('caseload data'!G:G,'caseload data'!$D:$D,"PO",'caseload data'!$C:$C,'divisional &amp; regional caseload'!$T$15)</f>
        <v>0</v>
      </c>
      <c r="X17" s="94">
        <f>SUMIFS('caseload data'!H:H,'caseload data'!$D:$D,"PO",'caseload data'!$C:$C,'divisional &amp; regional caseload'!$T$15)</f>
        <v>0</v>
      </c>
      <c r="Y17" s="94">
        <f>SUMIFS('caseload data'!I:I,'caseload data'!$D:$D,"PO",'caseload data'!$C:$C,'divisional &amp; regional caseload'!$T$15)</f>
        <v>0</v>
      </c>
      <c r="Z17" s="94">
        <f>SUMIFS('caseload data'!J:J,'caseload data'!$D:$D,"PO",'caseload data'!$C:$C,'divisional &amp; regional caseload'!$T$15)</f>
        <v>0</v>
      </c>
      <c r="AA17" s="94">
        <f>SUMIFS('caseload data'!K:K,'caseload data'!$D:$D,"PO",'caseload data'!$C:$C,'divisional &amp; regional caseload'!$T$15)</f>
        <v>0</v>
      </c>
      <c r="AB17" s="94">
        <f>SUMIFS('caseload data'!L:L,'caseload data'!$D:$D,"PO",'caseload data'!$C:$C,'divisional &amp; regional caseload'!$T$15)</f>
        <v>0</v>
      </c>
      <c r="AC17" s="94">
        <f>SUMIFS('caseload data'!M:M,'caseload data'!$D:$D,"PO",'caseload data'!$C:$C,'divisional &amp; regional caseload'!$T$15)</f>
        <v>0</v>
      </c>
      <c r="AD17" s="94">
        <f>SUMIFS('caseload data'!N:N,'caseload data'!$D:$D,"PO",'caseload data'!$C:$C,'divisional &amp; regional caseload'!$T$15)</f>
        <v>0</v>
      </c>
      <c r="AE17" s="94">
        <f>SUMIFS('caseload data'!O:O,'caseload data'!$D:$D,"PO",'caseload data'!$C:$C,'divisional &amp; regional caseload'!$T$15)</f>
        <v>0</v>
      </c>
      <c r="AF17" s="94">
        <f>SUMIFS('caseload data'!P:P,'caseload data'!$D:$D,"PO",'caseload data'!$C:$C,'divisional &amp; regional caseload'!$T$15)</f>
        <v>0</v>
      </c>
      <c r="AG17" s="94">
        <f>SUMIFS('caseload data'!Q:Q,'caseload data'!$D:$D,"PO",'caseload data'!$C:$C,'divisional &amp; regional caseload'!$T$15)</f>
        <v>0</v>
      </c>
      <c r="AH17" s="94">
        <f>SUMIFS('caseload data'!R:R,'caseload data'!$D:$D,"PO",'caseload data'!$C:$C,'divisional &amp; regional caseload'!$T$15)</f>
        <v>0</v>
      </c>
      <c r="AI17" s="94">
        <f>SUMIFS('caseload data'!S:S,'caseload data'!$D:$D,"PO",'caseload data'!$C:$C,'divisional &amp; regional caseload'!$T$15)</f>
        <v>0</v>
      </c>
      <c r="AJ17" s="94">
        <f>SUMIFS('caseload data'!T:T,'caseload data'!$D:$D,"PO",'caseload data'!$C:$C,'divisional &amp; regional caseload'!$T$15)</f>
        <v>0</v>
      </c>
    </row>
    <row r="18" spans="2:36" x14ac:dyDescent="0.15">
      <c r="B18" s="97" t="s">
        <v>952</v>
      </c>
      <c r="C18" s="94">
        <f>SUMIFS('caseload data'!E:E,'caseload data'!$D:$D,"PSO",'caseload data'!$C:$C,'divisional &amp; regional caseload'!$B$15)</f>
        <v>0</v>
      </c>
      <c r="D18" s="94">
        <f>SUMIFS('caseload data'!F:F,'caseload data'!$D:$D,"PSO",'caseload data'!$C:$C,'divisional &amp; regional caseload'!$B$15)</f>
        <v>0</v>
      </c>
      <c r="E18" s="94">
        <f>SUMIFS('caseload data'!G:G,'caseload data'!$D:$D,"PSO",'caseload data'!$C:$C,'divisional &amp; regional caseload'!$B$15)</f>
        <v>0</v>
      </c>
      <c r="F18" s="94">
        <f>SUMIFS('caseload data'!H:H,'caseload data'!$D:$D,"PSO",'caseload data'!$C:$C,'divisional &amp; regional caseload'!$B$15)</f>
        <v>0</v>
      </c>
      <c r="G18" s="94">
        <f>SUMIFS('caseload data'!I:I,'caseload data'!$D:$D,"PSO",'caseload data'!$C:$C,'divisional &amp; regional caseload'!$B$15)</f>
        <v>0</v>
      </c>
      <c r="H18" s="94">
        <f>SUMIFS('caseload data'!J:J,'caseload data'!$D:$D,"PSO",'caseload data'!$C:$C,'divisional &amp; regional caseload'!$B$15)</f>
        <v>0</v>
      </c>
      <c r="I18" s="94">
        <f>SUMIFS('caseload data'!K:K,'caseload data'!$D:$D,"PSO",'caseload data'!$C:$C,'divisional &amp; regional caseload'!$B$15)</f>
        <v>0</v>
      </c>
      <c r="J18" s="94">
        <f>SUMIFS('caseload data'!L:L,'caseload data'!$D:$D,"PSO",'caseload data'!$C:$C,'divisional &amp; regional caseload'!$B$15)</f>
        <v>0</v>
      </c>
      <c r="K18" s="94">
        <f>SUMIFS('caseload data'!M:M,'caseload data'!$D:$D,"PSO",'caseload data'!$C:$C,'divisional &amp; regional caseload'!$B$15)</f>
        <v>0</v>
      </c>
      <c r="L18" s="94">
        <f>SUMIFS('caseload data'!N:N,'caseload data'!$D:$D,"PSO",'caseload data'!$C:$C,'divisional &amp; regional caseload'!$B$15)</f>
        <v>0</v>
      </c>
      <c r="M18" s="94">
        <f>SUMIFS('caseload data'!O:O,'caseload data'!$D:$D,"PSO",'caseload data'!$C:$C,'divisional &amp; regional caseload'!$B$15)</f>
        <v>0</v>
      </c>
      <c r="N18" s="94">
        <f>SUMIFS('caseload data'!P:P,'caseload data'!$D:$D,"PSO",'caseload data'!$C:$C,'divisional &amp; regional caseload'!$B$15)</f>
        <v>0</v>
      </c>
      <c r="O18" s="94">
        <f>SUMIFS('caseload data'!Q:Q,'caseload data'!$D:$D,"PSO",'caseload data'!$C:$C,'divisional &amp; regional caseload'!$B$15)</f>
        <v>0</v>
      </c>
      <c r="P18" s="94">
        <f>SUMIFS('caseload data'!R:R,'caseload data'!$D:$D,"PSO",'caseload data'!$C:$C,'divisional &amp; regional caseload'!$B$15)</f>
        <v>0</v>
      </c>
      <c r="Q18" s="94">
        <f>SUMIFS('caseload data'!S:S,'caseload data'!$D:$D,"PSO",'caseload data'!$C:$C,'divisional &amp; regional caseload'!$B$15)</f>
        <v>0</v>
      </c>
      <c r="R18" s="94">
        <f>SUMIFS('caseload data'!T:T,'caseload data'!$D:$D,"PSO",'caseload data'!$C:$C,'divisional &amp; regional caseload'!$B$15)</f>
        <v>0</v>
      </c>
      <c r="S18" s="91"/>
      <c r="T18" s="97" t="s">
        <v>952</v>
      </c>
      <c r="U18" s="94">
        <f>SUMIFS('caseload data'!E:E,'caseload data'!$D:$D,"PSO",'caseload data'!$C:$C,'divisional &amp; regional caseload'!$T$15)</f>
        <v>0</v>
      </c>
      <c r="V18" s="94">
        <f>SUMIFS('caseload data'!F:F,'caseload data'!$D:$D,"PSO",'caseload data'!$C:$C,'divisional &amp; regional caseload'!$T$15)</f>
        <v>0</v>
      </c>
      <c r="W18" s="94">
        <f>SUMIFS('caseload data'!G:G,'caseload data'!$D:$D,"PSO",'caseload data'!$C:$C,'divisional &amp; regional caseload'!$T$15)</f>
        <v>0</v>
      </c>
      <c r="X18" s="94">
        <f>SUMIFS('caseload data'!H:H,'caseload data'!$D:$D,"PSO",'caseload data'!$C:$C,'divisional &amp; regional caseload'!$T$15)</f>
        <v>0</v>
      </c>
      <c r="Y18" s="94">
        <f>SUMIFS('caseload data'!I:I,'caseload data'!$D:$D,"PSO",'caseload data'!$C:$C,'divisional &amp; regional caseload'!$T$15)</f>
        <v>0</v>
      </c>
      <c r="Z18" s="94">
        <f>SUMIFS('caseload data'!J:J,'caseload data'!$D:$D,"PSO",'caseload data'!$C:$C,'divisional &amp; regional caseload'!$T$15)</f>
        <v>0</v>
      </c>
      <c r="AA18" s="94">
        <f>SUMIFS('caseload data'!K:K,'caseload data'!$D:$D,"PSO",'caseload data'!$C:$C,'divisional &amp; regional caseload'!$T$15)</f>
        <v>0</v>
      </c>
      <c r="AB18" s="94">
        <f>SUMIFS('caseload data'!L:L,'caseload data'!$D:$D,"PSO",'caseload data'!$C:$C,'divisional &amp; regional caseload'!$T$15)</f>
        <v>0</v>
      </c>
      <c r="AC18" s="94">
        <f>SUMIFS('caseload data'!M:M,'caseload data'!$D:$D,"PSO",'caseload data'!$C:$C,'divisional &amp; regional caseload'!$T$15)</f>
        <v>0</v>
      </c>
      <c r="AD18" s="94">
        <f>SUMIFS('caseload data'!N:N,'caseload data'!$D:$D,"PSO",'caseload data'!$C:$C,'divisional &amp; regional caseload'!$T$15)</f>
        <v>0</v>
      </c>
      <c r="AE18" s="94">
        <f>SUMIFS('caseload data'!O:O,'caseload data'!$D:$D,"PSO",'caseload data'!$C:$C,'divisional &amp; regional caseload'!$T$15)</f>
        <v>0</v>
      </c>
      <c r="AF18" s="94">
        <f>SUMIFS('caseload data'!P:P,'caseload data'!$D:$D,"PSO",'caseload data'!$C:$C,'divisional &amp; regional caseload'!$T$15)</f>
        <v>0</v>
      </c>
      <c r="AG18" s="94">
        <f>SUMIFS('caseload data'!Q:Q,'caseload data'!$D:$D,"PSO",'caseload data'!$C:$C,'divisional &amp; regional caseload'!$T$15)</f>
        <v>0</v>
      </c>
      <c r="AH18" s="94">
        <f>SUMIFS('caseload data'!R:R,'caseload data'!$D:$D,"PSO",'caseload data'!$C:$C,'divisional &amp; regional caseload'!$T$15)</f>
        <v>0</v>
      </c>
      <c r="AI18" s="94">
        <f>SUMIFS('caseload data'!S:S,'caseload data'!$D:$D,"PSO",'caseload data'!$C:$C,'divisional &amp; regional caseload'!$T$15)</f>
        <v>0</v>
      </c>
      <c r="AJ18" s="94">
        <f>SUMIFS('caseload data'!T:T,'caseload data'!$D:$D,"PSO",'caseload data'!$C:$C,'divisional &amp; regional caseload'!$T$15)</f>
        <v>0</v>
      </c>
    </row>
    <row r="19" spans="2:36" x14ac:dyDescent="0.15">
      <c r="B19" s="97" t="s">
        <v>953</v>
      </c>
      <c r="C19" s="94">
        <f>SUMIFS('caseload data'!E:E,'caseload data'!$D:$D,"TPO",'caseload data'!$C:$C,'divisional &amp; regional caseload'!$B$15)</f>
        <v>0</v>
      </c>
      <c r="D19" s="94">
        <f>SUMIFS('caseload data'!F:F,'caseload data'!$D:$D,"TPO",'caseload data'!$C:$C,'divisional &amp; regional caseload'!$B$15)</f>
        <v>0</v>
      </c>
      <c r="E19" s="94">
        <f>SUMIFS('caseload data'!G:G,'caseload data'!$D:$D,"TPO",'caseload data'!$C:$C,'divisional &amp; regional caseload'!$B$15)</f>
        <v>0</v>
      </c>
      <c r="F19" s="94">
        <f>SUMIFS('caseload data'!H:H,'caseload data'!$D:$D,"TPO",'caseload data'!$C:$C,'divisional &amp; regional caseload'!$B$15)</f>
        <v>0</v>
      </c>
      <c r="G19" s="94">
        <f>SUMIFS('caseload data'!I:I,'caseload data'!$D:$D,"TPO",'caseload data'!$C:$C,'divisional &amp; regional caseload'!$B$15)</f>
        <v>0</v>
      </c>
      <c r="H19" s="94">
        <f>SUMIFS('caseload data'!J:J,'caseload data'!$D:$D,"TPO",'caseload data'!$C:$C,'divisional &amp; regional caseload'!$B$15)</f>
        <v>0</v>
      </c>
      <c r="I19" s="94">
        <f>SUMIFS('caseload data'!K:K,'caseload data'!$D:$D,"TPO",'caseload data'!$C:$C,'divisional &amp; regional caseload'!$B$15)</f>
        <v>0</v>
      </c>
      <c r="J19" s="94">
        <f>SUMIFS('caseload data'!L:L,'caseload data'!$D:$D,"TPO",'caseload data'!$C:$C,'divisional &amp; regional caseload'!$B$15)</f>
        <v>0</v>
      </c>
      <c r="K19" s="94">
        <f>SUMIFS('caseload data'!M:M,'caseload data'!$D:$D,"TPO",'caseload data'!$C:$C,'divisional &amp; regional caseload'!$B$15)</f>
        <v>0</v>
      </c>
      <c r="L19" s="94">
        <f>SUMIFS('caseload data'!N:N,'caseload data'!$D:$D,"TPO",'caseload data'!$C:$C,'divisional &amp; regional caseload'!$B$15)</f>
        <v>0</v>
      </c>
      <c r="M19" s="94">
        <f>SUMIFS('caseload data'!O:O,'caseload data'!$D:$D,"TPO",'caseload data'!$C:$C,'divisional &amp; regional caseload'!$B$15)</f>
        <v>0</v>
      </c>
      <c r="N19" s="94">
        <f>SUMIFS('caseload data'!P:P,'caseload data'!$D:$D,"TPO",'caseload data'!$C:$C,'divisional &amp; regional caseload'!$B$15)</f>
        <v>0</v>
      </c>
      <c r="O19" s="94">
        <f>SUMIFS('caseload data'!Q:Q,'caseload data'!$D:$D,"TPO",'caseload data'!$C:$C,'divisional &amp; regional caseload'!$B$15)</f>
        <v>0</v>
      </c>
      <c r="P19" s="94">
        <f>SUMIFS('caseload data'!R:R,'caseload data'!$D:$D,"TPO",'caseload data'!$C:$C,'divisional &amp; regional caseload'!$B$15)</f>
        <v>0</v>
      </c>
      <c r="Q19" s="94">
        <f>SUMIFS('caseload data'!S:S,'caseload data'!$D:$D,"TPO",'caseload data'!$C:$C,'divisional &amp; regional caseload'!$B$15)</f>
        <v>0</v>
      </c>
      <c r="R19" s="94">
        <f>SUMIFS('caseload data'!T:T,'caseload data'!$D:$D,"TPO",'caseload data'!$C:$C,'divisional &amp; regional caseload'!$B$15)</f>
        <v>0</v>
      </c>
      <c r="S19" s="91"/>
      <c r="T19" s="97" t="s">
        <v>953</v>
      </c>
      <c r="U19" s="94">
        <f>SUMIFS('caseload data'!E:E,'caseload data'!$D:$D,"TPO",'caseload data'!$C:$C,'divisional &amp; regional caseload'!$T$15)</f>
        <v>0</v>
      </c>
      <c r="V19" s="94">
        <f>SUMIFS('caseload data'!F:F,'caseload data'!$D:$D,"TPO",'caseload data'!$C:$C,'divisional &amp; regional caseload'!$T$15)</f>
        <v>0</v>
      </c>
      <c r="W19" s="94">
        <f>SUMIFS('caseload data'!G:G,'caseload data'!$D:$D,"TPO",'caseload data'!$C:$C,'divisional &amp; regional caseload'!$T$15)</f>
        <v>0</v>
      </c>
      <c r="X19" s="94">
        <f>SUMIFS('caseload data'!H:H,'caseload data'!$D:$D,"TPO",'caseload data'!$C:$C,'divisional &amp; regional caseload'!$T$15)</f>
        <v>0</v>
      </c>
      <c r="Y19" s="94">
        <f>SUMIFS('caseload data'!I:I,'caseload data'!$D:$D,"TPO",'caseload data'!$C:$C,'divisional &amp; regional caseload'!$T$15)</f>
        <v>0</v>
      </c>
      <c r="Z19" s="94">
        <f>SUMIFS('caseload data'!J:J,'caseload data'!$D:$D,"TPO",'caseload data'!$C:$C,'divisional &amp; regional caseload'!$T$15)</f>
        <v>0</v>
      </c>
      <c r="AA19" s="94">
        <f>SUMIFS('caseload data'!K:K,'caseload data'!$D:$D,"TPO",'caseload data'!$C:$C,'divisional &amp; regional caseload'!$T$15)</f>
        <v>0</v>
      </c>
      <c r="AB19" s="94">
        <f>SUMIFS('caseload data'!L:L,'caseload data'!$D:$D,"TPO",'caseload data'!$C:$C,'divisional &amp; regional caseload'!$T$15)</f>
        <v>0</v>
      </c>
      <c r="AC19" s="94">
        <f>SUMIFS('caseload data'!M:M,'caseload data'!$D:$D,"TPO",'caseload data'!$C:$C,'divisional &amp; regional caseload'!$T$15)</f>
        <v>0</v>
      </c>
      <c r="AD19" s="94">
        <f>SUMIFS('caseload data'!N:N,'caseload data'!$D:$D,"TPO",'caseload data'!$C:$C,'divisional &amp; regional caseload'!$T$15)</f>
        <v>0</v>
      </c>
      <c r="AE19" s="94">
        <f>SUMIFS('caseload data'!O:O,'caseload data'!$D:$D,"TPO",'caseload data'!$C:$C,'divisional &amp; regional caseload'!$T$15)</f>
        <v>0</v>
      </c>
      <c r="AF19" s="94">
        <f>SUMIFS('caseload data'!P:P,'caseload data'!$D:$D,"TPO",'caseload data'!$C:$C,'divisional &amp; regional caseload'!$T$15)</f>
        <v>0</v>
      </c>
      <c r="AG19" s="94">
        <f>SUMIFS('caseload data'!Q:Q,'caseload data'!$D:$D,"TPO",'caseload data'!$C:$C,'divisional &amp; regional caseload'!$T$15)</f>
        <v>0</v>
      </c>
      <c r="AH19" s="94">
        <f>SUMIFS('caseload data'!R:R,'caseload data'!$D:$D,"TPO",'caseload data'!$C:$C,'divisional &amp; regional caseload'!$T$15)</f>
        <v>0</v>
      </c>
      <c r="AI19" s="94">
        <f>SUMIFS('caseload data'!S:S,'caseload data'!$D:$D,"TPO",'caseload data'!$C:$C,'divisional &amp; regional caseload'!$T$15)</f>
        <v>0</v>
      </c>
      <c r="AJ19" s="94">
        <f>SUMIFS('caseload data'!T:T,'caseload data'!$D:$D,"TPO",'caseload data'!$C:$C,'divisional &amp; regional caseload'!$T$15)</f>
        <v>0</v>
      </c>
    </row>
    <row r="20" spans="2:36" x14ac:dyDescent="0.15">
      <c r="B20" s="98" t="s">
        <v>954</v>
      </c>
      <c r="C20" s="94">
        <f>SUMIFS('caseload data'!E:E,'caseload data'!$D:$D,"SPO",'caseload data'!$C:$C,'divisional &amp; regional caseload'!$B$15)</f>
        <v>0</v>
      </c>
      <c r="D20" s="94">
        <f>SUMIFS('caseload data'!F:F,'caseload data'!$D:$D,"SPO",'caseload data'!$C:$C,'divisional &amp; regional caseload'!$B$15)</f>
        <v>0</v>
      </c>
      <c r="E20" s="94">
        <f>SUMIFS('caseload data'!G:G,'caseload data'!$D:$D,"SPO",'caseload data'!$C:$C,'divisional &amp; regional caseload'!$B$15)</f>
        <v>0</v>
      </c>
      <c r="F20" s="94">
        <f>SUMIFS('caseload data'!H:H,'caseload data'!$D:$D,"SPO",'caseload data'!$C:$C,'divisional &amp; regional caseload'!$B$15)</f>
        <v>0</v>
      </c>
      <c r="G20" s="94">
        <f>SUMIFS('caseload data'!I:I,'caseload data'!$D:$D,"SPO",'caseload data'!$C:$C,'divisional &amp; regional caseload'!$B$15)</f>
        <v>0</v>
      </c>
      <c r="H20" s="94">
        <f>SUMIFS('caseload data'!J:J,'caseload data'!$D:$D,"SPO",'caseload data'!$C:$C,'divisional &amp; regional caseload'!$B$15)</f>
        <v>0</v>
      </c>
      <c r="I20" s="94">
        <f>SUMIFS('caseload data'!K:K,'caseload data'!$D:$D,"SPO",'caseload data'!$C:$C,'divisional &amp; regional caseload'!$B$15)</f>
        <v>0</v>
      </c>
      <c r="J20" s="94">
        <f>SUMIFS('caseload data'!L:L,'caseload data'!$D:$D,"SPO",'caseload data'!$C:$C,'divisional &amp; regional caseload'!$B$15)</f>
        <v>0</v>
      </c>
      <c r="K20" s="94">
        <f>SUMIFS('caseload data'!M:M,'caseload data'!$D:$D,"SPO",'caseload data'!$C:$C,'divisional &amp; regional caseload'!$B$15)</f>
        <v>0</v>
      </c>
      <c r="L20" s="94">
        <f>SUMIFS('caseload data'!N:N,'caseload data'!$D:$D,"SPO",'caseload data'!$C:$C,'divisional &amp; regional caseload'!$B$15)</f>
        <v>0</v>
      </c>
      <c r="M20" s="94">
        <f>SUMIFS('caseload data'!O:O,'caseload data'!$D:$D,"SPO",'caseload data'!$C:$C,'divisional &amp; regional caseload'!$B$15)</f>
        <v>0</v>
      </c>
      <c r="N20" s="94">
        <f>SUMIFS('caseload data'!P:P,'caseload data'!$D:$D,"SPO",'caseload data'!$C:$C,'divisional &amp; regional caseload'!$B$15)</f>
        <v>0</v>
      </c>
      <c r="O20" s="94">
        <f>SUMIFS('caseload data'!Q:Q,'caseload data'!$D:$D,"SPO",'caseload data'!$C:$C,'divisional &amp; regional caseload'!$B$15)</f>
        <v>0</v>
      </c>
      <c r="P20" s="94">
        <f>SUMIFS('caseload data'!R:R,'caseload data'!$D:$D,"SPO",'caseload data'!$C:$C,'divisional &amp; regional caseload'!$B$15)</f>
        <v>0</v>
      </c>
      <c r="Q20" s="94">
        <f>SUMIFS('caseload data'!S:S,'caseload data'!$D:$D,"SPO",'caseload data'!$C:$C,'divisional &amp; regional caseload'!$B$15)</f>
        <v>0</v>
      </c>
      <c r="R20" s="94">
        <f>SUMIFS('caseload data'!T:T,'caseload data'!$D:$D,"SPO",'caseload data'!$C:$C,'divisional &amp; regional caseload'!$B$15)</f>
        <v>0</v>
      </c>
      <c r="S20" s="91"/>
      <c r="T20" s="98" t="s">
        <v>954</v>
      </c>
      <c r="U20" s="94">
        <f>SUMIFS('caseload data'!E:E,'caseload data'!$D:$D,"SPO",'caseload data'!$C:$C,'divisional &amp; regional caseload'!$T$15)</f>
        <v>0</v>
      </c>
      <c r="V20" s="94">
        <f>SUMIFS('caseload data'!F:F,'caseload data'!$D:$D,"SPO",'caseload data'!$C:$C,'divisional &amp; regional caseload'!$T$15)</f>
        <v>0</v>
      </c>
      <c r="W20" s="94">
        <f>SUMIFS('caseload data'!G:G,'caseload data'!$D:$D,"SPO",'caseload data'!$C:$C,'divisional &amp; regional caseload'!$T$15)</f>
        <v>0</v>
      </c>
      <c r="X20" s="94">
        <f>SUMIFS('caseload data'!H:H,'caseload data'!$D:$D,"SPO",'caseload data'!$C:$C,'divisional &amp; regional caseload'!$T$15)</f>
        <v>0</v>
      </c>
      <c r="Y20" s="94">
        <f>SUMIFS('caseload data'!I:I,'caseload data'!$D:$D,"SPO",'caseload data'!$C:$C,'divisional &amp; regional caseload'!$T$15)</f>
        <v>0</v>
      </c>
      <c r="Z20" s="94">
        <f>SUMIFS('caseload data'!J:J,'caseload data'!$D:$D,"SPO",'caseload data'!$C:$C,'divisional &amp; regional caseload'!$T$15)</f>
        <v>0</v>
      </c>
      <c r="AA20" s="94">
        <f>SUMIFS('caseload data'!K:K,'caseload data'!$D:$D,"SPO",'caseload data'!$C:$C,'divisional &amp; regional caseload'!$T$15)</f>
        <v>0</v>
      </c>
      <c r="AB20" s="94">
        <f>SUMIFS('caseload data'!L:L,'caseload data'!$D:$D,"SPO",'caseload data'!$C:$C,'divisional &amp; regional caseload'!$T$15)</f>
        <v>0</v>
      </c>
      <c r="AC20" s="94">
        <f>SUMIFS('caseload data'!M:M,'caseload data'!$D:$D,"SPO",'caseload data'!$C:$C,'divisional &amp; regional caseload'!$T$15)</f>
        <v>0</v>
      </c>
      <c r="AD20" s="94">
        <f>SUMIFS('caseload data'!N:N,'caseload data'!$D:$D,"SPO",'caseload data'!$C:$C,'divisional &amp; regional caseload'!$T$15)</f>
        <v>0</v>
      </c>
      <c r="AE20" s="94">
        <f>SUMIFS('caseload data'!O:O,'caseload data'!$D:$D,"SPO",'caseload data'!$C:$C,'divisional &amp; regional caseload'!$T$15)</f>
        <v>0</v>
      </c>
      <c r="AF20" s="94">
        <f>SUMIFS('caseload data'!P:P,'caseload data'!$D:$D,"SPO",'caseload data'!$C:$C,'divisional &amp; regional caseload'!$T$15)</f>
        <v>0</v>
      </c>
      <c r="AG20" s="94">
        <f>SUMIFS('caseload data'!Q:Q,'caseload data'!$D:$D,"SPO",'caseload data'!$C:$C,'divisional &amp; regional caseload'!$T$15)</f>
        <v>0</v>
      </c>
      <c r="AH20" s="94">
        <f>SUMIFS('caseload data'!R:R,'caseload data'!$D:$D,"SPO",'caseload data'!$C:$C,'divisional &amp; regional caseload'!$T$15)</f>
        <v>0</v>
      </c>
      <c r="AI20" s="94">
        <f>SUMIFS('caseload data'!S:S,'caseload data'!$D:$D,"SPO",'caseload data'!$C:$C,'divisional &amp; regional caseload'!$T$15)</f>
        <v>0</v>
      </c>
      <c r="AJ20" s="94">
        <f>SUMIFS('caseload data'!T:T,'caseload data'!$D:$D,"SPO",'caseload data'!$C:$C,'divisional &amp; regional caseload'!$T$15)</f>
        <v>0</v>
      </c>
    </row>
    <row r="21" spans="2:36" x14ac:dyDescent="0.15">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row>
    <row r="22" spans="2:36" ht="30.75" customHeight="1" x14ac:dyDescent="0.15">
      <c r="B22" s="288" t="str">
        <f>HLOOKUP($B$5,Region_Table,6,0)</f>
        <v>Newcastle Upon Tyne - N54</v>
      </c>
      <c r="C22" s="548" t="s">
        <v>1039</v>
      </c>
      <c r="D22" s="549"/>
      <c r="E22" s="549"/>
      <c r="F22" s="549"/>
      <c r="G22" s="549"/>
      <c r="H22" s="549"/>
      <c r="I22" s="549"/>
      <c r="J22" s="549"/>
      <c r="K22" s="549"/>
      <c r="L22" s="549"/>
      <c r="M22" s="553"/>
      <c r="N22" s="553"/>
      <c r="O22" s="554"/>
      <c r="P22" s="543">
        <f>SUMIF('caseload data'!$C:$C,'divisional &amp; regional caseload'!B22,'caseload data'!V:V)</f>
        <v>0</v>
      </c>
      <c r="Q22" s="544"/>
      <c r="R22" s="545"/>
      <c r="S22" s="91"/>
      <c r="T22" s="288" t="str">
        <f>HLOOKUP($B$5,Region_Table,7,0)</f>
        <v>North Tyneside and Northumberland</v>
      </c>
      <c r="U22" s="548" t="s">
        <v>1039</v>
      </c>
      <c r="V22" s="549"/>
      <c r="W22" s="549"/>
      <c r="X22" s="549"/>
      <c r="Y22" s="549"/>
      <c r="Z22" s="549"/>
      <c r="AA22" s="549"/>
      <c r="AB22" s="549"/>
      <c r="AC22" s="549"/>
      <c r="AD22" s="549"/>
      <c r="AE22" s="549"/>
      <c r="AF22" s="549"/>
      <c r="AG22" s="550"/>
      <c r="AH22" s="543">
        <f>SUMIF('caseload data'!$C:$C,'divisional &amp; regional caseload'!T22,'caseload data'!V:V)</f>
        <v>0</v>
      </c>
      <c r="AI22" s="544"/>
      <c r="AJ22" s="545"/>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91"/>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94">
        <f>SUMIFS('caseload data'!E:E,'caseload data'!$D:$D,"PO",'caseload data'!$C:$C,'divisional &amp; regional caseload'!$B$22)</f>
        <v>0</v>
      </c>
      <c r="D24" s="94">
        <f>SUMIFS('caseload data'!F:F,'caseload data'!$D:$D,"PO",'caseload data'!$C:$C,'divisional &amp; regional caseload'!$B$22)</f>
        <v>0</v>
      </c>
      <c r="E24" s="94">
        <f>SUMIFS('caseload data'!G:G,'caseload data'!$D:$D,"PO",'caseload data'!$C:$C,'divisional &amp; regional caseload'!$B$22)</f>
        <v>0</v>
      </c>
      <c r="F24" s="94">
        <f>SUMIFS('caseload data'!H:H,'caseload data'!$D:$D,"PO",'caseload data'!$C:$C,'divisional &amp; regional caseload'!$B$22)</f>
        <v>0</v>
      </c>
      <c r="G24" s="94">
        <f>SUMIFS('caseload data'!I:I,'caseload data'!$D:$D,"PO",'caseload data'!$C:$C,'divisional &amp; regional caseload'!$B$22)</f>
        <v>0</v>
      </c>
      <c r="H24" s="94">
        <f>SUMIFS('caseload data'!J:J,'caseload data'!$D:$D,"PO",'caseload data'!$C:$C,'divisional &amp; regional caseload'!$B$22)</f>
        <v>0</v>
      </c>
      <c r="I24" s="94">
        <f>SUMIFS('caseload data'!K:K,'caseload data'!$D:$D,"PO",'caseload data'!$C:$C,'divisional &amp; regional caseload'!$B$22)</f>
        <v>0</v>
      </c>
      <c r="J24" s="94">
        <f>SUMIFS('caseload data'!L:L,'caseload data'!$D:$D,"PO",'caseload data'!$C:$C,'divisional &amp; regional caseload'!$B$22)</f>
        <v>0</v>
      </c>
      <c r="K24" s="94">
        <f>SUMIFS('caseload data'!M:M,'caseload data'!$D:$D,"PO",'caseload data'!$C:$C,'divisional &amp; regional caseload'!$B$22)</f>
        <v>0</v>
      </c>
      <c r="L24" s="94">
        <f>SUMIFS('caseload data'!N:N,'caseload data'!$D:$D,"PO",'caseload data'!$C:$C,'divisional &amp; regional caseload'!$B$22)</f>
        <v>0</v>
      </c>
      <c r="M24" s="94">
        <f>SUMIFS('caseload data'!O:O,'caseload data'!$D:$D,"PO",'caseload data'!$C:$C,'divisional &amp; regional caseload'!$B$22)</f>
        <v>0</v>
      </c>
      <c r="N24" s="94">
        <f>SUMIFS('caseload data'!P:P,'caseload data'!$D:$D,"PO",'caseload data'!$C:$C,'divisional &amp; regional caseload'!$B$22)</f>
        <v>0</v>
      </c>
      <c r="O24" s="94">
        <f>SUMIFS('caseload data'!Q:Q,'caseload data'!$D:$D,"PO",'caseload data'!$C:$C,'divisional &amp; regional caseload'!$B$22)</f>
        <v>0</v>
      </c>
      <c r="P24" s="94">
        <f>SUMIFS('caseload data'!R:R,'caseload data'!$D:$D,"PO",'caseload data'!$C:$C,'divisional &amp; regional caseload'!$B$22)</f>
        <v>0</v>
      </c>
      <c r="Q24" s="94">
        <f>SUMIFS('caseload data'!S:S,'caseload data'!$D:$D,"PO",'caseload data'!$C:$C,'divisional &amp; regional caseload'!$B$22)</f>
        <v>0</v>
      </c>
      <c r="R24" s="94">
        <f>SUMIFS('caseload data'!T:T,'caseload data'!$D:$D,"PO",'caseload data'!$C:$C,'divisional &amp; regional caseload'!$B$22)</f>
        <v>0</v>
      </c>
      <c r="S24" s="91"/>
      <c r="T24" s="96" t="s">
        <v>947</v>
      </c>
      <c r="U24" s="94">
        <f>SUMIFS('caseload data'!E:E,'caseload data'!$D:$D,"PO",'caseload data'!$C:$C,'divisional &amp; regional caseload'!$T$22)</f>
        <v>0</v>
      </c>
      <c r="V24" s="94">
        <f>SUMIFS('caseload data'!F:F,'caseload data'!$D:$D,"PO",'caseload data'!$C:$C,'divisional &amp; regional caseload'!$T$22)</f>
        <v>0</v>
      </c>
      <c r="W24" s="94">
        <f>SUMIFS('caseload data'!G:G,'caseload data'!$D:$D,"PO",'caseload data'!$C:$C,'divisional &amp; regional caseload'!$T$22)</f>
        <v>0</v>
      </c>
      <c r="X24" s="94">
        <f>SUMIFS('caseload data'!H:H,'caseload data'!$D:$D,"PO",'caseload data'!$C:$C,'divisional &amp; regional caseload'!$T$22)</f>
        <v>0</v>
      </c>
      <c r="Y24" s="94">
        <f>SUMIFS('caseload data'!I:I,'caseload data'!$D:$D,"PO",'caseload data'!$C:$C,'divisional &amp; regional caseload'!$T$22)</f>
        <v>0</v>
      </c>
      <c r="Z24" s="94">
        <f>SUMIFS('caseload data'!J:J,'caseload data'!$D:$D,"PO",'caseload data'!$C:$C,'divisional &amp; regional caseload'!$T$22)</f>
        <v>0</v>
      </c>
      <c r="AA24" s="94">
        <f>SUMIFS('caseload data'!K:K,'caseload data'!$D:$D,"PO",'caseload data'!$C:$C,'divisional &amp; regional caseload'!$T$22)</f>
        <v>0</v>
      </c>
      <c r="AB24" s="94">
        <f>SUMIFS('caseload data'!L:L,'caseload data'!$D:$D,"PO",'caseload data'!$C:$C,'divisional &amp; regional caseload'!$T$22)</f>
        <v>0</v>
      </c>
      <c r="AC24" s="94">
        <f>SUMIFS('caseload data'!M:M,'caseload data'!$D:$D,"PO",'caseload data'!$C:$C,'divisional &amp; regional caseload'!$T$22)</f>
        <v>0</v>
      </c>
      <c r="AD24" s="94">
        <f>SUMIFS('caseload data'!N:N,'caseload data'!$D:$D,"PO",'caseload data'!$C:$C,'divisional &amp; regional caseload'!$T$22)</f>
        <v>0</v>
      </c>
      <c r="AE24" s="94">
        <f>SUMIFS('caseload data'!O:O,'caseload data'!$D:$D,"PO",'caseload data'!$C:$C,'divisional &amp; regional caseload'!$T$22)</f>
        <v>0</v>
      </c>
      <c r="AF24" s="94">
        <f>SUMIFS('caseload data'!P:P,'caseload data'!$D:$D,"PO",'caseload data'!$C:$C,'divisional &amp; regional caseload'!$T$22)</f>
        <v>0</v>
      </c>
      <c r="AG24" s="94">
        <f>SUMIFS('caseload data'!Q:Q,'caseload data'!$D:$D,"PO",'caseload data'!$C:$C,'divisional &amp; regional caseload'!$T$22)</f>
        <v>0</v>
      </c>
      <c r="AH24" s="94">
        <f>SUMIFS('caseload data'!R:R,'caseload data'!$D:$D,"PO",'caseload data'!$C:$C,'divisional &amp; regional caseload'!$T$22)</f>
        <v>0</v>
      </c>
      <c r="AI24" s="94">
        <f>SUMIFS('caseload data'!S:S,'caseload data'!$D:$D,"PO",'caseload data'!$C:$C,'divisional &amp; regional caseload'!$T$22)</f>
        <v>0</v>
      </c>
      <c r="AJ24" s="94">
        <f>SUMIFS('caseload data'!T:T,'caseload data'!$D:$D,"PO",'caseload data'!$C:$C,'divisional &amp; regional caseload'!$T$22)</f>
        <v>0</v>
      </c>
    </row>
    <row r="25" spans="2:36" x14ac:dyDescent="0.15">
      <c r="B25" s="97" t="s">
        <v>952</v>
      </c>
      <c r="C25" s="94">
        <f>SUMIFS('caseload data'!E:E,'caseload data'!$D:$D,"PSO",'caseload data'!$C:$C,'divisional &amp; regional caseload'!$B$22)</f>
        <v>0</v>
      </c>
      <c r="D25" s="94">
        <f>SUMIFS('caseload data'!F:F,'caseload data'!$D:$D,"PSO",'caseload data'!$C:$C,'divisional &amp; regional caseload'!$B$22)</f>
        <v>0</v>
      </c>
      <c r="E25" s="94">
        <f>SUMIFS('caseload data'!G:G,'caseload data'!$D:$D,"PSO",'caseload data'!$C:$C,'divisional &amp; regional caseload'!$B$22)</f>
        <v>0</v>
      </c>
      <c r="F25" s="94">
        <f>SUMIFS('caseload data'!H:H,'caseload data'!$D:$D,"PSO",'caseload data'!$C:$C,'divisional &amp; regional caseload'!$B$22)</f>
        <v>0</v>
      </c>
      <c r="G25" s="94">
        <f>SUMIFS('caseload data'!I:I,'caseload data'!$D:$D,"PSO",'caseload data'!$C:$C,'divisional &amp; regional caseload'!$B$22)</f>
        <v>0</v>
      </c>
      <c r="H25" s="94">
        <f>SUMIFS('caseload data'!J:J,'caseload data'!$D:$D,"PSO",'caseload data'!$C:$C,'divisional &amp; regional caseload'!$B$22)</f>
        <v>0</v>
      </c>
      <c r="I25" s="94">
        <f>SUMIFS('caseload data'!K:K,'caseload data'!$D:$D,"PSO",'caseload data'!$C:$C,'divisional &amp; regional caseload'!$B$22)</f>
        <v>0</v>
      </c>
      <c r="J25" s="94">
        <f>SUMIFS('caseload data'!L:L,'caseload data'!$D:$D,"PSO",'caseload data'!$C:$C,'divisional &amp; regional caseload'!$B$22)</f>
        <v>0</v>
      </c>
      <c r="K25" s="94">
        <f>SUMIFS('caseload data'!M:M,'caseload data'!$D:$D,"PSO",'caseload data'!$C:$C,'divisional &amp; regional caseload'!$B$22)</f>
        <v>0</v>
      </c>
      <c r="L25" s="94">
        <f>SUMIFS('caseload data'!N:N,'caseload data'!$D:$D,"PSO",'caseload data'!$C:$C,'divisional &amp; regional caseload'!$B$22)</f>
        <v>0</v>
      </c>
      <c r="M25" s="94">
        <f>SUMIFS('caseload data'!O:O,'caseload data'!$D:$D,"PSO",'caseload data'!$C:$C,'divisional &amp; regional caseload'!$B$22)</f>
        <v>0</v>
      </c>
      <c r="N25" s="94">
        <f>SUMIFS('caseload data'!P:P,'caseload data'!$D:$D,"PSO",'caseload data'!$C:$C,'divisional &amp; regional caseload'!$B$22)</f>
        <v>0</v>
      </c>
      <c r="O25" s="94">
        <f>SUMIFS('caseload data'!Q:Q,'caseload data'!$D:$D,"PSO",'caseload data'!$C:$C,'divisional &amp; regional caseload'!$B$22)</f>
        <v>0</v>
      </c>
      <c r="P25" s="94">
        <f>SUMIFS('caseload data'!R:R,'caseload data'!$D:$D,"PSO",'caseload data'!$C:$C,'divisional &amp; regional caseload'!$B$22)</f>
        <v>0</v>
      </c>
      <c r="Q25" s="94">
        <f>SUMIFS('caseload data'!S:S,'caseload data'!$D:$D,"PSO",'caseload data'!$C:$C,'divisional &amp; regional caseload'!$B$22)</f>
        <v>0</v>
      </c>
      <c r="R25" s="94">
        <f>SUMIFS('caseload data'!T:T,'caseload data'!$D:$D,"PSO",'caseload data'!$C:$C,'divisional &amp; regional caseload'!$B$22)</f>
        <v>0</v>
      </c>
      <c r="S25" s="91"/>
      <c r="T25" s="97" t="s">
        <v>952</v>
      </c>
      <c r="U25" s="94">
        <f>SUMIFS('caseload data'!E:E,'caseload data'!$D:$D,"PSO",'caseload data'!$C:$C,'divisional &amp; regional caseload'!$T$22)</f>
        <v>0</v>
      </c>
      <c r="V25" s="94">
        <f>SUMIFS('caseload data'!F:F,'caseload data'!$D:$D,"PSO",'caseload data'!$C:$C,'divisional &amp; regional caseload'!$T$22)</f>
        <v>0</v>
      </c>
      <c r="W25" s="94">
        <f>SUMIFS('caseload data'!G:G,'caseload data'!$D:$D,"PSO",'caseload data'!$C:$C,'divisional &amp; regional caseload'!$T$22)</f>
        <v>0</v>
      </c>
      <c r="X25" s="94">
        <f>SUMIFS('caseload data'!H:H,'caseload data'!$D:$D,"PSO",'caseload data'!$C:$C,'divisional &amp; regional caseload'!$T$22)</f>
        <v>0</v>
      </c>
      <c r="Y25" s="94">
        <f>SUMIFS('caseload data'!I:I,'caseload data'!$D:$D,"PSO",'caseload data'!$C:$C,'divisional &amp; regional caseload'!$T$22)</f>
        <v>0</v>
      </c>
      <c r="Z25" s="94">
        <f>SUMIFS('caseload data'!J:J,'caseload data'!$D:$D,"PSO",'caseload data'!$C:$C,'divisional &amp; regional caseload'!$T$22)</f>
        <v>0</v>
      </c>
      <c r="AA25" s="94">
        <f>SUMIFS('caseload data'!K:K,'caseload data'!$D:$D,"PSO",'caseload data'!$C:$C,'divisional &amp; regional caseload'!$T$22)</f>
        <v>0</v>
      </c>
      <c r="AB25" s="94">
        <f>SUMIFS('caseload data'!L:L,'caseload data'!$D:$D,"PSO",'caseload data'!$C:$C,'divisional &amp; regional caseload'!$T$22)</f>
        <v>0</v>
      </c>
      <c r="AC25" s="94">
        <f>SUMIFS('caseload data'!M:M,'caseload data'!$D:$D,"PSO",'caseload data'!$C:$C,'divisional &amp; regional caseload'!$T$22)</f>
        <v>0</v>
      </c>
      <c r="AD25" s="94">
        <f>SUMIFS('caseload data'!N:N,'caseload data'!$D:$D,"PSO",'caseload data'!$C:$C,'divisional &amp; regional caseload'!$T$22)</f>
        <v>0</v>
      </c>
      <c r="AE25" s="94">
        <f>SUMIFS('caseload data'!O:O,'caseload data'!$D:$D,"PSO",'caseload data'!$C:$C,'divisional &amp; regional caseload'!$T$22)</f>
        <v>0</v>
      </c>
      <c r="AF25" s="94">
        <f>SUMIFS('caseload data'!P:P,'caseload data'!$D:$D,"PSO",'caseload data'!$C:$C,'divisional &amp; regional caseload'!$T$22)</f>
        <v>0</v>
      </c>
      <c r="AG25" s="94">
        <f>SUMIFS('caseload data'!Q:Q,'caseload data'!$D:$D,"PSO",'caseload data'!$C:$C,'divisional &amp; regional caseload'!$T$22)</f>
        <v>0</v>
      </c>
      <c r="AH25" s="94">
        <f>SUMIFS('caseload data'!R:R,'caseload data'!$D:$D,"PSO",'caseload data'!$C:$C,'divisional &amp; regional caseload'!$T$22)</f>
        <v>0</v>
      </c>
      <c r="AI25" s="94">
        <f>SUMIFS('caseload data'!S:S,'caseload data'!$D:$D,"PSO",'caseload data'!$C:$C,'divisional &amp; regional caseload'!$T$22)</f>
        <v>0</v>
      </c>
      <c r="AJ25" s="94">
        <f>SUMIFS('caseload data'!T:T,'caseload data'!$D:$D,"PSO",'caseload data'!$C:$C,'divisional &amp; regional caseload'!$T$22)</f>
        <v>0</v>
      </c>
    </row>
    <row r="26" spans="2:36" x14ac:dyDescent="0.15">
      <c r="B26" s="97" t="s">
        <v>953</v>
      </c>
      <c r="C26" s="94">
        <f>SUMIFS('caseload data'!E:E,'caseload data'!$D:$D,"TPO",'caseload data'!$C:$C,'divisional &amp; regional caseload'!$B$22)</f>
        <v>0</v>
      </c>
      <c r="D26" s="94">
        <f>SUMIFS('caseload data'!F:F,'caseload data'!$D:$D,"TPO",'caseload data'!$C:$C,'divisional &amp; regional caseload'!$B$22)</f>
        <v>0</v>
      </c>
      <c r="E26" s="94">
        <f>SUMIFS('caseload data'!G:G,'caseload data'!$D:$D,"TPO",'caseload data'!$C:$C,'divisional &amp; regional caseload'!$B$22)</f>
        <v>0</v>
      </c>
      <c r="F26" s="94">
        <f>SUMIFS('caseload data'!H:H,'caseload data'!$D:$D,"TPO",'caseload data'!$C:$C,'divisional &amp; regional caseload'!$B$22)</f>
        <v>0</v>
      </c>
      <c r="G26" s="94">
        <f>SUMIFS('caseload data'!I:I,'caseload data'!$D:$D,"TPO",'caseload data'!$C:$C,'divisional &amp; regional caseload'!$B$22)</f>
        <v>0</v>
      </c>
      <c r="H26" s="94">
        <f>SUMIFS('caseload data'!J:J,'caseload data'!$D:$D,"TPO",'caseload data'!$C:$C,'divisional &amp; regional caseload'!$B$22)</f>
        <v>0</v>
      </c>
      <c r="I26" s="94">
        <f>SUMIFS('caseload data'!K:K,'caseload data'!$D:$D,"TPO",'caseload data'!$C:$C,'divisional &amp; regional caseload'!$B$22)</f>
        <v>0</v>
      </c>
      <c r="J26" s="94">
        <f>SUMIFS('caseload data'!L:L,'caseload data'!$D:$D,"TPO",'caseload data'!$C:$C,'divisional &amp; regional caseload'!$B$22)</f>
        <v>0</v>
      </c>
      <c r="K26" s="94">
        <f>SUMIFS('caseload data'!M:M,'caseload data'!$D:$D,"TPO",'caseload data'!$C:$C,'divisional &amp; regional caseload'!$B$22)</f>
        <v>0</v>
      </c>
      <c r="L26" s="94">
        <f>SUMIFS('caseload data'!N:N,'caseload data'!$D:$D,"TPO",'caseload data'!$C:$C,'divisional &amp; regional caseload'!$B$22)</f>
        <v>0</v>
      </c>
      <c r="M26" s="94">
        <f>SUMIFS('caseload data'!O:O,'caseload data'!$D:$D,"TPO",'caseload data'!$C:$C,'divisional &amp; regional caseload'!$B$22)</f>
        <v>0</v>
      </c>
      <c r="N26" s="94">
        <f>SUMIFS('caseload data'!P:P,'caseload data'!$D:$D,"TPO",'caseload data'!$C:$C,'divisional &amp; regional caseload'!$B$22)</f>
        <v>0</v>
      </c>
      <c r="O26" s="94">
        <f>SUMIFS('caseload data'!Q:Q,'caseload data'!$D:$D,"TPO",'caseload data'!$C:$C,'divisional &amp; regional caseload'!$B$22)</f>
        <v>0</v>
      </c>
      <c r="P26" s="94">
        <f>SUMIFS('caseload data'!R:R,'caseload data'!$D:$D,"TPO",'caseload data'!$C:$C,'divisional &amp; regional caseload'!$B$22)</f>
        <v>0</v>
      </c>
      <c r="Q26" s="94">
        <f>SUMIFS('caseload data'!S:S,'caseload data'!$D:$D,"TPO",'caseload data'!$C:$C,'divisional &amp; regional caseload'!$B$22)</f>
        <v>0</v>
      </c>
      <c r="R26" s="94">
        <f>SUMIFS('caseload data'!T:T,'caseload data'!$D:$D,"TPO",'caseload data'!$C:$C,'divisional &amp; regional caseload'!$B$22)</f>
        <v>0</v>
      </c>
      <c r="S26" s="91"/>
      <c r="T26" s="97" t="s">
        <v>953</v>
      </c>
      <c r="U26" s="94">
        <f>SUMIFS('caseload data'!E:E,'caseload data'!$D:$D,"TPO",'caseload data'!$C:$C,'divisional &amp; regional caseload'!$T$22)</f>
        <v>0</v>
      </c>
      <c r="V26" s="94">
        <f>SUMIFS('caseload data'!F:F,'caseload data'!$D:$D,"TPO",'caseload data'!$C:$C,'divisional &amp; regional caseload'!$T$22)</f>
        <v>0</v>
      </c>
      <c r="W26" s="94">
        <f>SUMIFS('caseload data'!G:G,'caseload data'!$D:$D,"TPO",'caseload data'!$C:$C,'divisional &amp; regional caseload'!$T$22)</f>
        <v>0</v>
      </c>
      <c r="X26" s="94">
        <f>SUMIFS('caseload data'!H:H,'caseload data'!$D:$D,"TPO",'caseload data'!$C:$C,'divisional &amp; regional caseload'!$T$22)</f>
        <v>0</v>
      </c>
      <c r="Y26" s="94">
        <f>SUMIFS('caseload data'!I:I,'caseload data'!$D:$D,"TPO",'caseload data'!$C:$C,'divisional &amp; regional caseload'!$T$22)</f>
        <v>0</v>
      </c>
      <c r="Z26" s="94">
        <f>SUMIFS('caseload data'!J:J,'caseload data'!$D:$D,"TPO",'caseload data'!$C:$C,'divisional &amp; regional caseload'!$T$22)</f>
        <v>0</v>
      </c>
      <c r="AA26" s="94">
        <f>SUMIFS('caseload data'!K:K,'caseload data'!$D:$D,"TPO",'caseload data'!$C:$C,'divisional &amp; regional caseload'!$T$22)</f>
        <v>0</v>
      </c>
      <c r="AB26" s="94">
        <f>SUMIFS('caseload data'!L:L,'caseload data'!$D:$D,"TPO",'caseload data'!$C:$C,'divisional &amp; regional caseload'!$T$22)</f>
        <v>0</v>
      </c>
      <c r="AC26" s="94">
        <f>SUMIFS('caseload data'!M:M,'caseload data'!$D:$D,"TPO",'caseload data'!$C:$C,'divisional &amp; regional caseload'!$T$22)</f>
        <v>0</v>
      </c>
      <c r="AD26" s="94">
        <f>SUMIFS('caseload data'!N:N,'caseload data'!$D:$D,"TPO",'caseload data'!$C:$C,'divisional &amp; regional caseload'!$T$22)</f>
        <v>0</v>
      </c>
      <c r="AE26" s="94">
        <f>SUMIFS('caseload data'!O:O,'caseload data'!$D:$D,"TPO",'caseload data'!$C:$C,'divisional &amp; regional caseload'!$T$22)</f>
        <v>0</v>
      </c>
      <c r="AF26" s="94">
        <f>SUMIFS('caseload data'!P:P,'caseload data'!$D:$D,"TPO",'caseload data'!$C:$C,'divisional &amp; regional caseload'!$T$22)</f>
        <v>0</v>
      </c>
      <c r="AG26" s="94">
        <f>SUMIFS('caseload data'!Q:Q,'caseload data'!$D:$D,"TPO",'caseload data'!$C:$C,'divisional &amp; regional caseload'!$T$22)</f>
        <v>0</v>
      </c>
      <c r="AH26" s="94">
        <f>SUMIFS('caseload data'!R:R,'caseload data'!$D:$D,"TPO",'caseload data'!$C:$C,'divisional &amp; regional caseload'!$T$22)</f>
        <v>0</v>
      </c>
      <c r="AI26" s="94">
        <f>SUMIFS('caseload data'!S:S,'caseload data'!$D:$D,"TPO",'caseload data'!$C:$C,'divisional &amp; regional caseload'!$T$22)</f>
        <v>0</v>
      </c>
      <c r="AJ26" s="94">
        <f>SUMIFS('caseload data'!T:T,'caseload data'!$D:$D,"TPO",'caseload data'!$C:$C,'divisional &amp; regional caseload'!$T$22)</f>
        <v>0</v>
      </c>
    </row>
    <row r="27" spans="2:36" x14ac:dyDescent="0.15">
      <c r="B27" s="98" t="s">
        <v>954</v>
      </c>
      <c r="C27" s="94">
        <f>SUMIFS('caseload data'!E:E,'caseload data'!$D:$D,"SPO",'caseload data'!$C:$C,'divisional &amp; regional caseload'!$B$22)</f>
        <v>0</v>
      </c>
      <c r="D27" s="94">
        <f>SUMIFS('caseload data'!F:F,'caseload data'!$D:$D,"SPO",'caseload data'!$C:$C,'divisional &amp; regional caseload'!$B$22)</f>
        <v>0</v>
      </c>
      <c r="E27" s="94">
        <f>SUMIFS('caseload data'!G:G,'caseload data'!$D:$D,"SPO",'caseload data'!$C:$C,'divisional &amp; regional caseload'!$B$22)</f>
        <v>0</v>
      </c>
      <c r="F27" s="94">
        <f>SUMIFS('caseload data'!H:H,'caseload data'!$D:$D,"SPO",'caseload data'!$C:$C,'divisional &amp; regional caseload'!$B$22)</f>
        <v>0</v>
      </c>
      <c r="G27" s="94">
        <f>SUMIFS('caseload data'!I:I,'caseload data'!$D:$D,"SPO",'caseload data'!$C:$C,'divisional &amp; regional caseload'!$B$22)</f>
        <v>0</v>
      </c>
      <c r="H27" s="94">
        <f>SUMIFS('caseload data'!J:J,'caseload data'!$D:$D,"SPO",'caseload data'!$C:$C,'divisional &amp; regional caseload'!$B$22)</f>
        <v>0</v>
      </c>
      <c r="I27" s="94">
        <f>SUMIFS('caseload data'!K:K,'caseload data'!$D:$D,"SPO",'caseload data'!$C:$C,'divisional &amp; regional caseload'!$B$22)</f>
        <v>0</v>
      </c>
      <c r="J27" s="94">
        <f>SUMIFS('caseload data'!L:L,'caseload data'!$D:$D,"SPO",'caseload data'!$C:$C,'divisional &amp; regional caseload'!$B$22)</f>
        <v>0</v>
      </c>
      <c r="K27" s="94">
        <f>SUMIFS('caseload data'!M:M,'caseload data'!$D:$D,"SPO",'caseload data'!$C:$C,'divisional &amp; regional caseload'!$B$22)</f>
        <v>0</v>
      </c>
      <c r="L27" s="94">
        <f>SUMIFS('caseload data'!N:N,'caseload data'!$D:$D,"SPO",'caseload data'!$C:$C,'divisional &amp; regional caseload'!$B$22)</f>
        <v>0</v>
      </c>
      <c r="M27" s="94">
        <f>SUMIFS('caseload data'!O:O,'caseload data'!$D:$D,"SPO",'caseload data'!$C:$C,'divisional &amp; regional caseload'!$B$22)</f>
        <v>0</v>
      </c>
      <c r="N27" s="94">
        <f>SUMIFS('caseload data'!P:P,'caseload data'!$D:$D,"SPO",'caseload data'!$C:$C,'divisional &amp; regional caseload'!$B$22)</f>
        <v>0</v>
      </c>
      <c r="O27" s="94">
        <f>SUMIFS('caseload data'!Q:Q,'caseload data'!$D:$D,"SPO",'caseload data'!$C:$C,'divisional &amp; regional caseload'!$B$22)</f>
        <v>0</v>
      </c>
      <c r="P27" s="94">
        <f>SUMIFS('caseload data'!R:R,'caseload data'!$D:$D,"SPO",'caseload data'!$C:$C,'divisional &amp; regional caseload'!$B$22)</f>
        <v>0</v>
      </c>
      <c r="Q27" s="94">
        <f>SUMIFS('caseload data'!S:S,'caseload data'!$D:$D,"SPO",'caseload data'!$C:$C,'divisional &amp; regional caseload'!$B$22)</f>
        <v>0</v>
      </c>
      <c r="R27" s="94">
        <f>SUMIFS('caseload data'!T:T,'caseload data'!$D:$D,"SPO",'caseload data'!$C:$C,'divisional &amp; regional caseload'!$B$22)</f>
        <v>0</v>
      </c>
      <c r="S27" s="91"/>
      <c r="T27" s="98" t="s">
        <v>954</v>
      </c>
      <c r="U27" s="94">
        <f>SUMIFS('caseload data'!E:E,'caseload data'!$D:$D,"SPO",'caseload data'!$C:$C,'divisional &amp; regional caseload'!$T$22)</f>
        <v>0</v>
      </c>
      <c r="V27" s="94">
        <f>SUMIFS('caseload data'!F:F,'caseload data'!$D:$D,"SPO",'caseload data'!$C:$C,'divisional &amp; regional caseload'!$T$22)</f>
        <v>0</v>
      </c>
      <c r="W27" s="94">
        <f>SUMIFS('caseload data'!G:G,'caseload data'!$D:$D,"SPO",'caseload data'!$C:$C,'divisional &amp; regional caseload'!$T$22)</f>
        <v>0</v>
      </c>
      <c r="X27" s="94">
        <f>SUMIFS('caseload data'!H:H,'caseload data'!$D:$D,"SPO",'caseload data'!$C:$C,'divisional &amp; regional caseload'!$T$22)</f>
        <v>0</v>
      </c>
      <c r="Y27" s="94">
        <f>SUMIFS('caseload data'!I:I,'caseload data'!$D:$D,"SPO",'caseload data'!$C:$C,'divisional &amp; regional caseload'!$T$22)</f>
        <v>0</v>
      </c>
      <c r="Z27" s="94">
        <f>SUMIFS('caseload data'!J:J,'caseload data'!$D:$D,"SPO",'caseload data'!$C:$C,'divisional &amp; regional caseload'!$T$22)</f>
        <v>0</v>
      </c>
      <c r="AA27" s="94">
        <f>SUMIFS('caseload data'!K:K,'caseload data'!$D:$D,"SPO",'caseload data'!$C:$C,'divisional &amp; regional caseload'!$T$22)</f>
        <v>0</v>
      </c>
      <c r="AB27" s="94">
        <f>SUMIFS('caseload data'!L:L,'caseload data'!$D:$D,"SPO",'caseload data'!$C:$C,'divisional &amp; regional caseload'!$T$22)</f>
        <v>0</v>
      </c>
      <c r="AC27" s="94">
        <f>SUMIFS('caseload data'!M:M,'caseload data'!$D:$D,"SPO",'caseload data'!$C:$C,'divisional &amp; regional caseload'!$T$22)</f>
        <v>0</v>
      </c>
      <c r="AD27" s="94">
        <f>SUMIFS('caseload data'!N:N,'caseload data'!$D:$D,"SPO",'caseload data'!$C:$C,'divisional &amp; regional caseload'!$T$22)</f>
        <v>0</v>
      </c>
      <c r="AE27" s="94">
        <f>SUMIFS('caseload data'!O:O,'caseload data'!$D:$D,"SPO",'caseload data'!$C:$C,'divisional &amp; regional caseload'!$T$22)</f>
        <v>0</v>
      </c>
      <c r="AF27" s="94">
        <f>SUMIFS('caseload data'!P:P,'caseload data'!$D:$D,"SPO",'caseload data'!$C:$C,'divisional &amp; regional caseload'!$T$22)</f>
        <v>0</v>
      </c>
      <c r="AG27" s="94">
        <f>SUMIFS('caseload data'!Q:Q,'caseload data'!$D:$D,"SPO",'caseload data'!$C:$C,'divisional &amp; regional caseload'!$T$22)</f>
        <v>0</v>
      </c>
      <c r="AH27" s="94">
        <f>SUMIFS('caseload data'!R:R,'caseload data'!$D:$D,"SPO",'caseload data'!$C:$C,'divisional &amp; regional caseload'!$T$22)</f>
        <v>0</v>
      </c>
      <c r="AI27" s="94">
        <f>SUMIFS('caseload data'!S:S,'caseload data'!$D:$D,"SPO",'caseload data'!$C:$C,'divisional &amp; regional caseload'!$T$22)</f>
        <v>0</v>
      </c>
      <c r="AJ27" s="94">
        <f>SUMIFS('caseload data'!T:T,'caseload data'!$D:$D,"SPO",'caseload data'!$C:$C,'divisional &amp; regional caseload'!$T$22)</f>
        <v>0</v>
      </c>
    </row>
    <row r="28" spans="2:36" x14ac:dyDescent="0.15">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row>
    <row r="29" spans="2:36" ht="29.25" customHeight="1" x14ac:dyDescent="0.15">
      <c r="B29" s="288" t="str">
        <f>HLOOKUP($B$5,Region_Table,8,0)</f>
        <v>Redcar, Cleveland and Middlesbrough</v>
      </c>
      <c r="C29" s="548" t="s">
        <v>1039</v>
      </c>
      <c r="D29" s="549"/>
      <c r="E29" s="549"/>
      <c r="F29" s="549"/>
      <c r="G29" s="549"/>
      <c r="H29" s="549"/>
      <c r="I29" s="549"/>
      <c r="J29" s="549"/>
      <c r="K29" s="549"/>
      <c r="L29" s="549"/>
      <c r="M29" s="553"/>
      <c r="N29" s="553"/>
      <c r="O29" s="554"/>
      <c r="P29" s="543">
        <f>SUMIF('caseload data'!$C:$C,'divisional &amp; regional caseload'!B29,'caseload data'!V:V)</f>
        <v>0</v>
      </c>
      <c r="Q29" s="544"/>
      <c r="R29" s="545"/>
      <c r="S29" s="91"/>
      <c r="T29" s="288" t="str">
        <f>HLOOKUP($B$5,Region_Table,9,0)</f>
        <v>Stockton and Hartlepool</v>
      </c>
      <c r="U29" s="548" t="s">
        <v>1039</v>
      </c>
      <c r="V29" s="549"/>
      <c r="W29" s="549"/>
      <c r="X29" s="549"/>
      <c r="Y29" s="549"/>
      <c r="Z29" s="549"/>
      <c r="AA29" s="549"/>
      <c r="AB29" s="549"/>
      <c r="AC29" s="549"/>
      <c r="AD29" s="549"/>
      <c r="AE29" s="549"/>
      <c r="AF29" s="549"/>
      <c r="AG29" s="550"/>
      <c r="AH29" s="543">
        <f>SUMIF('caseload data'!$C:$C,'divisional &amp; regional caseload'!T29,'caseload data'!V:V)</f>
        <v>0</v>
      </c>
      <c r="AI29" s="544"/>
      <c r="AJ29" s="545"/>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91"/>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94">
        <f>SUMIFS('caseload data'!E:E,'caseload data'!$D:$D,"PO",'caseload data'!$C:$C,'divisional &amp; regional caseload'!$B$29)</f>
        <v>0</v>
      </c>
      <c r="D31" s="94">
        <f>SUMIFS('caseload data'!F:F,'caseload data'!$D:$D,"PO",'caseload data'!$C:$C,'divisional &amp; regional caseload'!$B$29)</f>
        <v>0</v>
      </c>
      <c r="E31" s="94">
        <f>SUMIFS('caseload data'!G:G,'caseload data'!$D:$D,"PO",'caseload data'!$C:$C,'divisional &amp; regional caseload'!$B$29)</f>
        <v>0</v>
      </c>
      <c r="F31" s="94">
        <f>SUMIFS('caseload data'!H:H,'caseload data'!$D:$D,"PO",'caseload data'!$C:$C,'divisional &amp; regional caseload'!$B$29)</f>
        <v>0</v>
      </c>
      <c r="G31" s="94">
        <f>SUMIFS('caseload data'!I:I,'caseload data'!$D:$D,"PO",'caseload data'!$C:$C,'divisional &amp; regional caseload'!$B$29)</f>
        <v>0</v>
      </c>
      <c r="H31" s="94">
        <f>SUMIFS('caseload data'!J:J,'caseload data'!$D:$D,"PO",'caseload data'!$C:$C,'divisional &amp; regional caseload'!$B$29)</f>
        <v>0</v>
      </c>
      <c r="I31" s="94">
        <f>SUMIFS('caseload data'!K:K,'caseload data'!$D:$D,"PO",'caseload data'!$C:$C,'divisional &amp; regional caseload'!$B$29)</f>
        <v>0</v>
      </c>
      <c r="J31" s="94">
        <f>SUMIFS('caseload data'!L:L,'caseload data'!$D:$D,"PO",'caseload data'!$C:$C,'divisional &amp; regional caseload'!$B$29)</f>
        <v>0</v>
      </c>
      <c r="K31" s="94">
        <f>SUMIFS('caseload data'!M:M,'caseload data'!$D:$D,"PO",'caseload data'!$C:$C,'divisional &amp; regional caseload'!$B$29)</f>
        <v>0</v>
      </c>
      <c r="L31" s="94">
        <f>SUMIFS('caseload data'!N:N,'caseload data'!$D:$D,"PO",'caseload data'!$C:$C,'divisional &amp; regional caseload'!$B$29)</f>
        <v>0</v>
      </c>
      <c r="M31" s="94">
        <f>SUMIFS('caseload data'!O:O,'caseload data'!$D:$D,"PO",'caseload data'!$C:$C,'divisional &amp; regional caseload'!$B$29)</f>
        <v>0</v>
      </c>
      <c r="N31" s="94">
        <f>SUMIFS('caseload data'!P:P,'caseload data'!$D:$D,"PO",'caseload data'!$C:$C,'divisional &amp; regional caseload'!$B$29)</f>
        <v>0</v>
      </c>
      <c r="O31" s="94">
        <f>SUMIFS('caseload data'!Q:Q,'caseload data'!$D:$D,"PO",'caseload data'!$C:$C,'divisional &amp; regional caseload'!$B$29)</f>
        <v>0</v>
      </c>
      <c r="P31" s="94">
        <f>SUMIFS('caseload data'!R:R,'caseload data'!$D:$D,"PO",'caseload data'!$C:$C,'divisional &amp; regional caseload'!$B$29)</f>
        <v>0</v>
      </c>
      <c r="Q31" s="94">
        <f>SUMIFS('caseload data'!S:S,'caseload data'!$D:$D,"PO",'caseload data'!$C:$C,'divisional &amp; regional caseload'!$B$29)</f>
        <v>0</v>
      </c>
      <c r="R31" s="94">
        <f>SUMIFS('caseload data'!T:T,'caseload data'!$D:$D,"PO",'caseload data'!$C:$C,'divisional &amp; regional caseload'!$B$29)</f>
        <v>0</v>
      </c>
      <c r="S31" s="91"/>
      <c r="T31" s="96" t="s">
        <v>947</v>
      </c>
      <c r="U31" s="94">
        <f>SUMIFS('caseload data'!E:E,'caseload data'!$D:$D,"PO",'caseload data'!$C:$C,'divisional &amp; regional caseload'!$T$29)</f>
        <v>0</v>
      </c>
      <c r="V31" s="94">
        <f>SUMIFS('caseload data'!F:F,'caseload data'!$D:$D,"PO",'caseload data'!$C:$C,'divisional &amp; regional caseload'!$T$29)</f>
        <v>0</v>
      </c>
      <c r="W31" s="94">
        <f>SUMIFS('caseload data'!G:G,'caseload data'!$D:$D,"PO",'caseload data'!$C:$C,'divisional &amp; regional caseload'!$T$29)</f>
        <v>0</v>
      </c>
      <c r="X31" s="94">
        <f>SUMIFS('caseload data'!H:H,'caseload data'!$D:$D,"PO",'caseload data'!$C:$C,'divisional &amp; regional caseload'!$T$29)</f>
        <v>0</v>
      </c>
      <c r="Y31" s="94">
        <f>SUMIFS('caseload data'!I:I,'caseload data'!$D:$D,"PO",'caseload data'!$C:$C,'divisional &amp; regional caseload'!$T$29)</f>
        <v>0</v>
      </c>
      <c r="Z31" s="94">
        <f>SUMIFS('caseload data'!J:J,'caseload data'!$D:$D,"PO",'caseload data'!$C:$C,'divisional &amp; regional caseload'!$T$29)</f>
        <v>0</v>
      </c>
      <c r="AA31" s="94">
        <f>SUMIFS('caseload data'!K:K,'caseload data'!$D:$D,"PO",'caseload data'!$C:$C,'divisional &amp; regional caseload'!$T$29)</f>
        <v>0</v>
      </c>
      <c r="AB31" s="94">
        <f>SUMIFS('caseload data'!L:L,'caseload data'!$D:$D,"PO",'caseload data'!$C:$C,'divisional &amp; regional caseload'!$T$29)</f>
        <v>0</v>
      </c>
      <c r="AC31" s="94">
        <f>SUMIFS('caseload data'!M:M,'caseload data'!$D:$D,"PO",'caseload data'!$C:$C,'divisional &amp; regional caseload'!$T$29)</f>
        <v>0</v>
      </c>
      <c r="AD31" s="94">
        <f>SUMIFS('caseload data'!N:N,'caseload data'!$D:$D,"PO",'caseload data'!$C:$C,'divisional &amp; regional caseload'!$T$29)</f>
        <v>0</v>
      </c>
      <c r="AE31" s="94">
        <f>SUMIFS('caseload data'!O:O,'caseload data'!$D:$D,"PO",'caseload data'!$C:$C,'divisional &amp; regional caseload'!$T$29)</f>
        <v>0</v>
      </c>
      <c r="AF31" s="94">
        <f>SUMIFS('caseload data'!P:P,'caseload data'!$D:$D,"PO",'caseload data'!$C:$C,'divisional &amp; regional caseload'!$T$29)</f>
        <v>0</v>
      </c>
      <c r="AG31" s="94">
        <f>SUMIFS('caseload data'!Q:Q,'caseload data'!$D:$D,"PO",'caseload data'!$C:$C,'divisional &amp; regional caseload'!$T$29)</f>
        <v>0</v>
      </c>
      <c r="AH31" s="94">
        <f>SUMIFS('caseload data'!R:R,'caseload data'!$D:$D,"PO",'caseload data'!$C:$C,'divisional &amp; regional caseload'!$T$29)</f>
        <v>0</v>
      </c>
      <c r="AI31" s="94">
        <f>SUMIFS('caseload data'!S:S,'caseload data'!$D:$D,"PO",'caseload data'!$C:$C,'divisional &amp; regional caseload'!$T$29)</f>
        <v>0</v>
      </c>
      <c r="AJ31" s="94">
        <f>SUMIFS('caseload data'!T:T,'caseload data'!$D:$D,"PO",'caseload data'!$C:$C,'divisional &amp; regional caseload'!$T$29)</f>
        <v>0</v>
      </c>
    </row>
    <row r="32" spans="2:36" x14ac:dyDescent="0.15">
      <c r="B32" s="97" t="s">
        <v>952</v>
      </c>
      <c r="C32" s="94">
        <f>SUMIFS('caseload data'!E:E,'caseload data'!$D:$D,"PSO",'caseload data'!$C:$C,'divisional &amp; regional caseload'!$B$29)</f>
        <v>0</v>
      </c>
      <c r="D32" s="94">
        <f>SUMIFS('caseload data'!F:F,'caseload data'!$D:$D,"PSO",'caseload data'!$C:$C,'divisional &amp; regional caseload'!$B$29)</f>
        <v>0</v>
      </c>
      <c r="E32" s="94">
        <f>SUMIFS('caseload data'!G:G,'caseload data'!$D:$D,"PSO",'caseload data'!$C:$C,'divisional &amp; regional caseload'!$B$29)</f>
        <v>0</v>
      </c>
      <c r="F32" s="94">
        <f>SUMIFS('caseload data'!H:H,'caseload data'!$D:$D,"PSO",'caseload data'!$C:$C,'divisional &amp; regional caseload'!$B$29)</f>
        <v>0</v>
      </c>
      <c r="G32" s="94">
        <f>SUMIFS('caseload data'!I:I,'caseload data'!$D:$D,"PSO",'caseload data'!$C:$C,'divisional &amp; regional caseload'!$B$29)</f>
        <v>0</v>
      </c>
      <c r="H32" s="94">
        <f>SUMIFS('caseload data'!J:J,'caseload data'!$D:$D,"PSO",'caseload data'!$C:$C,'divisional &amp; regional caseload'!$B$29)</f>
        <v>0</v>
      </c>
      <c r="I32" s="94">
        <f>SUMIFS('caseload data'!K:K,'caseload data'!$D:$D,"PSO",'caseload data'!$C:$C,'divisional &amp; regional caseload'!$B$29)</f>
        <v>0</v>
      </c>
      <c r="J32" s="94">
        <f>SUMIFS('caseload data'!L:L,'caseload data'!$D:$D,"PSO",'caseload data'!$C:$C,'divisional &amp; regional caseload'!$B$29)</f>
        <v>0</v>
      </c>
      <c r="K32" s="94">
        <f>SUMIFS('caseload data'!M:M,'caseload data'!$D:$D,"PSO",'caseload data'!$C:$C,'divisional &amp; regional caseload'!$B$29)</f>
        <v>0</v>
      </c>
      <c r="L32" s="94">
        <f>SUMIFS('caseload data'!N:N,'caseload data'!$D:$D,"PSO",'caseload data'!$C:$C,'divisional &amp; regional caseload'!$B$29)</f>
        <v>0</v>
      </c>
      <c r="M32" s="94">
        <f>SUMIFS('caseload data'!O:O,'caseload data'!$D:$D,"PSO",'caseload data'!$C:$C,'divisional &amp; regional caseload'!$B$29)</f>
        <v>0</v>
      </c>
      <c r="N32" s="94">
        <f>SUMIFS('caseload data'!P:P,'caseload data'!$D:$D,"PSO",'caseload data'!$C:$C,'divisional &amp; regional caseload'!$B$29)</f>
        <v>0</v>
      </c>
      <c r="O32" s="94">
        <f>SUMIFS('caseload data'!Q:Q,'caseload data'!$D:$D,"PSO",'caseload data'!$C:$C,'divisional &amp; regional caseload'!$B$29)</f>
        <v>0</v>
      </c>
      <c r="P32" s="94">
        <f>SUMIFS('caseload data'!R:R,'caseload data'!$D:$D,"PSO",'caseload data'!$C:$C,'divisional &amp; regional caseload'!$B$29)</f>
        <v>0</v>
      </c>
      <c r="Q32" s="94">
        <f>SUMIFS('caseload data'!S:S,'caseload data'!$D:$D,"PSO",'caseload data'!$C:$C,'divisional &amp; regional caseload'!$B$29)</f>
        <v>0</v>
      </c>
      <c r="R32" s="94">
        <f>SUMIFS('caseload data'!T:T,'caseload data'!$D:$D,"PSO",'caseload data'!$C:$C,'divisional &amp; regional caseload'!$B$29)</f>
        <v>0</v>
      </c>
      <c r="S32" s="91"/>
      <c r="T32" s="97" t="s">
        <v>952</v>
      </c>
      <c r="U32" s="94">
        <f>SUMIFS('caseload data'!E:E,'caseload data'!$D:$D,"PSO",'caseload data'!$C:$C,'divisional &amp; regional caseload'!$T$29)</f>
        <v>0</v>
      </c>
      <c r="V32" s="94">
        <f>SUMIFS('caseload data'!F:F,'caseload data'!$D:$D,"PSO",'caseload data'!$C:$C,'divisional &amp; regional caseload'!$T$29)</f>
        <v>0</v>
      </c>
      <c r="W32" s="94">
        <f>SUMIFS('caseload data'!G:G,'caseload data'!$D:$D,"PSO",'caseload data'!$C:$C,'divisional &amp; regional caseload'!$T$29)</f>
        <v>0</v>
      </c>
      <c r="X32" s="94">
        <f>SUMIFS('caseload data'!H:H,'caseload data'!$D:$D,"PSO",'caseload data'!$C:$C,'divisional &amp; regional caseload'!$T$29)</f>
        <v>0</v>
      </c>
      <c r="Y32" s="94">
        <f>SUMIFS('caseload data'!I:I,'caseload data'!$D:$D,"PSO",'caseload data'!$C:$C,'divisional &amp; regional caseload'!$T$29)</f>
        <v>0</v>
      </c>
      <c r="Z32" s="94">
        <f>SUMIFS('caseload data'!J:J,'caseload data'!$D:$D,"PSO",'caseload data'!$C:$C,'divisional &amp; regional caseload'!$T$29)</f>
        <v>0</v>
      </c>
      <c r="AA32" s="94">
        <f>SUMIFS('caseload data'!K:K,'caseload data'!$D:$D,"PSO",'caseload data'!$C:$C,'divisional &amp; regional caseload'!$T$29)</f>
        <v>0</v>
      </c>
      <c r="AB32" s="94">
        <f>SUMIFS('caseload data'!L:L,'caseload data'!$D:$D,"PSO",'caseload data'!$C:$C,'divisional &amp; regional caseload'!$T$29)</f>
        <v>0</v>
      </c>
      <c r="AC32" s="94">
        <f>SUMIFS('caseload data'!M:M,'caseload data'!$D:$D,"PSO",'caseload data'!$C:$C,'divisional &amp; regional caseload'!$T$29)</f>
        <v>0</v>
      </c>
      <c r="AD32" s="94">
        <f>SUMIFS('caseload data'!N:N,'caseload data'!$D:$D,"PSO",'caseload data'!$C:$C,'divisional &amp; regional caseload'!$T$29)</f>
        <v>0</v>
      </c>
      <c r="AE32" s="94">
        <f>SUMIFS('caseload data'!O:O,'caseload data'!$D:$D,"PSO",'caseload data'!$C:$C,'divisional &amp; regional caseload'!$T$29)</f>
        <v>0</v>
      </c>
      <c r="AF32" s="94">
        <f>SUMIFS('caseload data'!P:P,'caseload data'!$D:$D,"PSO",'caseload data'!$C:$C,'divisional &amp; regional caseload'!$T$29)</f>
        <v>0</v>
      </c>
      <c r="AG32" s="94">
        <f>SUMIFS('caseload data'!Q:Q,'caseload data'!$D:$D,"PSO",'caseload data'!$C:$C,'divisional &amp; regional caseload'!$T$29)</f>
        <v>0</v>
      </c>
      <c r="AH32" s="94">
        <f>SUMIFS('caseload data'!R:R,'caseload data'!$D:$D,"PSO",'caseload data'!$C:$C,'divisional &amp; regional caseload'!$T$29)</f>
        <v>0</v>
      </c>
      <c r="AI32" s="94">
        <f>SUMIFS('caseload data'!S:S,'caseload data'!$D:$D,"PSO",'caseload data'!$C:$C,'divisional &amp; regional caseload'!$T$29)</f>
        <v>0</v>
      </c>
      <c r="AJ32" s="94">
        <f>SUMIFS('caseload data'!T:T,'caseload data'!$D:$D,"PSO",'caseload data'!$C:$C,'divisional &amp; regional caseload'!$T$29)</f>
        <v>0</v>
      </c>
    </row>
    <row r="33" spans="2:36" x14ac:dyDescent="0.15">
      <c r="B33" s="97" t="s">
        <v>953</v>
      </c>
      <c r="C33" s="94">
        <f>SUMIFS('caseload data'!E:E,'caseload data'!$D:$D,"TPO",'caseload data'!$C:$C,'divisional &amp; regional caseload'!$B$29)</f>
        <v>0</v>
      </c>
      <c r="D33" s="94">
        <f>SUMIFS('caseload data'!F:F,'caseload data'!$D:$D,"TPO",'caseload data'!$C:$C,'divisional &amp; regional caseload'!$B$29)</f>
        <v>0</v>
      </c>
      <c r="E33" s="94">
        <f>SUMIFS('caseload data'!G:G,'caseload data'!$D:$D,"TPO",'caseload data'!$C:$C,'divisional &amp; regional caseload'!$B$29)</f>
        <v>0</v>
      </c>
      <c r="F33" s="94">
        <f>SUMIFS('caseload data'!H:H,'caseload data'!$D:$D,"TPO",'caseload data'!$C:$C,'divisional &amp; regional caseload'!$B$29)</f>
        <v>0</v>
      </c>
      <c r="G33" s="94">
        <f>SUMIFS('caseload data'!I:I,'caseload data'!$D:$D,"TPO",'caseload data'!$C:$C,'divisional &amp; regional caseload'!$B$29)</f>
        <v>0</v>
      </c>
      <c r="H33" s="94">
        <f>SUMIFS('caseload data'!J:J,'caseload data'!$D:$D,"TPO",'caseload data'!$C:$C,'divisional &amp; regional caseload'!$B$29)</f>
        <v>0</v>
      </c>
      <c r="I33" s="94">
        <f>SUMIFS('caseload data'!K:K,'caseload data'!$D:$D,"TPO",'caseload data'!$C:$C,'divisional &amp; regional caseload'!$B$29)</f>
        <v>0</v>
      </c>
      <c r="J33" s="94">
        <f>SUMIFS('caseload data'!L:L,'caseload data'!$D:$D,"TPO",'caseload data'!$C:$C,'divisional &amp; regional caseload'!$B$29)</f>
        <v>0</v>
      </c>
      <c r="K33" s="94">
        <f>SUMIFS('caseload data'!M:M,'caseload data'!$D:$D,"TPO",'caseload data'!$C:$C,'divisional &amp; regional caseload'!$B$29)</f>
        <v>0</v>
      </c>
      <c r="L33" s="94">
        <f>SUMIFS('caseload data'!N:N,'caseload data'!$D:$D,"TPO",'caseload data'!$C:$C,'divisional &amp; regional caseload'!$B$29)</f>
        <v>0</v>
      </c>
      <c r="M33" s="94">
        <f>SUMIFS('caseload data'!O:O,'caseload data'!$D:$D,"TPO",'caseload data'!$C:$C,'divisional &amp; regional caseload'!$B$29)</f>
        <v>0</v>
      </c>
      <c r="N33" s="94">
        <f>SUMIFS('caseload data'!P:P,'caseload data'!$D:$D,"TPO",'caseload data'!$C:$C,'divisional &amp; regional caseload'!$B$29)</f>
        <v>0</v>
      </c>
      <c r="O33" s="94">
        <f>SUMIFS('caseload data'!Q:Q,'caseload data'!$D:$D,"TPO",'caseload data'!$C:$C,'divisional &amp; regional caseload'!$B$29)</f>
        <v>0</v>
      </c>
      <c r="P33" s="94">
        <f>SUMIFS('caseload data'!R:R,'caseload data'!$D:$D,"TPO",'caseload data'!$C:$C,'divisional &amp; regional caseload'!$B$29)</f>
        <v>0</v>
      </c>
      <c r="Q33" s="94">
        <f>SUMIFS('caseload data'!S:S,'caseload data'!$D:$D,"TPO",'caseload data'!$C:$C,'divisional &amp; regional caseload'!$B$29)</f>
        <v>0</v>
      </c>
      <c r="R33" s="94">
        <f>SUMIFS('caseload data'!T:T,'caseload data'!$D:$D,"TPO",'caseload data'!$C:$C,'divisional &amp; regional caseload'!$B$29)</f>
        <v>0</v>
      </c>
      <c r="S33" s="91"/>
      <c r="T33" s="97" t="s">
        <v>953</v>
      </c>
      <c r="U33" s="94">
        <f>SUMIFS('caseload data'!E:E,'caseload data'!$D:$D,"TPO",'caseload data'!$C:$C,'divisional &amp; regional caseload'!$T$29)</f>
        <v>0</v>
      </c>
      <c r="V33" s="94">
        <f>SUMIFS('caseload data'!F:F,'caseload data'!$D:$D,"TPO",'caseload data'!$C:$C,'divisional &amp; regional caseload'!$T$29)</f>
        <v>0</v>
      </c>
      <c r="W33" s="94">
        <f>SUMIFS('caseload data'!G:G,'caseload data'!$D:$D,"TPO",'caseload data'!$C:$C,'divisional &amp; regional caseload'!$T$29)</f>
        <v>0</v>
      </c>
      <c r="X33" s="94">
        <f>SUMIFS('caseload data'!H:H,'caseload data'!$D:$D,"TPO",'caseload data'!$C:$C,'divisional &amp; regional caseload'!$T$29)</f>
        <v>0</v>
      </c>
      <c r="Y33" s="94">
        <f>SUMIFS('caseload data'!I:I,'caseload data'!$D:$D,"TPO",'caseload data'!$C:$C,'divisional &amp; regional caseload'!$T$29)</f>
        <v>0</v>
      </c>
      <c r="Z33" s="94">
        <f>SUMIFS('caseload data'!J:J,'caseload data'!$D:$D,"TPO",'caseload data'!$C:$C,'divisional &amp; regional caseload'!$T$29)</f>
        <v>0</v>
      </c>
      <c r="AA33" s="94">
        <f>SUMIFS('caseload data'!K:K,'caseload data'!$D:$D,"TPO",'caseload data'!$C:$C,'divisional &amp; regional caseload'!$T$29)</f>
        <v>0</v>
      </c>
      <c r="AB33" s="94">
        <f>SUMIFS('caseload data'!L:L,'caseload data'!$D:$D,"TPO",'caseload data'!$C:$C,'divisional &amp; regional caseload'!$T$29)</f>
        <v>0</v>
      </c>
      <c r="AC33" s="94">
        <f>SUMIFS('caseload data'!M:M,'caseload data'!$D:$D,"TPO",'caseload data'!$C:$C,'divisional &amp; regional caseload'!$T$29)</f>
        <v>0</v>
      </c>
      <c r="AD33" s="94">
        <f>SUMIFS('caseload data'!N:N,'caseload data'!$D:$D,"TPO",'caseload data'!$C:$C,'divisional &amp; regional caseload'!$T$29)</f>
        <v>0</v>
      </c>
      <c r="AE33" s="94">
        <f>SUMIFS('caseload data'!O:O,'caseload data'!$D:$D,"TPO",'caseload data'!$C:$C,'divisional &amp; regional caseload'!$T$29)</f>
        <v>0</v>
      </c>
      <c r="AF33" s="94">
        <f>SUMIFS('caseload data'!P:P,'caseload data'!$D:$D,"TPO",'caseload data'!$C:$C,'divisional &amp; regional caseload'!$T$29)</f>
        <v>0</v>
      </c>
      <c r="AG33" s="94">
        <f>SUMIFS('caseload data'!Q:Q,'caseload data'!$D:$D,"TPO",'caseload data'!$C:$C,'divisional &amp; regional caseload'!$T$29)</f>
        <v>0</v>
      </c>
      <c r="AH33" s="94">
        <f>SUMIFS('caseload data'!R:R,'caseload data'!$D:$D,"TPO",'caseload data'!$C:$C,'divisional &amp; regional caseload'!$T$29)</f>
        <v>0</v>
      </c>
      <c r="AI33" s="94">
        <f>SUMIFS('caseload data'!S:S,'caseload data'!$D:$D,"TPO",'caseload data'!$C:$C,'divisional &amp; regional caseload'!$T$29)</f>
        <v>0</v>
      </c>
      <c r="AJ33" s="94">
        <f>SUMIFS('caseload data'!T:T,'caseload data'!$D:$D,"TPO",'caseload data'!$C:$C,'divisional &amp; regional caseload'!$T$29)</f>
        <v>0</v>
      </c>
    </row>
    <row r="34" spans="2:36" x14ac:dyDescent="0.15">
      <c r="B34" s="98" t="s">
        <v>954</v>
      </c>
      <c r="C34" s="94">
        <f>SUMIFS('caseload data'!E:E,'caseload data'!$D:$D,"SPO",'caseload data'!$C:$C,'divisional &amp; regional caseload'!$B$29)</f>
        <v>0</v>
      </c>
      <c r="D34" s="94">
        <f>SUMIFS('caseload data'!F:F,'caseload data'!$D:$D,"SPO",'caseload data'!$C:$C,'divisional &amp; regional caseload'!$B$29)</f>
        <v>0</v>
      </c>
      <c r="E34" s="94">
        <f>SUMIFS('caseload data'!G:G,'caseload data'!$D:$D,"SPO",'caseload data'!$C:$C,'divisional &amp; regional caseload'!$B$29)</f>
        <v>0</v>
      </c>
      <c r="F34" s="94">
        <f>SUMIFS('caseload data'!H:H,'caseload data'!$D:$D,"SPO",'caseload data'!$C:$C,'divisional &amp; regional caseload'!$B$29)</f>
        <v>0</v>
      </c>
      <c r="G34" s="94">
        <f>SUMIFS('caseload data'!I:I,'caseload data'!$D:$D,"SPO",'caseload data'!$C:$C,'divisional &amp; regional caseload'!$B$29)</f>
        <v>0</v>
      </c>
      <c r="H34" s="94">
        <f>SUMIFS('caseload data'!J:J,'caseload data'!$D:$D,"SPO",'caseload data'!$C:$C,'divisional &amp; regional caseload'!$B$29)</f>
        <v>0</v>
      </c>
      <c r="I34" s="94">
        <f>SUMIFS('caseload data'!K:K,'caseload data'!$D:$D,"SPO",'caseload data'!$C:$C,'divisional &amp; regional caseload'!$B$29)</f>
        <v>0</v>
      </c>
      <c r="J34" s="94">
        <f>SUMIFS('caseload data'!L:L,'caseload data'!$D:$D,"SPO",'caseload data'!$C:$C,'divisional &amp; regional caseload'!$B$29)</f>
        <v>0</v>
      </c>
      <c r="K34" s="94">
        <f>SUMIFS('caseload data'!M:M,'caseload data'!$D:$D,"SPO",'caseload data'!$C:$C,'divisional &amp; regional caseload'!$B$29)</f>
        <v>0</v>
      </c>
      <c r="L34" s="94">
        <f>SUMIFS('caseload data'!N:N,'caseload data'!$D:$D,"SPO",'caseload data'!$C:$C,'divisional &amp; regional caseload'!$B$29)</f>
        <v>0</v>
      </c>
      <c r="M34" s="94">
        <f>SUMIFS('caseload data'!O:O,'caseload data'!$D:$D,"SPO",'caseload data'!$C:$C,'divisional &amp; regional caseload'!$B$29)</f>
        <v>0</v>
      </c>
      <c r="N34" s="94">
        <f>SUMIFS('caseload data'!P:P,'caseload data'!$D:$D,"SPO",'caseload data'!$C:$C,'divisional &amp; regional caseload'!$B$29)</f>
        <v>0</v>
      </c>
      <c r="O34" s="94">
        <f>SUMIFS('caseload data'!Q:Q,'caseload data'!$D:$D,"SPO",'caseload data'!$C:$C,'divisional &amp; regional caseload'!$B$29)</f>
        <v>0</v>
      </c>
      <c r="P34" s="94">
        <f>SUMIFS('caseload data'!R:R,'caseload data'!$D:$D,"SPO",'caseload data'!$C:$C,'divisional &amp; regional caseload'!$B$29)</f>
        <v>0</v>
      </c>
      <c r="Q34" s="94">
        <f>SUMIFS('caseload data'!S:S,'caseload data'!$D:$D,"SPO",'caseload data'!$C:$C,'divisional &amp; regional caseload'!$B$29)</f>
        <v>0</v>
      </c>
      <c r="R34" s="94">
        <f>SUMIFS('caseload data'!T:T,'caseload data'!$D:$D,"SPO",'caseload data'!$C:$C,'divisional &amp; regional caseload'!$B$29)</f>
        <v>0</v>
      </c>
      <c r="S34" s="91"/>
      <c r="T34" s="98" t="s">
        <v>954</v>
      </c>
      <c r="U34" s="94">
        <f>SUMIFS('caseload data'!E:E,'caseload data'!$D:$D,"SPO",'caseload data'!$C:$C,'divisional &amp; regional caseload'!$T$29)</f>
        <v>0</v>
      </c>
      <c r="V34" s="94">
        <f>SUMIFS('caseload data'!F:F,'caseload data'!$D:$D,"SPO",'caseload data'!$C:$C,'divisional &amp; regional caseload'!$T$29)</f>
        <v>0</v>
      </c>
      <c r="W34" s="94">
        <f>SUMIFS('caseload data'!G:G,'caseload data'!$D:$D,"SPO",'caseload data'!$C:$C,'divisional &amp; regional caseload'!$T$29)</f>
        <v>0</v>
      </c>
      <c r="X34" s="94">
        <f>SUMIFS('caseload data'!H:H,'caseload data'!$D:$D,"SPO",'caseload data'!$C:$C,'divisional &amp; regional caseload'!$T$29)</f>
        <v>0</v>
      </c>
      <c r="Y34" s="94">
        <f>SUMIFS('caseload data'!I:I,'caseload data'!$D:$D,"SPO",'caseload data'!$C:$C,'divisional &amp; regional caseload'!$T$29)</f>
        <v>0</v>
      </c>
      <c r="Z34" s="94">
        <f>SUMIFS('caseload data'!J:J,'caseload data'!$D:$D,"SPO",'caseload data'!$C:$C,'divisional &amp; regional caseload'!$T$29)</f>
        <v>0</v>
      </c>
      <c r="AA34" s="94">
        <f>SUMIFS('caseload data'!K:K,'caseload data'!$D:$D,"SPO",'caseload data'!$C:$C,'divisional &amp; regional caseload'!$T$29)</f>
        <v>0</v>
      </c>
      <c r="AB34" s="94">
        <f>SUMIFS('caseload data'!L:L,'caseload data'!$D:$D,"SPO",'caseload data'!$C:$C,'divisional &amp; regional caseload'!$T$29)</f>
        <v>0</v>
      </c>
      <c r="AC34" s="94">
        <f>SUMIFS('caseload data'!M:M,'caseload data'!$D:$D,"SPO",'caseload data'!$C:$C,'divisional &amp; regional caseload'!$T$29)</f>
        <v>0</v>
      </c>
      <c r="AD34" s="94">
        <f>SUMIFS('caseload data'!N:N,'caseload data'!$D:$D,"SPO",'caseload data'!$C:$C,'divisional &amp; regional caseload'!$T$29)</f>
        <v>0</v>
      </c>
      <c r="AE34" s="94">
        <f>SUMIFS('caseload data'!O:O,'caseload data'!$D:$D,"SPO",'caseload data'!$C:$C,'divisional &amp; regional caseload'!$T$29)</f>
        <v>0</v>
      </c>
      <c r="AF34" s="94">
        <f>SUMIFS('caseload data'!P:P,'caseload data'!$D:$D,"SPO",'caseload data'!$C:$C,'divisional &amp; regional caseload'!$T$29)</f>
        <v>0</v>
      </c>
      <c r="AG34" s="94">
        <f>SUMIFS('caseload data'!Q:Q,'caseload data'!$D:$D,"SPO",'caseload data'!$C:$C,'divisional &amp; regional caseload'!$T$29)</f>
        <v>0</v>
      </c>
      <c r="AH34" s="94">
        <f>SUMIFS('caseload data'!R:R,'caseload data'!$D:$D,"SPO",'caseload data'!$C:$C,'divisional &amp; regional caseload'!$T$29)</f>
        <v>0</v>
      </c>
      <c r="AI34" s="94">
        <f>SUMIFS('caseload data'!S:S,'caseload data'!$D:$D,"SPO",'caseload data'!$C:$C,'divisional &amp; regional caseload'!$T$29)</f>
        <v>0</v>
      </c>
      <c r="AJ34" s="94">
        <f>SUMIFS('caseload data'!T:T,'caseload data'!$D:$D,"SPO",'caseload data'!$C:$C,'divisional &amp; regional caseload'!$T$29)</f>
        <v>0</v>
      </c>
    </row>
    <row r="35" spans="2:36" x14ac:dyDescent="0.15">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row>
    <row r="36" spans="2:36" ht="27.75" customHeight="1" x14ac:dyDescent="0.15">
      <c r="B36" s="288" t="str">
        <f>HLOOKUP($B$5,Region_Table,10,0)</f>
        <v>Sunderland - N54</v>
      </c>
      <c r="C36" s="548" t="s">
        <v>1040</v>
      </c>
      <c r="D36" s="549"/>
      <c r="E36" s="549"/>
      <c r="F36" s="549"/>
      <c r="G36" s="549"/>
      <c r="H36" s="549"/>
      <c r="I36" s="549"/>
      <c r="J36" s="549"/>
      <c r="K36" s="549"/>
      <c r="L36" s="549"/>
      <c r="M36" s="553"/>
      <c r="N36" s="553"/>
      <c r="O36" s="554"/>
      <c r="P36" s="543">
        <f>SUMIF('caseload data'!$C:$C,'divisional &amp; regional caseload'!B36,'caseload data'!V:V)</f>
        <v>0</v>
      </c>
      <c r="Q36" s="544"/>
      <c r="R36" s="545"/>
      <c r="S36" s="91"/>
      <c r="T36" s="288" t="str">
        <f>HLOOKUP($B$5,Region_Table,11,0)</f>
        <v>Unallocated Level(N54)</v>
      </c>
      <c r="U36" s="548" t="s">
        <v>1039</v>
      </c>
      <c r="V36" s="549"/>
      <c r="W36" s="549"/>
      <c r="X36" s="549"/>
      <c r="Y36" s="549"/>
      <c r="Z36" s="549"/>
      <c r="AA36" s="549"/>
      <c r="AB36" s="549"/>
      <c r="AC36" s="549"/>
      <c r="AD36" s="549"/>
      <c r="AE36" s="549"/>
      <c r="AF36" s="549"/>
      <c r="AG36" s="550"/>
      <c r="AH36" s="543">
        <f>SUMIF('caseload data'!$C:$C,'divisional &amp; regional caseload'!T36,'caseload data'!V:V)</f>
        <v>0</v>
      </c>
      <c r="AI36" s="544"/>
      <c r="AJ36" s="545"/>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91"/>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94">
        <f>SUMIFS('caseload data'!E:E,'caseload data'!$D:$D,"PO",'caseload data'!$C:$C,'divisional &amp; regional caseload'!$B$36)</f>
        <v>0</v>
      </c>
      <c r="D38" s="94">
        <f>SUMIFS('caseload data'!F:F,'caseload data'!$D:$D,"PO",'caseload data'!$C:$C,'divisional &amp; regional caseload'!$B$36)</f>
        <v>0</v>
      </c>
      <c r="E38" s="94">
        <f>SUMIFS('caseload data'!G:G,'caseload data'!$D:$D,"PO",'caseload data'!$C:$C,'divisional &amp; regional caseload'!$B$36)</f>
        <v>0</v>
      </c>
      <c r="F38" s="94">
        <f>SUMIFS('caseload data'!H:H,'caseload data'!$D:$D,"PO",'caseload data'!$C:$C,'divisional &amp; regional caseload'!$B$36)</f>
        <v>0</v>
      </c>
      <c r="G38" s="94">
        <f>SUMIFS('caseload data'!I:I,'caseload data'!$D:$D,"PO",'caseload data'!$C:$C,'divisional &amp; regional caseload'!$B$36)</f>
        <v>0</v>
      </c>
      <c r="H38" s="94">
        <f>SUMIFS('caseload data'!J:J,'caseload data'!$D:$D,"PO",'caseload data'!$C:$C,'divisional &amp; regional caseload'!$B$36)</f>
        <v>0</v>
      </c>
      <c r="I38" s="94">
        <f>SUMIFS('caseload data'!K:K,'caseload data'!$D:$D,"PO",'caseload data'!$C:$C,'divisional &amp; regional caseload'!$B$36)</f>
        <v>0</v>
      </c>
      <c r="J38" s="94">
        <f>SUMIFS('caseload data'!L:L,'caseload data'!$D:$D,"PO",'caseload data'!$C:$C,'divisional &amp; regional caseload'!$B$36)</f>
        <v>0</v>
      </c>
      <c r="K38" s="94">
        <f>SUMIFS('caseload data'!M:M,'caseload data'!$D:$D,"PO",'caseload data'!$C:$C,'divisional &amp; regional caseload'!$B$36)</f>
        <v>0</v>
      </c>
      <c r="L38" s="94">
        <f>SUMIFS('caseload data'!N:N,'caseload data'!$D:$D,"PO",'caseload data'!$C:$C,'divisional &amp; regional caseload'!$B$36)</f>
        <v>0</v>
      </c>
      <c r="M38" s="94">
        <f>SUMIFS('caseload data'!O:O,'caseload data'!$D:$D,"PO",'caseload data'!$C:$C,'divisional &amp; regional caseload'!$B$36)</f>
        <v>0</v>
      </c>
      <c r="N38" s="94">
        <f>SUMIFS('caseload data'!P:P,'caseload data'!$D:$D,"PO",'caseload data'!$C:$C,'divisional &amp; regional caseload'!$B$36)</f>
        <v>0</v>
      </c>
      <c r="O38" s="94">
        <f>SUMIFS('caseload data'!Q:Q,'caseload data'!$D:$D,"PO",'caseload data'!$C:$C,'divisional &amp; regional caseload'!$B$36)</f>
        <v>0</v>
      </c>
      <c r="P38" s="94">
        <f>SUMIFS('caseload data'!R:R,'caseload data'!$D:$D,"PO",'caseload data'!$C:$C,'divisional &amp; regional caseload'!$B$36)</f>
        <v>0</v>
      </c>
      <c r="Q38" s="94">
        <f>SUMIFS('caseload data'!S:S,'caseload data'!$D:$D,"PO",'caseload data'!$C:$C,'divisional &amp; regional caseload'!$B$36)</f>
        <v>0</v>
      </c>
      <c r="R38" s="94">
        <f>SUMIFS('caseload data'!T:T,'caseload data'!$D:$D,"PO",'caseload data'!$C:$C,'divisional &amp; regional caseload'!$B$36)</f>
        <v>0</v>
      </c>
      <c r="S38" s="91"/>
      <c r="T38" s="96" t="s">
        <v>947</v>
      </c>
      <c r="U38" s="94">
        <f>SUMIFS('caseload data'!E:E,'caseload data'!$D:$D,"PO",'caseload data'!$C:$C,'divisional &amp; regional caseload'!$T$36)</f>
        <v>0</v>
      </c>
      <c r="V38" s="94">
        <f>SUMIFS('caseload data'!F:F,'caseload data'!$D:$D,"PO",'caseload data'!$C:$C,'divisional &amp; regional caseload'!$T$36)</f>
        <v>0</v>
      </c>
      <c r="W38" s="94">
        <f>SUMIFS('caseload data'!G:G,'caseload data'!$D:$D,"PO",'caseload data'!$C:$C,'divisional &amp; regional caseload'!$T$36)</f>
        <v>0</v>
      </c>
      <c r="X38" s="94">
        <f>SUMIFS('caseload data'!H:H,'caseload data'!$D:$D,"PO",'caseload data'!$C:$C,'divisional &amp; regional caseload'!$T$36)</f>
        <v>0</v>
      </c>
      <c r="Y38" s="94">
        <f>SUMIFS('caseload data'!I:I,'caseload data'!$D:$D,"PO",'caseload data'!$C:$C,'divisional &amp; regional caseload'!$T$36)</f>
        <v>0</v>
      </c>
      <c r="Z38" s="94">
        <f>SUMIFS('caseload data'!J:J,'caseload data'!$D:$D,"PO",'caseload data'!$C:$C,'divisional &amp; regional caseload'!$T$36)</f>
        <v>0</v>
      </c>
      <c r="AA38" s="94">
        <f>SUMIFS('caseload data'!K:K,'caseload data'!$D:$D,"PO",'caseload data'!$C:$C,'divisional &amp; regional caseload'!$T$36)</f>
        <v>0</v>
      </c>
      <c r="AB38" s="94">
        <f>SUMIFS('caseload data'!L:L,'caseload data'!$D:$D,"PO",'caseload data'!$C:$C,'divisional &amp; regional caseload'!$T$36)</f>
        <v>0</v>
      </c>
      <c r="AC38" s="94">
        <f>SUMIFS('caseload data'!M:M,'caseload data'!$D:$D,"PO",'caseload data'!$C:$C,'divisional &amp; regional caseload'!$T$36)</f>
        <v>0</v>
      </c>
      <c r="AD38" s="94">
        <f>SUMIFS('caseload data'!N:N,'caseload data'!$D:$D,"PO",'caseload data'!$C:$C,'divisional &amp; regional caseload'!$T$36)</f>
        <v>0</v>
      </c>
      <c r="AE38" s="94">
        <f>SUMIFS('caseload data'!O:O,'caseload data'!$D:$D,"PO",'caseload data'!$C:$C,'divisional &amp; regional caseload'!$T$36)</f>
        <v>0</v>
      </c>
      <c r="AF38" s="94">
        <f>SUMIFS('caseload data'!P:P,'caseload data'!$D:$D,"PO",'caseload data'!$C:$C,'divisional &amp; regional caseload'!$T$36)</f>
        <v>0</v>
      </c>
      <c r="AG38" s="94">
        <f>SUMIFS('caseload data'!Q:Q,'caseload data'!$D:$D,"PO",'caseload data'!$C:$C,'divisional &amp; regional caseload'!$T$36)</f>
        <v>0</v>
      </c>
      <c r="AH38" s="94">
        <f>SUMIFS('caseload data'!R:R,'caseload data'!$D:$D,"PO",'caseload data'!$C:$C,'divisional &amp; regional caseload'!$T$36)</f>
        <v>0</v>
      </c>
      <c r="AI38" s="94">
        <f>SUMIFS('caseload data'!S:S,'caseload data'!$D:$D,"PO",'caseload data'!$C:$C,'divisional &amp; regional caseload'!$T$36)</f>
        <v>0</v>
      </c>
      <c r="AJ38" s="94">
        <f>SUMIFS('caseload data'!T:T,'caseload data'!$D:$D,"PO",'caseload data'!$C:$C,'divisional &amp; regional caseload'!$T$36)</f>
        <v>0</v>
      </c>
    </row>
    <row r="39" spans="2:36" x14ac:dyDescent="0.15">
      <c r="B39" s="97" t="s">
        <v>952</v>
      </c>
      <c r="C39" s="94">
        <f>SUMIFS('caseload data'!E:E,'caseload data'!$D:$D,"PSO",'caseload data'!$C:$C,'divisional &amp; regional caseload'!$B$36)</f>
        <v>0</v>
      </c>
      <c r="D39" s="94">
        <f>SUMIFS('caseload data'!F:F,'caseload data'!$D:$D,"PSO",'caseload data'!$C:$C,'divisional &amp; regional caseload'!$B$36)</f>
        <v>0</v>
      </c>
      <c r="E39" s="94">
        <f>SUMIFS('caseload data'!G:G,'caseload data'!$D:$D,"PSO",'caseload data'!$C:$C,'divisional &amp; regional caseload'!$B$36)</f>
        <v>0</v>
      </c>
      <c r="F39" s="94">
        <f>SUMIFS('caseload data'!H:H,'caseload data'!$D:$D,"PSO",'caseload data'!$C:$C,'divisional &amp; regional caseload'!$B$36)</f>
        <v>0</v>
      </c>
      <c r="G39" s="94">
        <f>SUMIFS('caseload data'!I:I,'caseload data'!$D:$D,"PSO",'caseload data'!$C:$C,'divisional &amp; regional caseload'!$B$36)</f>
        <v>0</v>
      </c>
      <c r="H39" s="94">
        <f>SUMIFS('caseload data'!J:J,'caseload data'!$D:$D,"PSO",'caseload data'!$C:$C,'divisional &amp; regional caseload'!$B$36)</f>
        <v>0</v>
      </c>
      <c r="I39" s="94">
        <f>SUMIFS('caseload data'!K:K,'caseload data'!$D:$D,"PSO",'caseload data'!$C:$C,'divisional &amp; regional caseload'!$B$36)</f>
        <v>0</v>
      </c>
      <c r="J39" s="94">
        <f>SUMIFS('caseload data'!L:L,'caseload data'!$D:$D,"PSO",'caseload data'!$C:$C,'divisional &amp; regional caseload'!$B$36)</f>
        <v>0</v>
      </c>
      <c r="K39" s="94">
        <f>SUMIFS('caseload data'!M:M,'caseload data'!$D:$D,"PSO",'caseload data'!$C:$C,'divisional &amp; regional caseload'!$B$36)</f>
        <v>0</v>
      </c>
      <c r="L39" s="94">
        <f>SUMIFS('caseload data'!N:N,'caseload data'!$D:$D,"PSO",'caseload data'!$C:$C,'divisional &amp; regional caseload'!$B$36)</f>
        <v>0</v>
      </c>
      <c r="M39" s="94">
        <f>SUMIFS('caseload data'!O:O,'caseload data'!$D:$D,"PSO",'caseload data'!$C:$C,'divisional &amp; regional caseload'!$B$36)</f>
        <v>0</v>
      </c>
      <c r="N39" s="94">
        <f>SUMIFS('caseload data'!P:P,'caseload data'!$D:$D,"PSO",'caseload data'!$C:$C,'divisional &amp; regional caseload'!$B$36)</f>
        <v>0</v>
      </c>
      <c r="O39" s="94">
        <f>SUMIFS('caseload data'!Q:Q,'caseload data'!$D:$D,"PSO",'caseload data'!$C:$C,'divisional &amp; regional caseload'!$B$36)</f>
        <v>0</v>
      </c>
      <c r="P39" s="94">
        <f>SUMIFS('caseload data'!R:R,'caseload data'!$D:$D,"PSO",'caseload data'!$C:$C,'divisional &amp; regional caseload'!$B$36)</f>
        <v>0</v>
      </c>
      <c r="Q39" s="94">
        <f>SUMIFS('caseload data'!S:S,'caseload data'!$D:$D,"PSO",'caseload data'!$C:$C,'divisional &amp; regional caseload'!$B$36)</f>
        <v>0</v>
      </c>
      <c r="R39" s="94">
        <f>SUMIFS('caseload data'!T:T,'caseload data'!$D:$D,"PSO",'caseload data'!$C:$C,'divisional &amp; regional caseload'!$B$36)</f>
        <v>0</v>
      </c>
      <c r="S39" s="91"/>
      <c r="T39" s="97" t="s">
        <v>952</v>
      </c>
      <c r="U39" s="94">
        <f>SUMIFS('caseload data'!E:E,'caseload data'!$D:$D,"PSO",'caseload data'!$C:$C,'divisional &amp; regional caseload'!$T$36)</f>
        <v>0</v>
      </c>
      <c r="V39" s="94">
        <f>SUMIFS('caseload data'!F:F,'caseload data'!$D:$D,"PSO",'caseload data'!$C:$C,'divisional &amp; regional caseload'!$T$36)</f>
        <v>0</v>
      </c>
      <c r="W39" s="94">
        <f>SUMIFS('caseload data'!G:G,'caseload data'!$D:$D,"PSO",'caseload data'!$C:$C,'divisional &amp; regional caseload'!$T$36)</f>
        <v>0</v>
      </c>
      <c r="X39" s="94">
        <f>SUMIFS('caseload data'!H:H,'caseload data'!$D:$D,"PSO",'caseload data'!$C:$C,'divisional &amp; regional caseload'!$T$36)</f>
        <v>0</v>
      </c>
      <c r="Y39" s="94">
        <f>SUMIFS('caseload data'!I:I,'caseload data'!$D:$D,"PSO",'caseload data'!$C:$C,'divisional &amp; regional caseload'!$T$36)</f>
        <v>0</v>
      </c>
      <c r="Z39" s="94">
        <f>SUMIFS('caseload data'!J:J,'caseload data'!$D:$D,"PSO",'caseload data'!$C:$C,'divisional &amp; regional caseload'!$T$36)</f>
        <v>0</v>
      </c>
      <c r="AA39" s="94">
        <f>SUMIFS('caseload data'!K:K,'caseload data'!$D:$D,"PSO",'caseload data'!$C:$C,'divisional &amp; regional caseload'!$T$36)</f>
        <v>0</v>
      </c>
      <c r="AB39" s="94">
        <f>SUMIFS('caseload data'!L:L,'caseload data'!$D:$D,"PSO",'caseload data'!$C:$C,'divisional &amp; regional caseload'!$T$36)</f>
        <v>0</v>
      </c>
      <c r="AC39" s="94">
        <f>SUMIFS('caseload data'!M:M,'caseload data'!$D:$D,"PSO",'caseload data'!$C:$C,'divisional &amp; regional caseload'!$T$36)</f>
        <v>0</v>
      </c>
      <c r="AD39" s="94">
        <f>SUMIFS('caseload data'!N:N,'caseload data'!$D:$D,"PSO",'caseload data'!$C:$C,'divisional &amp; regional caseload'!$T$36)</f>
        <v>0</v>
      </c>
      <c r="AE39" s="94">
        <f>SUMIFS('caseload data'!O:O,'caseload data'!$D:$D,"PSO",'caseload data'!$C:$C,'divisional &amp; regional caseload'!$T$36)</f>
        <v>0</v>
      </c>
      <c r="AF39" s="94">
        <f>SUMIFS('caseload data'!P:P,'caseload data'!$D:$D,"PSO",'caseload data'!$C:$C,'divisional &amp; regional caseload'!$T$36)</f>
        <v>0</v>
      </c>
      <c r="AG39" s="94">
        <f>SUMIFS('caseload data'!Q:Q,'caseload data'!$D:$D,"PSO",'caseload data'!$C:$C,'divisional &amp; regional caseload'!$T$36)</f>
        <v>0</v>
      </c>
      <c r="AH39" s="94">
        <f>SUMIFS('caseload data'!R:R,'caseload data'!$D:$D,"PSO",'caseload data'!$C:$C,'divisional &amp; regional caseload'!$T$36)</f>
        <v>0</v>
      </c>
      <c r="AI39" s="94">
        <f>SUMIFS('caseload data'!S:S,'caseload data'!$D:$D,"PSO",'caseload data'!$C:$C,'divisional &amp; regional caseload'!$T$36)</f>
        <v>0</v>
      </c>
      <c r="AJ39" s="94">
        <f>SUMIFS('caseload data'!T:T,'caseload data'!$D:$D,"PSO",'caseload data'!$C:$C,'divisional &amp; regional caseload'!$T$36)</f>
        <v>0</v>
      </c>
    </row>
    <row r="40" spans="2:36" x14ac:dyDescent="0.15">
      <c r="B40" s="97" t="s">
        <v>953</v>
      </c>
      <c r="C40" s="94">
        <f>SUMIFS('caseload data'!E:E,'caseload data'!$D:$D,"TPO",'caseload data'!$C:$C,'divisional &amp; regional caseload'!$B$36)</f>
        <v>0</v>
      </c>
      <c r="D40" s="94">
        <f>SUMIFS('caseload data'!F:F,'caseload data'!$D:$D,"TPO",'caseload data'!$C:$C,'divisional &amp; regional caseload'!$B$36)</f>
        <v>0</v>
      </c>
      <c r="E40" s="94">
        <f>SUMIFS('caseload data'!G:G,'caseload data'!$D:$D,"TPO",'caseload data'!$C:$C,'divisional &amp; regional caseload'!$B$36)</f>
        <v>0</v>
      </c>
      <c r="F40" s="94">
        <f>SUMIFS('caseload data'!H:H,'caseload data'!$D:$D,"TPO",'caseload data'!$C:$C,'divisional &amp; regional caseload'!$B$36)</f>
        <v>0</v>
      </c>
      <c r="G40" s="94">
        <f>SUMIFS('caseload data'!I:I,'caseload data'!$D:$D,"TPO",'caseload data'!$C:$C,'divisional &amp; regional caseload'!$B$36)</f>
        <v>0</v>
      </c>
      <c r="H40" s="94">
        <f>SUMIFS('caseload data'!J:J,'caseload data'!$D:$D,"TPO",'caseload data'!$C:$C,'divisional &amp; regional caseload'!$B$36)</f>
        <v>0</v>
      </c>
      <c r="I40" s="94">
        <f>SUMIFS('caseload data'!K:K,'caseload data'!$D:$D,"TPO",'caseload data'!$C:$C,'divisional &amp; regional caseload'!$B$36)</f>
        <v>0</v>
      </c>
      <c r="J40" s="94">
        <f>SUMIFS('caseload data'!L:L,'caseload data'!$D:$D,"TPO",'caseload data'!$C:$C,'divisional &amp; regional caseload'!$B$36)</f>
        <v>0</v>
      </c>
      <c r="K40" s="94">
        <f>SUMIFS('caseload data'!M:M,'caseload data'!$D:$D,"TPO",'caseload data'!$C:$C,'divisional &amp; regional caseload'!$B$36)</f>
        <v>0</v>
      </c>
      <c r="L40" s="94">
        <f>SUMIFS('caseload data'!N:N,'caseload data'!$D:$D,"TPO",'caseload data'!$C:$C,'divisional &amp; regional caseload'!$B$36)</f>
        <v>0</v>
      </c>
      <c r="M40" s="94">
        <f>SUMIFS('caseload data'!O:O,'caseload data'!$D:$D,"TPO",'caseload data'!$C:$C,'divisional &amp; regional caseload'!$B$36)</f>
        <v>0</v>
      </c>
      <c r="N40" s="94">
        <f>SUMIFS('caseload data'!P:P,'caseload data'!$D:$D,"TPO",'caseload data'!$C:$C,'divisional &amp; regional caseload'!$B$36)</f>
        <v>0</v>
      </c>
      <c r="O40" s="94">
        <f>SUMIFS('caseload data'!Q:Q,'caseload data'!$D:$D,"TPO",'caseload data'!$C:$C,'divisional &amp; regional caseload'!$B$36)</f>
        <v>0</v>
      </c>
      <c r="P40" s="94">
        <f>SUMIFS('caseload data'!R:R,'caseload data'!$D:$D,"TPO",'caseload data'!$C:$C,'divisional &amp; regional caseload'!$B$36)</f>
        <v>0</v>
      </c>
      <c r="Q40" s="94">
        <f>SUMIFS('caseload data'!S:S,'caseload data'!$D:$D,"TPO",'caseload data'!$C:$C,'divisional &amp; regional caseload'!$B$36)</f>
        <v>0</v>
      </c>
      <c r="R40" s="94">
        <f>SUMIFS('caseload data'!T:T,'caseload data'!$D:$D,"TPO",'caseload data'!$C:$C,'divisional &amp; regional caseload'!$B$36)</f>
        <v>0</v>
      </c>
      <c r="S40" s="91"/>
      <c r="T40" s="97" t="s">
        <v>953</v>
      </c>
      <c r="U40" s="94">
        <f>SUMIFS('caseload data'!E:E,'caseload data'!$D:$D,"TPO",'caseload data'!$C:$C,'divisional &amp; regional caseload'!$T$36)</f>
        <v>0</v>
      </c>
      <c r="V40" s="94">
        <f>SUMIFS('caseload data'!F:F,'caseload data'!$D:$D,"TPO",'caseload data'!$C:$C,'divisional &amp; regional caseload'!$T$36)</f>
        <v>0</v>
      </c>
      <c r="W40" s="94">
        <f>SUMIFS('caseload data'!G:G,'caseload data'!$D:$D,"TPO",'caseload data'!$C:$C,'divisional &amp; regional caseload'!$T$36)</f>
        <v>0</v>
      </c>
      <c r="X40" s="94">
        <f>SUMIFS('caseload data'!H:H,'caseload data'!$D:$D,"TPO",'caseload data'!$C:$C,'divisional &amp; regional caseload'!$T$36)</f>
        <v>0</v>
      </c>
      <c r="Y40" s="94">
        <f>SUMIFS('caseload data'!I:I,'caseload data'!$D:$D,"TPO",'caseload data'!$C:$C,'divisional &amp; regional caseload'!$T$36)</f>
        <v>0</v>
      </c>
      <c r="Z40" s="94">
        <f>SUMIFS('caseload data'!J:J,'caseload data'!$D:$D,"TPO",'caseload data'!$C:$C,'divisional &amp; regional caseload'!$T$36)</f>
        <v>0</v>
      </c>
      <c r="AA40" s="94">
        <f>SUMIFS('caseload data'!K:K,'caseload data'!$D:$D,"TPO",'caseload data'!$C:$C,'divisional &amp; regional caseload'!$T$36)</f>
        <v>0</v>
      </c>
      <c r="AB40" s="94">
        <f>SUMIFS('caseload data'!L:L,'caseload data'!$D:$D,"TPO",'caseload data'!$C:$C,'divisional &amp; regional caseload'!$T$36)</f>
        <v>0</v>
      </c>
      <c r="AC40" s="94">
        <f>SUMIFS('caseload data'!M:M,'caseload data'!$D:$D,"TPO",'caseload data'!$C:$C,'divisional &amp; regional caseload'!$T$36)</f>
        <v>0</v>
      </c>
      <c r="AD40" s="94">
        <f>SUMIFS('caseload data'!N:N,'caseload data'!$D:$D,"TPO",'caseload data'!$C:$C,'divisional &amp; regional caseload'!$T$36)</f>
        <v>0</v>
      </c>
      <c r="AE40" s="94">
        <f>SUMIFS('caseload data'!O:O,'caseload data'!$D:$D,"TPO",'caseload data'!$C:$C,'divisional &amp; regional caseload'!$T$36)</f>
        <v>0</v>
      </c>
      <c r="AF40" s="94">
        <f>SUMIFS('caseload data'!P:P,'caseload data'!$D:$D,"TPO",'caseload data'!$C:$C,'divisional &amp; regional caseload'!$T$36)</f>
        <v>0</v>
      </c>
      <c r="AG40" s="94">
        <f>SUMIFS('caseload data'!Q:Q,'caseload data'!$D:$D,"TPO",'caseload data'!$C:$C,'divisional &amp; regional caseload'!$T$36)</f>
        <v>0</v>
      </c>
      <c r="AH40" s="94">
        <f>SUMIFS('caseload data'!R:R,'caseload data'!$D:$D,"TPO",'caseload data'!$C:$C,'divisional &amp; regional caseload'!$T$36)</f>
        <v>0</v>
      </c>
      <c r="AI40" s="94">
        <f>SUMIFS('caseload data'!S:S,'caseload data'!$D:$D,"TPO",'caseload data'!$C:$C,'divisional &amp; regional caseload'!$T$36)</f>
        <v>0</v>
      </c>
      <c r="AJ40" s="94">
        <f>SUMIFS('caseload data'!T:T,'caseload data'!$D:$D,"TPO",'caseload data'!$C:$C,'divisional &amp; regional caseload'!$T$36)</f>
        <v>0</v>
      </c>
    </row>
    <row r="41" spans="2:36" x14ac:dyDescent="0.15">
      <c r="B41" s="98" t="s">
        <v>954</v>
      </c>
      <c r="C41" s="94">
        <f>SUMIFS('caseload data'!E:E,'caseload data'!$D:$D,"SPO",'caseload data'!$C:$C,'divisional &amp; regional caseload'!$B$36)</f>
        <v>0</v>
      </c>
      <c r="D41" s="94">
        <f>SUMIFS('caseload data'!F:F,'caseload data'!$D:$D,"SPO",'caseload data'!$C:$C,'divisional &amp; regional caseload'!$B$36)</f>
        <v>0</v>
      </c>
      <c r="E41" s="94">
        <f>SUMIFS('caseload data'!G:G,'caseload data'!$D:$D,"SPO",'caseload data'!$C:$C,'divisional &amp; regional caseload'!$B$36)</f>
        <v>0</v>
      </c>
      <c r="F41" s="94">
        <f>SUMIFS('caseload data'!H:H,'caseload data'!$D:$D,"SPO",'caseload data'!$C:$C,'divisional &amp; regional caseload'!$B$36)</f>
        <v>0</v>
      </c>
      <c r="G41" s="94">
        <f>SUMIFS('caseload data'!I:I,'caseload data'!$D:$D,"SPO",'caseload data'!$C:$C,'divisional &amp; regional caseload'!$B$36)</f>
        <v>0</v>
      </c>
      <c r="H41" s="94">
        <f>SUMIFS('caseload data'!J:J,'caseload data'!$D:$D,"SPO",'caseload data'!$C:$C,'divisional &amp; regional caseload'!$B$36)</f>
        <v>0</v>
      </c>
      <c r="I41" s="94">
        <f>SUMIFS('caseload data'!K:K,'caseload data'!$D:$D,"SPO",'caseload data'!$C:$C,'divisional &amp; regional caseload'!$B$36)</f>
        <v>0</v>
      </c>
      <c r="J41" s="94">
        <f>SUMIFS('caseload data'!L:L,'caseload data'!$D:$D,"SPO",'caseload data'!$C:$C,'divisional &amp; regional caseload'!$B$36)</f>
        <v>0</v>
      </c>
      <c r="K41" s="94">
        <f>SUMIFS('caseload data'!M:M,'caseload data'!$D:$D,"SPO",'caseload data'!$C:$C,'divisional &amp; regional caseload'!$B$36)</f>
        <v>0</v>
      </c>
      <c r="L41" s="94">
        <f>SUMIFS('caseload data'!N:N,'caseload data'!$D:$D,"SPO",'caseload data'!$C:$C,'divisional &amp; regional caseload'!$B$36)</f>
        <v>0</v>
      </c>
      <c r="M41" s="94">
        <f>SUMIFS('caseload data'!O:O,'caseload data'!$D:$D,"SPO",'caseload data'!$C:$C,'divisional &amp; regional caseload'!$B$36)</f>
        <v>0</v>
      </c>
      <c r="N41" s="94">
        <f>SUMIFS('caseload data'!P:P,'caseload data'!$D:$D,"SPO",'caseload data'!$C:$C,'divisional &amp; regional caseload'!$B$36)</f>
        <v>0</v>
      </c>
      <c r="O41" s="94">
        <f>SUMIFS('caseload data'!Q:Q,'caseload data'!$D:$D,"SPO",'caseload data'!$C:$C,'divisional &amp; regional caseload'!$B$36)</f>
        <v>0</v>
      </c>
      <c r="P41" s="94">
        <f>SUMIFS('caseload data'!R:R,'caseload data'!$D:$D,"SPO",'caseload data'!$C:$C,'divisional &amp; regional caseload'!$B$36)</f>
        <v>0</v>
      </c>
      <c r="Q41" s="94">
        <f>SUMIFS('caseload data'!S:S,'caseload data'!$D:$D,"SPO",'caseload data'!$C:$C,'divisional &amp; regional caseload'!$B$36)</f>
        <v>0</v>
      </c>
      <c r="R41" s="94">
        <f>SUMIFS('caseload data'!T:T,'caseload data'!$D:$D,"SPO",'caseload data'!$C:$C,'divisional &amp; regional caseload'!$B$36)</f>
        <v>0</v>
      </c>
      <c r="S41" s="91"/>
      <c r="T41" s="98" t="s">
        <v>954</v>
      </c>
      <c r="U41" s="94">
        <f>SUMIFS('caseload data'!E:E,'caseload data'!$D:$D,"SPO",'caseload data'!$C:$C,'divisional &amp; regional caseload'!$T$36)</f>
        <v>0</v>
      </c>
      <c r="V41" s="94">
        <f>SUMIFS('caseload data'!F:F,'caseload data'!$D:$D,"SPO",'caseload data'!$C:$C,'divisional &amp; regional caseload'!$T$36)</f>
        <v>0</v>
      </c>
      <c r="W41" s="94">
        <f>SUMIFS('caseload data'!G:G,'caseload data'!$D:$D,"SPO",'caseload data'!$C:$C,'divisional &amp; regional caseload'!$T$36)</f>
        <v>0</v>
      </c>
      <c r="X41" s="94">
        <f>SUMIFS('caseload data'!H:H,'caseload data'!$D:$D,"SPO",'caseload data'!$C:$C,'divisional &amp; regional caseload'!$T$36)</f>
        <v>0</v>
      </c>
      <c r="Y41" s="94">
        <f>SUMIFS('caseload data'!I:I,'caseload data'!$D:$D,"SPO",'caseload data'!$C:$C,'divisional &amp; regional caseload'!$T$36)</f>
        <v>0</v>
      </c>
      <c r="Z41" s="94">
        <f>SUMIFS('caseload data'!J:J,'caseload data'!$D:$D,"SPO",'caseload data'!$C:$C,'divisional &amp; regional caseload'!$T$36)</f>
        <v>0</v>
      </c>
      <c r="AA41" s="94">
        <f>SUMIFS('caseload data'!K:K,'caseload data'!$D:$D,"SPO",'caseload data'!$C:$C,'divisional &amp; regional caseload'!$T$36)</f>
        <v>0</v>
      </c>
      <c r="AB41" s="94">
        <f>SUMIFS('caseload data'!L:L,'caseload data'!$D:$D,"SPO",'caseload data'!$C:$C,'divisional &amp; regional caseload'!$T$36)</f>
        <v>0</v>
      </c>
      <c r="AC41" s="94">
        <f>SUMIFS('caseload data'!M:M,'caseload data'!$D:$D,"SPO",'caseload data'!$C:$C,'divisional &amp; regional caseload'!$T$36)</f>
        <v>0</v>
      </c>
      <c r="AD41" s="94">
        <f>SUMIFS('caseload data'!N:N,'caseload data'!$D:$D,"SPO",'caseload data'!$C:$C,'divisional &amp; regional caseload'!$T$36)</f>
        <v>0</v>
      </c>
      <c r="AE41" s="94">
        <f>SUMIFS('caseload data'!O:O,'caseload data'!$D:$D,"SPO",'caseload data'!$C:$C,'divisional &amp; regional caseload'!$T$36)</f>
        <v>0</v>
      </c>
      <c r="AF41" s="94">
        <f>SUMIFS('caseload data'!P:P,'caseload data'!$D:$D,"SPO",'caseload data'!$C:$C,'divisional &amp; regional caseload'!$T$36)</f>
        <v>0</v>
      </c>
      <c r="AG41" s="94">
        <f>SUMIFS('caseload data'!Q:Q,'caseload data'!$D:$D,"SPO",'caseload data'!$C:$C,'divisional &amp; regional caseload'!$T$36)</f>
        <v>0</v>
      </c>
      <c r="AH41" s="94">
        <f>SUMIFS('caseload data'!R:R,'caseload data'!$D:$D,"SPO",'caseload data'!$C:$C,'divisional &amp; regional caseload'!$T$36)</f>
        <v>0</v>
      </c>
      <c r="AI41" s="94">
        <f>SUMIFS('caseload data'!S:S,'caseload data'!$D:$D,"SPO",'caseload data'!$C:$C,'divisional &amp; regional caseload'!$T$36)</f>
        <v>0</v>
      </c>
      <c r="AJ41" s="94">
        <f>SUMIFS('caseload data'!T:T,'caseload data'!$D:$D,"SPO",'caseload data'!$C:$C,'divisional &amp; regional caseload'!$T$36)</f>
        <v>0</v>
      </c>
    </row>
    <row r="42" spans="2:36" x14ac:dyDescent="0.15">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2:36" ht="34.5" customHeight="1" x14ac:dyDescent="0.15">
      <c r="B43" s="288" t="str">
        <f>HLOOKUP($B$5,Region_Table,12,0)</f>
        <v>Unpaid Work and Attendance Centres - N54</v>
      </c>
      <c r="C43" s="548" t="s">
        <v>1041</v>
      </c>
      <c r="D43" s="549"/>
      <c r="E43" s="549"/>
      <c r="F43" s="549"/>
      <c r="G43" s="549"/>
      <c r="H43" s="549"/>
      <c r="I43" s="549"/>
      <c r="J43" s="549"/>
      <c r="K43" s="549"/>
      <c r="L43" s="549"/>
      <c r="M43" s="553"/>
      <c r="N43" s="553"/>
      <c r="O43" s="554"/>
      <c r="P43" s="543">
        <f>SUMIF('caseload data'!$C:$C,'divisional &amp; regional caseload'!B43,'caseload data'!V:V)</f>
        <v>0</v>
      </c>
      <c r="Q43" s="544"/>
      <c r="R43" s="545"/>
      <c r="S43" s="91"/>
      <c r="T43" s="288">
        <f>HLOOKUP($B$5,Region_Table,13,0)</f>
        <v>0</v>
      </c>
      <c r="U43" s="548" t="s">
        <v>1039</v>
      </c>
      <c r="V43" s="549"/>
      <c r="W43" s="549"/>
      <c r="X43" s="549"/>
      <c r="Y43" s="549"/>
      <c r="Z43" s="549"/>
      <c r="AA43" s="549"/>
      <c r="AB43" s="549"/>
      <c r="AC43" s="549"/>
      <c r="AD43" s="549"/>
      <c r="AE43" s="549"/>
      <c r="AF43" s="549"/>
      <c r="AG43" s="550"/>
      <c r="AH43" s="543">
        <f>SUMIF('caseload data'!$C:$C,'divisional &amp; regional caseload'!T43,'caseload data'!V:V)</f>
        <v>0</v>
      </c>
      <c r="AI43" s="544"/>
      <c r="AJ43" s="545"/>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91"/>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94">
        <f>SUMIFS('caseload data'!E:E,'caseload data'!$D:$D,"PO",'caseload data'!$C:$C,'divisional &amp; regional caseload'!$B$43)</f>
        <v>0</v>
      </c>
      <c r="D45" s="94">
        <f>SUMIFS('caseload data'!F:F,'caseload data'!$D:$D,"PO",'caseload data'!$C:$C,'divisional &amp; regional caseload'!$B$43)</f>
        <v>0</v>
      </c>
      <c r="E45" s="94">
        <f>SUMIFS('caseload data'!G:G,'caseload data'!$D:$D,"PO",'caseload data'!$C:$C,'divisional &amp; regional caseload'!$B$43)</f>
        <v>0</v>
      </c>
      <c r="F45" s="94">
        <f>SUMIFS('caseload data'!H:H,'caseload data'!$D:$D,"PO",'caseload data'!$C:$C,'divisional &amp; regional caseload'!$B$43)</f>
        <v>0</v>
      </c>
      <c r="G45" s="94">
        <f>SUMIFS('caseload data'!I:I,'caseload data'!$D:$D,"PO",'caseload data'!$C:$C,'divisional &amp; regional caseload'!$B$43)</f>
        <v>0</v>
      </c>
      <c r="H45" s="94">
        <f>SUMIFS('caseload data'!J:J,'caseload data'!$D:$D,"PO",'caseload data'!$C:$C,'divisional &amp; regional caseload'!$B$43)</f>
        <v>0</v>
      </c>
      <c r="I45" s="94">
        <f>SUMIFS('caseload data'!K:K,'caseload data'!$D:$D,"PO",'caseload data'!$C:$C,'divisional &amp; regional caseload'!$B$43)</f>
        <v>0</v>
      </c>
      <c r="J45" s="94">
        <f>SUMIFS('caseload data'!L:L,'caseload data'!$D:$D,"PO",'caseload data'!$C:$C,'divisional &amp; regional caseload'!$B$43)</f>
        <v>0</v>
      </c>
      <c r="K45" s="94">
        <f>SUMIFS('caseload data'!M:M,'caseload data'!$D:$D,"PO",'caseload data'!$C:$C,'divisional &amp; regional caseload'!$B$43)</f>
        <v>0</v>
      </c>
      <c r="L45" s="94">
        <f>SUMIFS('caseload data'!N:N,'caseload data'!$D:$D,"PO",'caseload data'!$C:$C,'divisional &amp; regional caseload'!$B$43)</f>
        <v>0</v>
      </c>
      <c r="M45" s="94">
        <f>SUMIFS('caseload data'!O:O,'caseload data'!$D:$D,"PO",'caseload data'!$C:$C,'divisional &amp; regional caseload'!$B$43)</f>
        <v>0</v>
      </c>
      <c r="N45" s="94">
        <f>SUMIFS('caseload data'!P:P,'caseload data'!$D:$D,"PO",'caseload data'!$C:$C,'divisional &amp; regional caseload'!$B$43)</f>
        <v>0</v>
      </c>
      <c r="O45" s="94">
        <f>SUMIFS('caseload data'!Q:Q,'caseload data'!$D:$D,"PO",'caseload data'!$C:$C,'divisional &amp; regional caseload'!$B$43)</f>
        <v>0</v>
      </c>
      <c r="P45" s="94">
        <f>SUMIFS('caseload data'!R:R,'caseload data'!$D:$D,"PO",'caseload data'!$C:$C,'divisional &amp; regional caseload'!$B$43)</f>
        <v>0</v>
      </c>
      <c r="Q45" s="94">
        <f>SUMIFS('caseload data'!S:S,'caseload data'!$D:$D,"PO",'caseload data'!$C:$C,'divisional &amp; regional caseload'!$B$43)</f>
        <v>0</v>
      </c>
      <c r="R45" s="94">
        <f>SUMIFS('caseload data'!T:T,'caseload data'!$D:$D,"PO",'caseload data'!$C:$C,'divisional &amp; regional caseload'!$B$43)</f>
        <v>0</v>
      </c>
      <c r="S45" s="91"/>
      <c r="T45" s="96" t="s">
        <v>947</v>
      </c>
      <c r="U45" s="94">
        <f>SUMIFS('caseload data'!E:E,'caseload data'!$D:$D,"PO",'caseload data'!$C:$C,'divisional &amp; regional caseload'!$T$43)</f>
        <v>0</v>
      </c>
      <c r="V45" s="94">
        <f>SUMIFS('caseload data'!F:F,'caseload data'!$D:$D,"PO",'caseload data'!$C:$C,'divisional &amp; regional caseload'!$T$43)</f>
        <v>0</v>
      </c>
      <c r="W45" s="94">
        <f>SUMIFS('caseload data'!G:G,'caseload data'!$D:$D,"PO",'caseload data'!$C:$C,'divisional &amp; regional caseload'!$T$43)</f>
        <v>0</v>
      </c>
      <c r="X45" s="94">
        <f>SUMIFS('caseload data'!H:H,'caseload data'!$D:$D,"PO",'caseload data'!$C:$C,'divisional &amp; regional caseload'!$T$43)</f>
        <v>0</v>
      </c>
      <c r="Y45" s="94">
        <f>SUMIFS('caseload data'!I:I,'caseload data'!$D:$D,"PO",'caseload data'!$C:$C,'divisional &amp; regional caseload'!$T$43)</f>
        <v>0</v>
      </c>
      <c r="Z45" s="94">
        <f>SUMIFS('caseload data'!J:J,'caseload data'!$D:$D,"PO",'caseload data'!$C:$C,'divisional &amp; regional caseload'!$T$43)</f>
        <v>0</v>
      </c>
      <c r="AA45" s="94">
        <f>SUMIFS('caseload data'!K:K,'caseload data'!$D:$D,"PO",'caseload data'!$C:$C,'divisional &amp; regional caseload'!$T$43)</f>
        <v>0</v>
      </c>
      <c r="AB45" s="94">
        <f>SUMIFS('caseload data'!L:L,'caseload data'!$D:$D,"PO",'caseload data'!$C:$C,'divisional &amp; regional caseload'!$T$43)</f>
        <v>0</v>
      </c>
      <c r="AC45" s="94">
        <f>SUMIFS('caseload data'!M:M,'caseload data'!$D:$D,"PO",'caseload data'!$C:$C,'divisional &amp; regional caseload'!$T$43)</f>
        <v>0</v>
      </c>
      <c r="AD45" s="94">
        <f>SUMIFS('caseload data'!N:N,'caseload data'!$D:$D,"PO",'caseload data'!$C:$C,'divisional &amp; regional caseload'!$T$43)</f>
        <v>0</v>
      </c>
      <c r="AE45" s="94">
        <f>SUMIFS('caseload data'!O:O,'caseload data'!$D:$D,"PO",'caseload data'!$C:$C,'divisional &amp; regional caseload'!$T$43)</f>
        <v>0</v>
      </c>
      <c r="AF45" s="94">
        <f>SUMIFS('caseload data'!P:P,'caseload data'!$D:$D,"PO",'caseload data'!$C:$C,'divisional &amp; regional caseload'!$T$43)</f>
        <v>0</v>
      </c>
      <c r="AG45" s="94">
        <f>SUMIFS('caseload data'!Q:Q,'caseload data'!$D:$D,"PO",'caseload data'!$C:$C,'divisional &amp; regional caseload'!$T$43)</f>
        <v>0</v>
      </c>
      <c r="AH45" s="94">
        <f>SUMIFS('caseload data'!R:R,'caseload data'!$D:$D,"PO",'caseload data'!$C:$C,'divisional &amp; regional caseload'!$T$43)</f>
        <v>0</v>
      </c>
      <c r="AI45" s="94">
        <f>SUMIFS('caseload data'!S:S,'caseload data'!$D:$D,"PO",'caseload data'!$C:$C,'divisional &amp; regional caseload'!$T$43)</f>
        <v>0</v>
      </c>
      <c r="AJ45" s="94">
        <f>SUMIFS('caseload data'!T:T,'caseload data'!$D:$D,"PO",'caseload data'!$C:$C,'divisional &amp; regional caseload'!$T$43)</f>
        <v>0</v>
      </c>
    </row>
    <row r="46" spans="2:36" x14ac:dyDescent="0.15">
      <c r="B46" s="97" t="s">
        <v>952</v>
      </c>
      <c r="C46" s="94">
        <f>SUMIFS('caseload data'!E:E,'caseload data'!$D:$D,"PSO",'caseload data'!$C:$C,'divisional &amp; regional caseload'!$B$43)</f>
        <v>0</v>
      </c>
      <c r="D46" s="94">
        <f>SUMIFS('caseload data'!F:F,'caseload data'!$D:$D,"PSO",'caseload data'!$C:$C,'divisional &amp; regional caseload'!$B$43)</f>
        <v>0</v>
      </c>
      <c r="E46" s="94">
        <f>SUMIFS('caseload data'!G:G,'caseload data'!$D:$D,"PSO",'caseload data'!$C:$C,'divisional &amp; regional caseload'!$B$43)</f>
        <v>0</v>
      </c>
      <c r="F46" s="94">
        <f>SUMIFS('caseload data'!H:H,'caseload data'!$D:$D,"PSO",'caseload data'!$C:$C,'divisional &amp; regional caseload'!$B$43)</f>
        <v>0</v>
      </c>
      <c r="G46" s="94">
        <f>SUMIFS('caseload data'!I:I,'caseload data'!$D:$D,"PSO",'caseload data'!$C:$C,'divisional &amp; regional caseload'!$B$43)</f>
        <v>0</v>
      </c>
      <c r="H46" s="94">
        <f>SUMIFS('caseload data'!J:J,'caseload data'!$D:$D,"PSO",'caseload data'!$C:$C,'divisional &amp; regional caseload'!$B$43)</f>
        <v>0</v>
      </c>
      <c r="I46" s="94">
        <f>SUMIFS('caseload data'!K:K,'caseload data'!$D:$D,"PSO",'caseload data'!$C:$C,'divisional &amp; regional caseload'!$B$43)</f>
        <v>0</v>
      </c>
      <c r="J46" s="94">
        <f>SUMIFS('caseload data'!L:L,'caseload data'!$D:$D,"PSO",'caseload data'!$C:$C,'divisional &amp; regional caseload'!$B$43)</f>
        <v>0</v>
      </c>
      <c r="K46" s="94">
        <f>SUMIFS('caseload data'!M:M,'caseload data'!$D:$D,"PSO",'caseload data'!$C:$C,'divisional &amp; regional caseload'!$B$43)</f>
        <v>0</v>
      </c>
      <c r="L46" s="94">
        <f>SUMIFS('caseload data'!N:N,'caseload data'!$D:$D,"PSO",'caseload data'!$C:$C,'divisional &amp; regional caseload'!$B$43)</f>
        <v>0</v>
      </c>
      <c r="M46" s="94">
        <f>SUMIFS('caseload data'!O:O,'caseload data'!$D:$D,"PSO",'caseload data'!$C:$C,'divisional &amp; regional caseload'!$B$43)</f>
        <v>0</v>
      </c>
      <c r="N46" s="94">
        <f>SUMIFS('caseload data'!P:P,'caseload data'!$D:$D,"PSO",'caseload data'!$C:$C,'divisional &amp; regional caseload'!$B$43)</f>
        <v>0</v>
      </c>
      <c r="O46" s="94">
        <f>SUMIFS('caseload data'!Q:Q,'caseload data'!$D:$D,"PSO",'caseload data'!$C:$C,'divisional &amp; regional caseload'!$B$43)</f>
        <v>0</v>
      </c>
      <c r="P46" s="94">
        <f>SUMIFS('caseload data'!R:R,'caseload data'!$D:$D,"PSO",'caseload data'!$C:$C,'divisional &amp; regional caseload'!$B$43)</f>
        <v>0</v>
      </c>
      <c r="Q46" s="94">
        <f>SUMIFS('caseload data'!S:S,'caseload data'!$D:$D,"PSO",'caseload data'!$C:$C,'divisional &amp; regional caseload'!$B$43)</f>
        <v>0</v>
      </c>
      <c r="R46" s="94">
        <f>SUMIFS('caseload data'!T:T,'caseload data'!$D:$D,"PSO",'caseload data'!$C:$C,'divisional &amp; regional caseload'!$B$43)</f>
        <v>0</v>
      </c>
      <c r="S46" s="91"/>
      <c r="T46" s="97" t="s">
        <v>952</v>
      </c>
      <c r="U46" s="94">
        <f>SUMIFS('caseload data'!E:E,'caseload data'!$D:$D,"PSO",'caseload data'!$C:$C,'divisional &amp; regional caseload'!$T$43)</f>
        <v>0</v>
      </c>
      <c r="V46" s="94">
        <f>SUMIFS('caseload data'!F:F,'caseload data'!$D:$D,"PSO",'caseload data'!$C:$C,'divisional &amp; regional caseload'!$T$43)</f>
        <v>0</v>
      </c>
      <c r="W46" s="94">
        <f>SUMIFS('caseload data'!G:G,'caseload data'!$D:$D,"PSO",'caseload data'!$C:$C,'divisional &amp; regional caseload'!$T$43)</f>
        <v>0</v>
      </c>
      <c r="X46" s="94">
        <f>SUMIFS('caseload data'!H:H,'caseload data'!$D:$D,"PSO",'caseload data'!$C:$C,'divisional &amp; regional caseload'!$T$43)</f>
        <v>0</v>
      </c>
      <c r="Y46" s="94">
        <f>SUMIFS('caseload data'!I:I,'caseload data'!$D:$D,"PSO",'caseload data'!$C:$C,'divisional &amp; regional caseload'!$T$43)</f>
        <v>0</v>
      </c>
      <c r="Z46" s="94">
        <f>SUMIFS('caseload data'!J:J,'caseload data'!$D:$D,"PSO",'caseload data'!$C:$C,'divisional &amp; regional caseload'!$T$43)</f>
        <v>0</v>
      </c>
      <c r="AA46" s="94">
        <f>SUMIFS('caseload data'!K:K,'caseload data'!$D:$D,"PSO",'caseload data'!$C:$C,'divisional &amp; regional caseload'!$T$43)</f>
        <v>0</v>
      </c>
      <c r="AB46" s="94">
        <f>SUMIFS('caseload data'!L:L,'caseload data'!$D:$D,"PSO",'caseload data'!$C:$C,'divisional &amp; regional caseload'!$T$43)</f>
        <v>0</v>
      </c>
      <c r="AC46" s="94">
        <f>SUMIFS('caseload data'!M:M,'caseload data'!$D:$D,"PSO",'caseload data'!$C:$C,'divisional &amp; regional caseload'!$T$43)</f>
        <v>0</v>
      </c>
      <c r="AD46" s="94">
        <f>SUMIFS('caseload data'!N:N,'caseload data'!$D:$D,"PSO",'caseload data'!$C:$C,'divisional &amp; regional caseload'!$T$43)</f>
        <v>0</v>
      </c>
      <c r="AE46" s="94">
        <f>SUMIFS('caseload data'!O:O,'caseload data'!$D:$D,"PSO",'caseload data'!$C:$C,'divisional &amp; regional caseload'!$T$43)</f>
        <v>0</v>
      </c>
      <c r="AF46" s="94">
        <f>SUMIFS('caseload data'!P:P,'caseload data'!$D:$D,"PSO",'caseload data'!$C:$C,'divisional &amp; regional caseload'!$T$43)</f>
        <v>0</v>
      </c>
      <c r="AG46" s="94">
        <f>SUMIFS('caseload data'!Q:Q,'caseload data'!$D:$D,"PSO",'caseload data'!$C:$C,'divisional &amp; regional caseload'!$T$43)</f>
        <v>0</v>
      </c>
      <c r="AH46" s="94">
        <f>SUMIFS('caseload data'!R:R,'caseload data'!$D:$D,"PSO",'caseload data'!$C:$C,'divisional &amp; regional caseload'!$T$43)</f>
        <v>0</v>
      </c>
      <c r="AI46" s="94">
        <f>SUMIFS('caseload data'!S:S,'caseload data'!$D:$D,"PSO",'caseload data'!$C:$C,'divisional &amp; regional caseload'!$T$43)</f>
        <v>0</v>
      </c>
      <c r="AJ46" s="94">
        <f>SUMIFS('caseload data'!T:T,'caseload data'!$D:$D,"PSO",'caseload data'!$C:$C,'divisional &amp; regional caseload'!$T$43)</f>
        <v>0</v>
      </c>
    </row>
    <row r="47" spans="2:36" x14ac:dyDescent="0.15">
      <c r="B47" s="97" t="s">
        <v>953</v>
      </c>
      <c r="C47" s="94">
        <f>SUMIFS('caseload data'!E:E,'caseload data'!$D:$D,"TPO",'caseload data'!$C:$C,'divisional &amp; regional caseload'!$B$43)</f>
        <v>0</v>
      </c>
      <c r="D47" s="94">
        <f>SUMIFS('caseload data'!F:F,'caseload data'!$D:$D,"TPO",'caseload data'!$C:$C,'divisional &amp; regional caseload'!$B$43)</f>
        <v>0</v>
      </c>
      <c r="E47" s="94">
        <f>SUMIFS('caseload data'!G:G,'caseload data'!$D:$D,"TPO",'caseload data'!$C:$C,'divisional &amp; regional caseload'!$B$43)</f>
        <v>0</v>
      </c>
      <c r="F47" s="94">
        <f>SUMIFS('caseload data'!H:H,'caseload data'!$D:$D,"TPO",'caseload data'!$C:$C,'divisional &amp; regional caseload'!$B$43)</f>
        <v>0</v>
      </c>
      <c r="G47" s="94">
        <f>SUMIFS('caseload data'!I:I,'caseload data'!$D:$D,"TPO",'caseload data'!$C:$C,'divisional &amp; regional caseload'!$B$43)</f>
        <v>0</v>
      </c>
      <c r="H47" s="94">
        <f>SUMIFS('caseload data'!J:J,'caseload data'!$D:$D,"TPO",'caseload data'!$C:$C,'divisional &amp; regional caseload'!$B$43)</f>
        <v>0</v>
      </c>
      <c r="I47" s="94">
        <f>SUMIFS('caseload data'!K:K,'caseload data'!$D:$D,"TPO",'caseload data'!$C:$C,'divisional &amp; regional caseload'!$B$43)</f>
        <v>0</v>
      </c>
      <c r="J47" s="94">
        <f>SUMIFS('caseload data'!L:L,'caseload data'!$D:$D,"TPO",'caseload data'!$C:$C,'divisional &amp; regional caseload'!$B$43)</f>
        <v>0</v>
      </c>
      <c r="K47" s="94">
        <f>SUMIFS('caseload data'!M:M,'caseload data'!$D:$D,"TPO",'caseload data'!$C:$C,'divisional &amp; regional caseload'!$B$43)</f>
        <v>0</v>
      </c>
      <c r="L47" s="94">
        <f>SUMIFS('caseload data'!N:N,'caseload data'!$D:$D,"TPO",'caseload data'!$C:$C,'divisional &amp; regional caseload'!$B$43)</f>
        <v>0</v>
      </c>
      <c r="M47" s="94">
        <f>SUMIFS('caseload data'!O:O,'caseload data'!$D:$D,"TPO",'caseload data'!$C:$C,'divisional &amp; regional caseload'!$B$43)</f>
        <v>0</v>
      </c>
      <c r="N47" s="94">
        <f>SUMIFS('caseload data'!P:P,'caseload data'!$D:$D,"TPO",'caseload data'!$C:$C,'divisional &amp; regional caseload'!$B$43)</f>
        <v>0</v>
      </c>
      <c r="O47" s="94">
        <f>SUMIFS('caseload data'!Q:Q,'caseload data'!$D:$D,"TPO",'caseload data'!$C:$C,'divisional &amp; regional caseload'!$B$43)</f>
        <v>0</v>
      </c>
      <c r="P47" s="94">
        <f>SUMIFS('caseload data'!R:R,'caseload data'!$D:$D,"TPO",'caseload data'!$C:$C,'divisional &amp; regional caseload'!$B$43)</f>
        <v>0</v>
      </c>
      <c r="Q47" s="94">
        <f>SUMIFS('caseload data'!S:S,'caseload data'!$D:$D,"TPO",'caseload data'!$C:$C,'divisional &amp; regional caseload'!$B$43)</f>
        <v>0</v>
      </c>
      <c r="R47" s="94">
        <f>SUMIFS('caseload data'!T:T,'caseload data'!$D:$D,"TPO",'caseload data'!$C:$C,'divisional &amp; regional caseload'!$B$43)</f>
        <v>0</v>
      </c>
      <c r="S47" s="91"/>
      <c r="T47" s="97" t="s">
        <v>953</v>
      </c>
      <c r="U47" s="94">
        <f>SUMIFS('caseload data'!E:E,'caseload data'!$D:$D,"TPO",'caseload data'!$C:$C,'divisional &amp; regional caseload'!$T$43)</f>
        <v>0</v>
      </c>
      <c r="V47" s="94">
        <f>SUMIFS('caseload data'!F:F,'caseload data'!$D:$D,"TPO",'caseload data'!$C:$C,'divisional &amp; regional caseload'!$T$43)</f>
        <v>0</v>
      </c>
      <c r="W47" s="94">
        <f>SUMIFS('caseload data'!G:G,'caseload data'!$D:$D,"TPO",'caseload data'!$C:$C,'divisional &amp; regional caseload'!$T$43)</f>
        <v>0</v>
      </c>
      <c r="X47" s="94">
        <f>SUMIFS('caseload data'!H:H,'caseload data'!$D:$D,"TPO",'caseload data'!$C:$C,'divisional &amp; regional caseload'!$T$43)</f>
        <v>0</v>
      </c>
      <c r="Y47" s="94">
        <f>SUMIFS('caseload data'!I:I,'caseload data'!$D:$D,"TPO",'caseload data'!$C:$C,'divisional &amp; regional caseload'!$T$43)</f>
        <v>0</v>
      </c>
      <c r="Z47" s="94">
        <f>SUMIFS('caseload data'!J:J,'caseload data'!$D:$D,"TPO",'caseload data'!$C:$C,'divisional &amp; regional caseload'!$T$43)</f>
        <v>0</v>
      </c>
      <c r="AA47" s="94">
        <f>SUMIFS('caseload data'!K:K,'caseload data'!$D:$D,"TPO",'caseload data'!$C:$C,'divisional &amp; regional caseload'!$T$43)</f>
        <v>0</v>
      </c>
      <c r="AB47" s="94">
        <f>SUMIFS('caseload data'!L:L,'caseload data'!$D:$D,"TPO",'caseload data'!$C:$C,'divisional &amp; regional caseload'!$T$43)</f>
        <v>0</v>
      </c>
      <c r="AC47" s="94">
        <f>SUMIFS('caseload data'!M:M,'caseload data'!$D:$D,"TPO",'caseload data'!$C:$C,'divisional &amp; regional caseload'!$T$43)</f>
        <v>0</v>
      </c>
      <c r="AD47" s="94">
        <f>SUMIFS('caseload data'!N:N,'caseload data'!$D:$D,"TPO",'caseload data'!$C:$C,'divisional &amp; regional caseload'!$T$43)</f>
        <v>0</v>
      </c>
      <c r="AE47" s="94">
        <f>SUMIFS('caseload data'!O:O,'caseload data'!$D:$D,"TPO",'caseload data'!$C:$C,'divisional &amp; regional caseload'!$T$43)</f>
        <v>0</v>
      </c>
      <c r="AF47" s="94">
        <f>SUMIFS('caseload data'!P:P,'caseload data'!$D:$D,"TPO",'caseload data'!$C:$C,'divisional &amp; regional caseload'!$T$43)</f>
        <v>0</v>
      </c>
      <c r="AG47" s="94">
        <f>SUMIFS('caseload data'!Q:Q,'caseload data'!$D:$D,"TPO",'caseload data'!$C:$C,'divisional &amp; regional caseload'!$T$43)</f>
        <v>0</v>
      </c>
      <c r="AH47" s="94">
        <f>SUMIFS('caseload data'!R:R,'caseload data'!$D:$D,"TPO",'caseload data'!$C:$C,'divisional &amp; regional caseload'!$T$43)</f>
        <v>0</v>
      </c>
      <c r="AI47" s="94">
        <f>SUMIFS('caseload data'!S:S,'caseload data'!$D:$D,"TPO",'caseload data'!$C:$C,'divisional &amp; regional caseload'!$T$43)</f>
        <v>0</v>
      </c>
      <c r="AJ47" s="94">
        <f>SUMIFS('caseload data'!T:T,'caseload data'!$D:$D,"TPO",'caseload data'!$C:$C,'divisional &amp; regional caseload'!$T$43)</f>
        <v>0</v>
      </c>
    </row>
    <row r="48" spans="2:36" x14ac:dyDescent="0.15">
      <c r="B48" s="98" t="s">
        <v>954</v>
      </c>
      <c r="C48" s="94">
        <f>SUMIFS('caseload data'!E:E,'caseload data'!$D:$D,"SPO",'caseload data'!$C:$C,'divisional &amp; regional caseload'!$B$43)</f>
        <v>0</v>
      </c>
      <c r="D48" s="94">
        <f>SUMIFS('caseload data'!F:F,'caseload data'!$D:$D,"SPO",'caseload data'!$C:$C,'divisional &amp; regional caseload'!$B$43)</f>
        <v>0</v>
      </c>
      <c r="E48" s="94">
        <f>SUMIFS('caseload data'!G:G,'caseload data'!$D:$D,"SPO",'caseload data'!$C:$C,'divisional &amp; regional caseload'!$B$43)</f>
        <v>0</v>
      </c>
      <c r="F48" s="94">
        <f>SUMIFS('caseload data'!H:H,'caseload data'!$D:$D,"SPO",'caseload data'!$C:$C,'divisional &amp; regional caseload'!$B$43)</f>
        <v>0</v>
      </c>
      <c r="G48" s="94">
        <f>SUMIFS('caseload data'!I:I,'caseload data'!$D:$D,"SPO",'caseload data'!$C:$C,'divisional &amp; regional caseload'!$B$43)</f>
        <v>0</v>
      </c>
      <c r="H48" s="94">
        <f>SUMIFS('caseload data'!J:J,'caseload data'!$D:$D,"SPO",'caseload data'!$C:$C,'divisional &amp; regional caseload'!$B$43)</f>
        <v>0</v>
      </c>
      <c r="I48" s="94">
        <f>SUMIFS('caseload data'!K:K,'caseload data'!$D:$D,"SPO",'caseload data'!$C:$C,'divisional &amp; regional caseload'!$B$43)</f>
        <v>0</v>
      </c>
      <c r="J48" s="94">
        <f>SUMIFS('caseload data'!L:L,'caseload data'!$D:$D,"SPO",'caseload data'!$C:$C,'divisional &amp; regional caseload'!$B$43)</f>
        <v>0</v>
      </c>
      <c r="K48" s="94">
        <f>SUMIFS('caseload data'!M:M,'caseload data'!$D:$D,"SPO",'caseload data'!$C:$C,'divisional &amp; regional caseload'!$B$43)</f>
        <v>0</v>
      </c>
      <c r="L48" s="94">
        <f>SUMIFS('caseload data'!N:N,'caseload data'!$D:$D,"SPO",'caseload data'!$C:$C,'divisional &amp; regional caseload'!$B$43)</f>
        <v>0</v>
      </c>
      <c r="M48" s="94">
        <f>SUMIFS('caseload data'!O:O,'caseload data'!$D:$D,"SPO",'caseload data'!$C:$C,'divisional &amp; regional caseload'!$B$43)</f>
        <v>0</v>
      </c>
      <c r="N48" s="94">
        <f>SUMIFS('caseload data'!P:P,'caseload data'!$D:$D,"SPO",'caseload data'!$C:$C,'divisional &amp; regional caseload'!$B$43)</f>
        <v>0</v>
      </c>
      <c r="O48" s="94">
        <f>SUMIFS('caseload data'!Q:Q,'caseload data'!$D:$D,"SPO",'caseload data'!$C:$C,'divisional &amp; regional caseload'!$B$43)</f>
        <v>0</v>
      </c>
      <c r="P48" s="94">
        <f>SUMIFS('caseload data'!R:R,'caseload data'!$D:$D,"SPO",'caseload data'!$C:$C,'divisional &amp; regional caseload'!$B$43)</f>
        <v>0</v>
      </c>
      <c r="Q48" s="94">
        <f>SUMIFS('caseload data'!S:S,'caseload data'!$D:$D,"SPO",'caseload data'!$C:$C,'divisional &amp; regional caseload'!$B$43)</f>
        <v>0</v>
      </c>
      <c r="R48" s="94">
        <f>SUMIFS('caseload data'!T:T,'caseload data'!$D:$D,"SPO",'caseload data'!$C:$C,'divisional &amp; regional caseload'!$B$43)</f>
        <v>0</v>
      </c>
      <c r="S48" s="91"/>
      <c r="T48" s="98" t="s">
        <v>954</v>
      </c>
      <c r="U48" s="94">
        <f>SUMIFS('caseload data'!E:E,'caseload data'!$D:$D,"SPO",'caseload data'!$C:$C,'divisional &amp; regional caseload'!$T$43)</f>
        <v>0</v>
      </c>
      <c r="V48" s="94">
        <f>SUMIFS('caseload data'!F:F,'caseload data'!$D:$D,"SPO",'caseload data'!$C:$C,'divisional &amp; regional caseload'!$T$43)</f>
        <v>0</v>
      </c>
      <c r="W48" s="94">
        <f>SUMIFS('caseload data'!G:G,'caseload data'!$D:$D,"SPO",'caseload data'!$C:$C,'divisional &amp; regional caseload'!$T$43)</f>
        <v>0</v>
      </c>
      <c r="X48" s="94">
        <f>SUMIFS('caseload data'!H:H,'caseload data'!$D:$D,"SPO",'caseload data'!$C:$C,'divisional &amp; regional caseload'!$T$43)</f>
        <v>0</v>
      </c>
      <c r="Y48" s="94">
        <f>SUMIFS('caseload data'!I:I,'caseload data'!$D:$D,"SPO",'caseload data'!$C:$C,'divisional &amp; regional caseload'!$T$43)</f>
        <v>0</v>
      </c>
      <c r="Z48" s="94">
        <f>SUMIFS('caseload data'!J:J,'caseload data'!$D:$D,"SPO",'caseload data'!$C:$C,'divisional &amp; regional caseload'!$T$43)</f>
        <v>0</v>
      </c>
      <c r="AA48" s="94">
        <f>SUMIFS('caseload data'!K:K,'caseload data'!$D:$D,"SPO",'caseload data'!$C:$C,'divisional &amp; regional caseload'!$T$43)</f>
        <v>0</v>
      </c>
      <c r="AB48" s="94">
        <f>SUMIFS('caseload data'!L:L,'caseload data'!$D:$D,"SPO",'caseload data'!$C:$C,'divisional &amp; regional caseload'!$T$43)</f>
        <v>0</v>
      </c>
      <c r="AC48" s="94">
        <f>SUMIFS('caseload data'!M:M,'caseload data'!$D:$D,"SPO",'caseload data'!$C:$C,'divisional &amp; regional caseload'!$T$43)</f>
        <v>0</v>
      </c>
      <c r="AD48" s="94">
        <f>SUMIFS('caseload data'!N:N,'caseload data'!$D:$D,"SPO",'caseload data'!$C:$C,'divisional &amp; regional caseload'!$T$43)</f>
        <v>0</v>
      </c>
      <c r="AE48" s="94">
        <f>SUMIFS('caseload data'!O:O,'caseload data'!$D:$D,"SPO",'caseload data'!$C:$C,'divisional &amp; regional caseload'!$T$43)</f>
        <v>0</v>
      </c>
      <c r="AF48" s="94">
        <f>SUMIFS('caseload data'!P:P,'caseload data'!$D:$D,"SPO",'caseload data'!$C:$C,'divisional &amp; regional caseload'!$T$43)</f>
        <v>0</v>
      </c>
      <c r="AG48" s="94">
        <f>SUMIFS('caseload data'!Q:Q,'caseload data'!$D:$D,"SPO",'caseload data'!$C:$C,'divisional &amp; regional caseload'!$T$43)</f>
        <v>0</v>
      </c>
      <c r="AH48" s="94">
        <f>SUMIFS('caseload data'!R:R,'caseload data'!$D:$D,"SPO",'caseload data'!$C:$C,'divisional &amp; regional caseload'!$T$43)</f>
        <v>0</v>
      </c>
      <c r="AI48" s="94">
        <f>SUMIFS('caseload data'!S:S,'caseload data'!$D:$D,"SPO",'caseload data'!$C:$C,'divisional &amp; regional caseload'!$T$43)</f>
        <v>0</v>
      </c>
      <c r="AJ48" s="94">
        <f>SUMIFS('caseload data'!T:T,'caseload data'!$D:$D,"SPO",'caseload data'!$C:$C,'divisional &amp; regional caseload'!$T$43)</f>
        <v>0</v>
      </c>
    </row>
    <row r="49" spans="2:36" x14ac:dyDescent="0.15">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2:36" ht="30" customHeight="1" x14ac:dyDescent="0.15">
      <c r="B50" s="288">
        <f>HLOOKUP($B$5,Region_Table,14,0)</f>
        <v>0</v>
      </c>
      <c r="C50" s="548" t="s">
        <v>1039</v>
      </c>
      <c r="D50" s="549"/>
      <c r="E50" s="549"/>
      <c r="F50" s="549"/>
      <c r="G50" s="549"/>
      <c r="H50" s="549"/>
      <c r="I50" s="549"/>
      <c r="J50" s="549"/>
      <c r="K50" s="549"/>
      <c r="L50" s="549"/>
      <c r="M50" s="553"/>
      <c r="N50" s="553"/>
      <c r="O50" s="554"/>
      <c r="P50" s="543">
        <f>SUMIF('caseload data'!$C:$C,'divisional &amp; regional caseload'!B50,'caseload data'!V:V)</f>
        <v>0</v>
      </c>
      <c r="Q50" s="544"/>
      <c r="R50" s="545"/>
      <c r="S50" s="91"/>
      <c r="T50" s="288">
        <f>HLOOKUP($B$5,Region_Table,15,0)</f>
        <v>0</v>
      </c>
      <c r="U50" s="548" t="s">
        <v>1039</v>
      </c>
      <c r="V50" s="549"/>
      <c r="W50" s="549"/>
      <c r="X50" s="549"/>
      <c r="Y50" s="549"/>
      <c r="Z50" s="549"/>
      <c r="AA50" s="549"/>
      <c r="AB50" s="549"/>
      <c r="AC50" s="549"/>
      <c r="AD50" s="549"/>
      <c r="AE50" s="549"/>
      <c r="AF50" s="549"/>
      <c r="AG50" s="550"/>
      <c r="AH50" s="543">
        <f>SUMIF('caseload data'!$C:$C,'divisional &amp; regional caseload'!T50,'caseload data'!V:V)</f>
        <v>0</v>
      </c>
      <c r="AI50" s="544"/>
      <c r="AJ50" s="545"/>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91"/>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94">
        <f>SUMIFS('caseload data'!E:E,'caseload data'!$D:$D,"PO",'caseload data'!$C:$C,'divisional &amp; regional caseload'!$B$50)</f>
        <v>0</v>
      </c>
      <c r="D52" s="94">
        <f>SUMIFS('caseload data'!F:F,'caseload data'!$D:$D,"PO",'caseload data'!$C:$C,'divisional &amp; regional caseload'!$B$50)</f>
        <v>0</v>
      </c>
      <c r="E52" s="94">
        <f>SUMIFS('caseload data'!G:G,'caseload data'!$D:$D,"PO",'caseload data'!$C:$C,'divisional &amp; regional caseload'!$B$50)</f>
        <v>0</v>
      </c>
      <c r="F52" s="94">
        <f>SUMIFS('caseload data'!H:H,'caseload data'!$D:$D,"PO",'caseload data'!$C:$C,'divisional &amp; regional caseload'!$B$50)</f>
        <v>0</v>
      </c>
      <c r="G52" s="94">
        <f>SUMIFS('caseload data'!I:I,'caseload data'!$D:$D,"PO",'caseload data'!$C:$C,'divisional &amp; regional caseload'!$B$50)</f>
        <v>0</v>
      </c>
      <c r="H52" s="94">
        <f>SUMIFS('caseload data'!J:J,'caseload data'!$D:$D,"PO",'caseload data'!$C:$C,'divisional &amp; regional caseload'!$B$50)</f>
        <v>0</v>
      </c>
      <c r="I52" s="94">
        <f>SUMIFS('caseload data'!K:K,'caseload data'!$D:$D,"PO",'caseload data'!$C:$C,'divisional &amp; regional caseload'!$B$50)</f>
        <v>0</v>
      </c>
      <c r="J52" s="94">
        <f>SUMIFS('caseload data'!L:L,'caseload data'!$D:$D,"PO",'caseload data'!$C:$C,'divisional &amp; regional caseload'!$B$50)</f>
        <v>0</v>
      </c>
      <c r="K52" s="94">
        <f>SUMIFS('caseload data'!M:M,'caseload data'!$D:$D,"PO",'caseload data'!$C:$C,'divisional &amp; regional caseload'!$B$50)</f>
        <v>0</v>
      </c>
      <c r="L52" s="94">
        <f>SUMIFS('caseload data'!N:N,'caseload data'!$D:$D,"PO",'caseload data'!$C:$C,'divisional &amp; regional caseload'!$B$50)</f>
        <v>0</v>
      </c>
      <c r="M52" s="94">
        <f>SUMIFS('caseload data'!O:O,'caseload data'!$D:$D,"PO",'caseload data'!$C:$C,'divisional &amp; regional caseload'!$B$50)</f>
        <v>0</v>
      </c>
      <c r="N52" s="94">
        <f>SUMIFS('caseload data'!P:P,'caseload data'!$D:$D,"PO",'caseload data'!$C:$C,'divisional &amp; regional caseload'!$B$50)</f>
        <v>0</v>
      </c>
      <c r="O52" s="94">
        <f>SUMIFS('caseload data'!Q:Q,'caseload data'!$D:$D,"PO",'caseload data'!$C:$C,'divisional &amp; regional caseload'!$B$50)</f>
        <v>0</v>
      </c>
      <c r="P52" s="94">
        <f>SUMIFS('caseload data'!R:R,'caseload data'!$D:$D,"PO",'caseload data'!$C:$C,'divisional &amp; regional caseload'!$B$50)</f>
        <v>0</v>
      </c>
      <c r="Q52" s="94">
        <f>SUMIFS('caseload data'!S:S,'caseload data'!$D:$D,"PO",'caseload data'!$C:$C,'divisional &amp; regional caseload'!$B$50)</f>
        <v>0</v>
      </c>
      <c r="R52" s="94">
        <f>SUMIFS('caseload data'!T:T,'caseload data'!$D:$D,"PO",'caseload data'!$C:$C,'divisional &amp; regional caseload'!$B$50)</f>
        <v>0</v>
      </c>
      <c r="S52" s="91"/>
      <c r="T52" s="96" t="s">
        <v>947</v>
      </c>
      <c r="U52" s="94">
        <f>SUMIFS('caseload data'!E:E,'caseload data'!$D:$D,"PO",'caseload data'!$C:$C,'divisional &amp; regional caseload'!$T$50)</f>
        <v>0</v>
      </c>
      <c r="V52" s="94">
        <f>SUMIFS('caseload data'!F:F,'caseload data'!$D:$D,"PO",'caseload data'!$C:$C,'divisional &amp; regional caseload'!$T$50)</f>
        <v>0</v>
      </c>
      <c r="W52" s="94">
        <f>SUMIFS('caseload data'!G:G,'caseload data'!$D:$D,"PO",'caseload data'!$C:$C,'divisional &amp; regional caseload'!$T$50)</f>
        <v>0</v>
      </c>
      <c r="X52" s="94">
        <f>SUMIFS('caseload data'!H:H,'caseload data'!$D:$D,"PO",'caseload data'!$C:$C,'divisional &amp; regional caseload'!$T$50)</f>
        <v>0</v>
      </c>
      <c r="Y52" s="94">
        <f>SUMIFS('caseload data'!I:I,'caseload data'!$D:$D,"PO",'caseload data'!$C:$C,'divisional &amp; regional caseload'!$T$50)</f>
        <v>0</v>
      </c>
      <c r="Z52" s="94">
        <f>SUMIFS('caseload data'!J:J,'caseload data'!$D:$D,"PO",'caseload data'!$C:$C,'divisional &amp; regional caseload'!$T$50)</f>
        <v>0</v>
      </c>
      <c r="AA52" s="94">
        <f>SUMIFS('caseload data'!K:K,'caseload data'!$D:$D,"PO",'caseload data'!$C:$C,'divisional &amp; regional caseload'!$T$50)</f>
        <v>0</v>
      </c>
      <c r="AB52" s="94">
        <f>SUMIFS('caseload data'!L:L,'caseload data'!$D:$D,"PO",'caseload data'!$C:$C,'divisional &amp; regional caseload'!$T$50)</f>
        <v>0</v>
      </c>
      <c r="AC52" s="94">
        <f>SUMIFS('caseload data'!M:M,'caseload data'!$D:$D,"PO",'caseload data'!$C:$C,'divisional &amp; regional caseload'!$T$50)</f>
        <v>0</v>
      </c>
      <c r="AD52" s="94">
        <f>SUMIFS('caseload data'!N:N,'caseload data'!$D:$D,"PO",'caseload data'!$C:$C,'divisional &amp; regional caseload'!$T$50)</f>
        <v>0</v>
      </c>
      <c r="AE52" s="94">
        <f>SUMIFS('caseload data'!O:O,'caseload data'!$D:$D,"PO",'caseload data'!$C:$C,'divisional &amp; regional caseload'!$T$50)</f>
        <v>0</v>
      </c>
      <c r="AF52" s="94">
        <f>SUMIFS('caseload data'!P:P,'caseload data'!$D:$D,"PO",'caseload data'!$C:$C,'divisional &amp; regional caseload'!$T$50)</f>
        <v>0</v>
      </c>
      <c r="AG52" s="94">
        <f>SUMIFS('caseload data'!Q:Q,'caseload data'!$D:$D,"PO",'caseload data'!$C:$C,'divisional &amp; regional caseload'!$T$50)</f>
        <v>0</v>
      </c>
      <c r="AH52" s="94">
        <f>SUMIFS('caseload data'!R:R,'caseload data'!$D:$D,"PO",'caseload data'!$C:$C,'divisional &amp; regional caseload'!$T$50)</f>
        <v>0</v>
      </c>
      <c r="AI52" s="94">
        <f>SUMIFS('caseload data'!S:S,'caseload data'!$D:$D,"PO",'caseload data'!$C:$C,'divisional &amp; regional caseload'!$T$50)</f>
        <v>0</v>
      </c>
      <c r="AJ52" s="94">
        <f>SUMIFS('caseload data'!T:T,'caseload data'!$D:$D,"PO",'caseload data'!$C:$C,'divisional &amp; regional caseload'!$T$50)</f>
        <v>0</v>
      </c>
    </row>
    <row r="53" spans="2:36" x14ac:dyDescent="0.15">
      <c r="B53" s="97" t="s">
        <v>952</v>
      </c>
      <c r="C53" s="94">
        <f>SUMIFS('caseload data'!E:E,'caseload data'!$D:$D,"PSO",'caseload data'!$C:$C,'divisional &amp; regional caseload'!$B$50)</f>
        <v>0</v>
      </c>
      <c r="D53" s="94">
        <f>SUMIFS('caseload data'!F:F,'caseload data'!$D:$D,"PSO",'caseload data'!$C:$C,'divisional &amp; regional caseload'!$B$50)</f>
        <v>0</v>
      </c>
      <c r="E53" s="94">
        <f>SUMIFS('caseload data'!G:G,'caseload data'!$D:$D,"PSO",'caseload data'!$C:$C,'divisional &amp; regional caseload'!$B$50)</f>
        <v>0</v>
      </c>
      <c r="F53" s="94">
        <f>SUMIFS('caseload data'!H:H,'caseload data'!$D:$D,"PSO",'caseload data'!$C:$C,'divisional &amp; regional caseload'!$B$50)</f>
        <v>0</v>
      </c>
      <c r="G53" s="94">
        <f>SUMIFS('caseload data'!I:I,'caseload data'!$D:$D,"PSO",'caseload data'!$C:$C,'divisional &amp; regional caseload'!$B$50)</f>
        <v>0</v>
      </c>
      <c r="H53" s="94">
        <f>SUMIFS('caseload data'!J:J,'caseload data'!$D:$D,"PSO",'caseload data'!$C:$C,'divisional &amp; regional caseload'!$B$50)</f>
        <v>0</v>
      </c>
      <c r="I53" s="94">
        <f>SUMIFS('caseload data'!K:K,'caseload data'!$D:$D,"PSO",'caseload data'!$C:$C,'divisional &amp; regional caseload'!$B$50)</f>
        <v>0</v>
      </c>
      <c r="J53" s="94">
        <f>SUMIFS('caseload data'!L:L,'caseload data'!$D:$D,"PSO",'caseload data'!$C:$C,'divisional &amp; regional caseload'!$B$50)</f>
        <v>0</v>
      </c>
      <c r="K53" s="94">
        <f>SUMIFS('caseload data'!M:M,'caseload data'!$D:$D,"PSO",'caseload data'!$C:$C,'divisional &amp; regional caseload'!$B$50)</f>
        <v>0</v>
      </c>
      <c r="L53" s="94">
        <f>SUMIFS('caseload data'!N:N,'caseload data'!$D:$D,"PSO",'caseload data'!$C:$C,'divisional &amp; regional caseload'!$B$50)</f>
        <v>0</v>
      </c>
      <c r="M53" s="94">
        <f>SUMIFS('caseload data'!O:O,'caseload data'!$D:$D,"PSO",'caseload data'!$C:$C,'divisional &amp; regional caseload'!$B$50)</f>
        <v>0</v>
      </c>
      <c r="N53" s="94">
        <f>SUMIFS('caseload data'!P:P,'caseload data'!$D:$D,"PSO",'caseload data'!$C:$C,'divisional &amp; regional caseload'!$B$50)</f>
        <v>0</v>
      </c>
      <c r="O53" s="94">
        <f>SUMIFS('caseload data'!Q:Q,'caseload data'!$D:$D,"PSO",'caseload data'!$C:$C,'divisional &amp; regional caseload'!$B$50)</f>
        <v>0</v>
      </c>
      <c r="P53" s="94">
        <f>SUMIFS('caseload data'!R:R,'caseload data'!$D:$D,"PSO",'caseload data'!$C:$C,'divisional &amp; regional caseload'!$B$50)</f>
        <v>0</v>
      </c>
      <c r="Q53" s="94">
        <f>SUMIFS('caseload data'!S:S,'caseload data'!$D:$D,"PSO",'caseload data'!$C:$C,'divisional &amp; regional caseload'!$B$50)</f>
        <v>0</v>
      </c>
      <c r="R53" s="94">
        <f>SUMIFS('caseload data'!T:T,'caseload data'!$D:$D,"PSO",'caseload data'!$C:$C,'divisional &amp; regional caseload'!$B$50)</f>
        <v>0</v>
      </c>
      <c r="S53" s="91"/>
      <c r="T53" s="97" t="s">
        <v>952</v>
      </c>
      <c r="U53" s="94">
        <f>SUMIFS('caseload data'!E:E,'caseload data'!$D:$D,"PSO",'caseload data'!$C:$C,'divisional &amp; regional caseload'!$T$50)</f>
        <v>0</v>
      </c>
      <c r="V53" s="94">
        <f>SUMIFS('caseload data'!F:F,'caseload data'!$D:$D,"PSO",'caseload data'!$C:$C,'divisional &amp; regional caseload'!$T$50)</f>
        <v>0</v>
      </c>
      <c r="W53" s="94">
        <f>SUMIFS('caseload data'!G:G,'caseload data'!$D:$D,"PSO",'caseload data'!$C:$C,'divisional &amp; regional caseload'!$T$50)</f>
        <v>0</v>
      </c>
      <c r="X53" s="94">
        <f>SUMIFS('caseload data'!H:H,'caseload data'!$D:$D,"PSO",'caseload data'!$C:$C,'divisional &amp; regional caseload'!$T$50)</f>
        <v>0</v>
      </c>
      <c r="Y53" s="94">
        <f>SUMIFS('caseload data'!I:I,'caseload data'!$D:$D,"PSO",'caseload data'!$C:$C,'divisional &amp; regional caseload'!$T$50)</f>
        <v>0</v>
      </c>
      <c r="Z53" s="94">
        <f>SUMIFS('caseload data'!J:J,'caseload data'!$D:$D,"PSO",'caseload data'!$C:$C,'divisional &amp; regional caseload'!$T$50)</f>
        <v>0</v>
      </c>
      <c r="AA53" s="94">
        <f>SUMIFS('caseload data'!K:K,'caseload data'!$D:$D,"PSO",'caseload data'!$C:$C,'divisional &amp; regional caseload'!$T$50)</f>
        <v>0</v>
      </c>
      <c r="AB53" s="94">
        <f>SUMIFS('caseload data'!L:L,'caseload data'!$D:$D,"PSO",'caseload data'!$C:$C,'divisional &amp; regional caseload'!$T$50)</f>
        <v>0</v>
      </c>
      <c r="AC53" s="94">
        <f>SUMIFS('caseload data'!M:M,'caseload data'!$D:$D,"PSO",'caseload data'!$C:$C,'divisional &amp; regional caseload'!$T$50)</f>
        <v>0</v>
      </c>
      <c r="AD53" s="94">
        <f>SUMIFS('caseload data'!N:N,'caseload data'!$D:$D,"PSO",'caseload data'!$C:$C,'divisional &amp; regional caseload'!$T$50)</f>
        <v>0</v>
      </c>
      <c r="AE53" s="94">
        <f>SUMIFS('caseload data'!O:O,'caseload data'!$D:$D,"PSO",'caseload data'!$C:$C,'divisional &amp; regional caseload'!$T$50)</f>
        <v>0</v>
      </c>
      <c r="AF53" s="94">
        <f>SUMIFS('caseload data'!P:P,'caseload data'!$D:$D,"PSO",'caseload data'!$C:$C,'divisional &amp; regional caseload'!$T$50)</f>
        <v>0</v>
      </c>
      <c r="AG53" s="94">
        <f>SUMIFS('caseload data'!Q:Q,'caseload data'!$D:$D,"PSO",'caseload data'!$C:$C,'divisional &amp; regional caseload'!$T$50)</f>
        <v>0</v>
      </c>
      <c r="AH53" s="94">
        <f>SUMIFS('caseload data'!R:R,'caseload data'!$D:$D,"PSO",'caseload data'!$C:$C,'divisional &amp; regional caseload'!$T$50)</f>
        <v>0</v>
      </c>
      <c r="AI53" s="94">
        <f>SUMIFS('caseload data'!S:S,'caseload data'!$D:$D,"PSO",'caseload data'!$C:$C,'divisional &amp; regional caseload'!$T$50)</f>
        <v>0</v>
      </c>
      <c r="AJ53" s="94">
        <f>SUMIFS('caseload data'!T:T,'caseload data'!$D:$D,"PSO",'caseload data'!$C:$C,'divisional &amp; regional caseload'!$T$50)</f>
        <v>0</v>
      </c>
    </row>
    <row r="54" spans="2:36" x14ac:dyDescent="0.15">
      <c r="B54" s="97" t="s">
        <v>953</v>
      </c>
      <c r="C54" s="94">
        <f>SUMIFS('caseload data'!E:E,'caseload data'!$D:$D,"TPO",'caseload data'!$C:$C,'divisional &amp; regional caseload'!$B$50)</f>
        <v>0</v>
      </c>
      <c r="D54" s="94">
        <f>SUMIFS('caseload data'!F:F,'caseload data'!$D:$D,"TPO",'caseload data'!$C:$C,'divisional &amp; regional caseload'!$B$50)</f>
        <v>0</v>
      </c>
      <c r="E54" s="94">
        <f>SUMIFS('caseload data'!G:G,'caseload data'!$D:$D,"TPO",'caseload data'!$C:$C,'divisional &amp; regional caseload'!$B$50)</f>
        <v>0</v>
      </c>
      <c r="F54" s="94">
        <f>SUMIFS('caseload data'!H:H,'caseload data'!$D:$D,"TPO",'caseload data'!$C:$C,'divisional &amp; regional caseload'!$B$50)</f>
        <v>0</v>
      </c>
      <c r="G54" s="94">
        <f>SUMIFS('caseload data'!I:I,'caseload data'!$D:$D,"TPO",'caseload data'!$C:$C,'divisional &amp; regional caseload'!$B$50)</f>
        <v>0</v>
      </c>
      <c r="H54" s="94">
        <f>SUMIFS('caseload data'!J:J,'caseload data'!$D:$D,"TPO",'caseload data'!$C:$C,'divisional &amp; regional caseload'!$B$50)</f>
        <v>0</v>
      </c>
      <c r="I54" s="94">
        <f>SUMIFS('caseload data'!K:K,'caseload data'!$D:$D,"TPO",'caseload data'!$C:$C,'divisional &amp; regional caseload'!$B$50)</f>
        <v>0</v>
      </c>
      <c r="J54" s="94">
        <f>SUMIFS('caseload data'!L:L,'caseload data'!$D:$D,"TPO",'caseload data'!$C:$C,'divisional &amp; regional caseload'!$B$50)</f>
        <v>0</v>
      </c>
      <c r="K54" s="94">
        <f>SUMIFS('caseload data'!M:M,'caseload data'!$D:$D,"TPO",'caseload data'!$C:$C,'divisional &amp; regional caseload'!$B$50)</f>
        <v>0</v>
      </c>
      <c r="L54" s="94">
        <f>SUMIFS('caseload data'!N:N,'caseload data'!$D:$D,"TPO",'caseload data'!$C:$C,'divisional &amp; regional caseload'!$B$50)</f>
        <v>0</v>
      </c>
      <c r="M54" s="94">
        <f>SUMIFS('caseload data'!O:O,'caseload data'!$D:$D,"TPO",'caseload data'!$C:$C,'divisional &amp; regional caseload'!$B$50)</f>
        <v>0</v>
      </c>
      <c r="N54" s="94">
        <f>SUMIFS('caseload data'!P:P,'caseload data'!$D:$D,"TPO",'caseload data'!$C:$C,'divisional &amp; regional caseload'!$B$50)</f>
        <v>0</v>
      </c>
      <c r="O54" s="94">
        <f>SUMIFS('caseload data'!Q:Q,'caseload data'!$D:$D,"TPO",'caseload data'!$C:$C,'divisional &amp; regional caseload'!$B$50)</f>
        <v>0</v>
      </c>
      <c r="P54" s="94">
        <f>SUMIFS('caseload data'!R:R,'caseload data'!$D:$D,"TPO",'caseload data'!$C:$C,'divisional &amp; regional caseload'!$B$50)</f>
        <v>0</v>
      </c>
      <c r="Q54" s="94">
        <f>SUMIFS('caseload data'!S:S,'caseload data'!$D:$D,"TPO",'caseload data'!$C:$C,'divisional &amp; regional caseload'!$B$50)</f>
        <v>0</v>
      </c>
      <c r="R54" s="94">
        <f>SUMIFS('caseload data'!T:T,'caseload data'!$D:$D,"TPO",'caseload data'!$C:$C,'divisional &amp; regional caseload'!$B$50)</f>
        <v>0</v>
      </c>
      <c r="S54" s="91"/>
      <c r="T54" s="97" t="s">
        <v>953</v>
      </c>
      <c r="U54" s="94">
        <f>SUMIFS('caseload data'!E:E,'caseload data'!$D:$D,"TPO",'caseload data'!$C:$C,'divisional &amp; regional caseload'!$T$50)</f>
        <v>0</v>
      </c>
      <c r="V54" s="94">
        <f>SUMIFS('caseload data'!F:F,'caseload data'!$D:$D,"TPO",'caseload data'!$C:$C,'divisional &amp; regional caseload'!$T$50)</f>
        <v>0</v>
      </c>
      <c r="W54" s="94">
        <f>SUMIFS('caseload data'!G:G,'caseload data'!$D:$D,"TPO",'caseload data'!$C:$C,'divisional &amp; regional caseload'!$T$50)</f>
        <v>0</v>
      </c>
      <c r="X54" s="94">
        <f>SUMIFS('caseload data'!H:H,'caseload data'!$D:$D,"TPO",'caseload data'!$C:$C,'divisional &amp; regional caseload'!$T$50)</f>
        <v>0</v>
      </c>
      <c r="Y54" s="94">
        <f>SUMIFS('caseload data'!I:I,'caseload data'!$D:$D,"TPO",'caseload data'!$C:$C,'divisional &amp; regional caseload'!$T$50)</f>
        <v>0</v>
      </c>
      <c r="Z54" s="94">
        <f>SUMIFS('caseload data'!J:J,'caseload data'!$D:$D,"TPO",'caseload data'!$C:$C,'divisional &amp; regional caseload'!$T$50)</f>
        <v>0</v>
      </c>
      <c r="AA54" s="94">
        <f>SUMIFS('caseload data'!K:K,'caseload data'!$D:$D,"TPO",'caseload data'!$C:$C,'divisional &amp; regional caseload'!$T$50)</f>
        <v>0</v>
      </c>
      <c r="AB54" s="94">
        <f>SUMIFS('caseload data'!L:L,'caseload data'!$D:$D,"TPO",'caseload data'!$C:$C,'divisional &amp; regional caseload'!$T$50)</f>
        <v>0</v>
      </c>
      <c r="AC54" s="94">
        <f>SUMIFS('caseload data'!M:M,'caseload data'!$D:$D,"TPO",'caseload data'!$C:$C,'divisional &amp; regional caseload'!$T$50)</f>
        <v>0</v>
      </c>
      <c r="AD54" s="94">
        <f>SUMIFS('caseload data'!N:N,'caseload data'!$D:$D,"TPO",'caseload data'!$C:$C,'divisional &amp; regional caseload'!$T$50)</f>
        <v>0</v>
      </c>
      <c r="AE54" s="94">
        <f>SUMIFS('caseload data'!O:O,'caseload data'!$D:$D,"TPO",'caseload data'!$C:$C,'divisional &amp; regional caseload'!$T$50)</f>
        <v>0</v>
      </c>
      <c r="AF54" s="94">
        <f>SUMIFS('caseload data'!P:P,'caseload data'!$D:$D,"TPO",'caseload data'!$C:$C,'divisional &amp; regional caseload'!$T$50)</f>
        <v>0</v>
      </c>
      <c r="AG54" s="94">
        <f>SUMIFS('caseload data'!Q:Q,'caseload data'!$D:$D,"TPO",'caseload data'!$C:$C,'divisional &amp; regional caseload'!$T$50)</f>
        <v>0</v>
      </c>
      <c r="AH54" s="94">
        <f>SUMIFS('caseload data'!R:R,'caseload data'!$D:$D,"TPO",'caseload data'!$C:$C,'divisional &amp; regional caseload'!$T$50)</f>
        <v>0</v>
      </c>
      <c r="AI54" s="94">
        <f>SUMIFS('caseload data'!S:S,'caseload data'!$D:$D,"TPO",'caseload data'!$C:$C,'divisional &amp; regional caseload'!$T$50)</f>
        <v>0</v>
      </c>
      <c r="AJ54" s="94">
        <f>SUMIFS('caseload data'!T:T,'caseload data'!$D:$D,"TPO",'caseload data'!$C:$C,'divisional &amp; regional caseload'!$T$50)</f>
        <v>0</v>
      </c>
    </row>
    <row r="55" spans="2:36" x14ac:dyDescent="0.15">
      <c r="B55" s="98" t="s">
        <v>954</v>
      </c>
      <c r="C55" s="94">
        <f>SUMIFS('caseload data'!E:E,'caseload data'!$D:$D,"SPO",'caseload data'!$C:$C,'divisional &amp; regional caseload'!$B$50)</f>
        <v>0</v>
      </c>
      <c r="D55" s="94">
        <f>SUMIFS('caseload data'!F:F,'caseload data'!$D:$D,"SPO",'caseload data'!$C:$C,'divisional &amp; regional caseload'!$B$50)</f>
        <v>0</v>
      </c>
      <c r="E55" s="94">
        <f>SUMIFS('caseload data'!G:G,'caseload data'!$D:$D,"SPO",'caseload data'!$C:$C,'divisional &amp; regional caseload'!$B$50)</f>
        <v>0</v>
      </c>
      <c r="F55" s="94">
        <f>SUMIFS('caseload data'!H:H,'caseload data'!$D:$D,"SPO",'caseload data'!$C:$C,'divisional &amp; regional caseload'!$B$50)</f>
        <v>0</v>
      </c>
      <c r="G55" s="94">
        <f>SUMIFS('caseload data'!I:I,'caseload data'!$D:$D,"SPO",'caseload data'!$C:$C,'divisional &amp; regional caseload'!$B$50)</f>
        <v>0</v>
      </c>
      <c r="H55" s="94">
        <f>SUMIFS('caseload data'!J:J,'caseload data'!$D:$D,"SPO",'caseload data'!$C:$C,'divisional &amp; regional caseload'!$B$50)</f>
        <v>0</v>
      </c>
      <c r="I55" s="94">
        <f>SUMIFS('caseload data'!K:K,'caseload data'!$D:$D,"SPO",'caseload data'!$C:$C,'divisional &amp; regional caseload'!$B$50)</f>
        <v>0</v>
      </c>
      <c r="J55" s="94">
        <f>SUMIFS('caseload data'!L:L,'caseload data'!$D:$D,"SPO",'caseload data'!$C:$C,'divisional &amp; regional caseload'!$B$50)</f>
        <v>0</v>
      </c>
      <c r="K55" s="94">
        <f>SUMIFS('caseload data'!M:M,'caseload data'!$D:$D,"SPO",'caseload data'!$C:$C,'divisional &amp; regional caseload'!$B$50)</f>
        <v>0</v>
      </c>
      <c r="L55" s="94">
        <f>SUMIFS('caseload data'!N:N,'caseload data'!$D:$D,"SPO",'caseload data'!$C:$C,'divisional &amp; regional caseload'!$B$50)</f>
        <v>0</v>
      </c>
      <c r="M55" s="94">
        <f>SUMIFS('caseload data'!O:O,'caseload data'!$D:$D,"SPO",'caseload data'!$C:$C,'divisional &amp; regional caseload'!$B$50)</f>
        <v>0</v>
      </c>
      <c r="N55" s="94">
        <f>SUMIFS('caseload data'!P:P,'caseload data'!$D:$D,"SPO",'caseload data'!$C:$C,'divisional &amp; regional caseload'!$B$50)</f>
        <v>0</v>
      </c>
      <c r="O55" s="94">
        <f>SUMIFS('caseload data'!Q:Q,'caseload data'!$D:$D,"SPO",'caseload data'!$C:$C,'divisional &amp; regional caseload'!$B$50)</f>
        <v>0</v>
      </c>
      <c r="P55" s="94">
        <f>SUMIFS('caseload data'!R:R,'caseload data'!$D:$D,"SPO",'caseload data'!$C:$C,'divisional &amp; regional caseload'!$B$50)</f>
        <v>0</v>
      </c>
      <c r="Q55" s="94">
        <f>SUMIFS('caseload data'!S:S,'caseload data'!$D:$D,"SPO",'caseload data'!$C:$C,'divisional &amp; regional caseload'!$B$50)</f>
        <v>0</v>
      </c>
      <c r="R55" s="94">
        <f>SUMIFS('caseload data'!T:T,'caseload data'!$D:$D,"SPO",'caseload data'!$C:$C,'divisional &amp; regional caseload'!$B$50)</f>
        <v>0</v>
      </c>
      <c r="S55" s="91"/>
      <c r="T55" s="98" t="s">
        <v>954</v>
      </c>
      <c r="U55" s="94">
        <f>SUMIFS('caseload data'!E:E,'caseload data'!$D:$D,"SPO",'caseload data'!$C:$C,'divisional &amp; regional caseload'!$T$50)</f>
        <v>0</v>
      </c>
      <c r="V55" s="94">
        <f>SUMIFS('caseload data'!F:F,'caseload data'!$D:$D,"SPO",'caseload data'!$C:$C,'divisional &amp; regional caseload'!$T$50)</f>
        <v>0</v>
      </c>
      <c r="W55" s="94">
        <f>SUMIFS('caseload data'!G:G,'caseload data'!$D:$D,"SPO",'caseload data'!$C:$C,'divisional &amp; regional caseload'!$T$50)</f>
        <v>0</v>
      </c>
      <c r="X55" s="94">
        <f>SUMIFS('caseload data'!H:H,'caseload data'!$D:$D,"SPO",'caseload data'!$C:$C,'divisional &amp; regional caseload'!$T$50)</f>
        <v>0</v>
      </c>
      <c r="Y55" s="94">
        <f>SUMIFS('caseload data'!I:I,'caseload data'!$D:$D,"SPO",'caseload data'!$C:$C,'divisional &amp; regional caseload'!$T$50)</f>
        <v>0</v>
      </c>
      <c r="Z55" s="94">
        <f>SUMIFS('caseload data'!J:J,'caseload data'!$D:$D,"SPO",'caseload data'!$C:$C,'divisional &amp; regional caseload'!$T$50)</f>
        <v>0</v>
      </c>
      <c r="AA55" s="94">
        <f>SUMIFS('caseload data'!K:K,'caseload data'!$D:$D,"SPO",'caseload data'!$C:$C,'divisional &amp; regional caseload'!$T$50)</f>
        <v>0</v>
      </c>
      <c r="AB55" s="94">
        <f>SUMIFS('caseload data'!L:L,'caseload data'!$D:$D,"SPO",'caseload data'!$C:$C,'divisional &amp; regional caseload'!$T$50)</f>
        <v>0</v>
      </c>
      <c r="AC55" s="94">
        <f>SUMIFS('caseload data'!M:M,'caseload data'!$D:$D,"SPO",'caseload data'!$C:$C,'divisional &amp; regional caseload'!$T$50)</f>
        <v>0</v>
      </c>
      <c r="AD55" s="94">
        <f>SUMIFS('caseload data'!N:N,'caseload data'!$D:$D,"SPO",'caseload data'!$C:$C,'divisional &amp; regional caseload'!$T$50)</f>
        <v>0</v>
      </c>
      <c r="AE55" s="94">
        <f>SUMIFS('caseload data'!O:O,'caseload data'!$D:$D,"SPO",'caseload data'!$C:$C,'divisional &amp; regional caseload'!$T$50)</f>
        <v>0</v>
      </c>
      <c r="AF55" s="94">
        <f>SUMIFS('caseload data'!P:P,'caseload data'!$D:$D,"SPO",'caseload data'!$C:$C,'divisional &amp; regional caseload'!$T$50)</f>
        <v>0</v>
      </c>
      <c r="AG55" s="94">
        <f>SUMIFS('caseload data'!Q:Q,'caseload data'!$D:$D,"SPO",'caseload data'!$C:$C,'divisional &amp; regional caseload'!$T$50)</f>
        <v>0</v>
      </c>
      <c r="AH55" s="94">
        <f>SUMIFS('caseload data'!R:R,'caseload data'!$D:$D,"SPO",'caseload data'!$C:$C,'divisional &amp; regional caseload'!$T$50)</f>
        <v>0</v>
      </c>
      <c r="AI55" s="94">
        <f>SUMIFS('caseload data'!S:S,'caseload data'!$D:$D,"SPO",'caseload data'!$C:$C,'divisional &amp; regional caseload'!$T$50)</f>
        <v>0</v>
      </c>
      <c r="AJ55" s="94">
        <f>SUMIFS('caseload data'!T:T,'caseload data'!$D:$D,"SPO",'caseload data'!$C:$C,'divisional &amp; regional caseload'!$T$50)</f>
        <v>0</v>
      </c>
    </row>
    <row r="56" spans="2:36" x14ac:dyDescent="0.15">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row>
    <row r="57" spans="2:36" ht="28.5" customHeight="1" x14ac:dyDescent="0.15">
      <c r="B57" s="288">
        <f>HLOOKUP($B$5,Region_Table,16,0)</f>
        <v>0</v>
      </c>
      <c r="C57" s="548" t="s">
        <v>1039</v>
      </c>
      <c r="D57" s="549"/>
      <c r="E57" s="549"/>
      <c r="F57" s="549"/>
      <c r="G57" s="549"/>
      <c r="H57" s="549"/>
      <c r="I57" s="549"/>
      <c r="J57" s="549"/>
      <c r="K57" s="549"/>
      <c r="L57" s="549"/>
      <c r="M57" s="553"/>
      <c r="N57" s="553"/>
      <c r="O57" s="554"/>
      <c r="P57" s="543">
        <f>SUMIF('caseload data'!$C:$C,'divisional &amp; regional caseload'!B57,'caseload data'!V:V)</f>
        <v>0</v>
      </c>
      <c r="Q57" s="544"/>
      <c r="R57" s="545"/>
      <c r="S57" s="91"/>
      <c r="T57" s="288">
        <f>HLOOKUP($B$5,Region_Table,17,0)</f>
        <v>0</v>
      </c>
      <c r="U57" s="548" t="s">
        <v>1039</v>
      </c>
      <c r="V57" s="549"/>
      <c r="W57" s="549"/>
      <c r="X57" s="549"/>
      <c r="Y57" s="549"/>
      <c r="Z57" s="549"/>
      <c r="AA57" s="549"/>
      <c r="AB57" s="549"/>
      <c r="AC57" s="549"/>
      <c r="AD57" s="549"/>
      <c r="AE57" s="549"/>
      <c r="AF57" s="549"/>
      <c r="AG57" s="550"/>
      <c r="AH57" s="543">
        <f>SUMIF('caseload data'!$C:$C,'divisional &amp; regional caseload'!T57,'caseload data'!V:V)</f>
        <v>0</v>
      </c>
      <c r="AI57" s="544"/>
      <c r="AJ57" s="545"/>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91"/>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94">
        <f>SUMIFS('caseload data'!E:E,'caseload data'!$D:$D,"PO",'caseload data'!$C:$C,'divisional &amp; regional caseload'!$B$57)</f>
        <v>0</v>
      </c>
      <c r="D59" s="94">
        <f>SUMIFS('caseload data'!F:F,'caseload data'!$D:$D,"PO",'caseload data'!$C:$C,'divisional &amp; regional caseload'!$B$57)</f>
        <v>0</v>
      </c>
      <c r="E59" s="94">
        <f>SUMIFS('caseload data'!G:G,'caseload data'!$D:$D,"PO",'caseload data'!$C:$C,'divisional &amp; regional caseload'!$B$57)</f>
        <v>0</v>
      </c>
      <c r="F59" s="94">
        <f>SUMIFS('caseload data'!H:H,'caseload data'!$D:$D,"PO",'caseload data'!$C:$C,'divisional &amp; regional caseload'!$B$57)</f>
        <v>0</v>
      </c>
      <c r="G59" s="94">
        <f>SUMIFS('caseload data'!I:I,'caseload data'!$D:$D,"PO",'caseload data'!$C:$C,'divisional &amp; regional caseload'!$B$57)</f>
        <v>0</v>
      </c>
      <c r="H59" s="94">
        <f>SUMIFS('caseload data'!J:J,'caseload data'!$D:$D,"PO",'caseload data'!$C:$C,'divisional &amp; regional caseload'!$B$57)</f>
        <v>0</v>
      </c>
      <c r="I59" s="94">
        <f>SUMIFS('caseload data'!K:K,'caseload data'!$D:$D,"PO",'caseload data'!$C:$C,'divisional &amp; regional caseload'!$B$57)</f>
        <v>0</v>
      </c>
      <c r="J59" s="94">
        <f>SUMIFS('caseload data'!L:L,'caseload data'!$D:$D,"PO",'caseload data'!$C:$C,'divisional &amp; regional caseload'!$B$57)</f>
        <v>0</v>
      </c>
      <c r="K59" s="94">
        <f>SUMIFS('caseload data'!M:M,'caseload data'!$D:$D,"PO",'caseload data'!$C:$C,'divisional &amp; regional caseload'!$B$57)</f>
        <v>0</v>
      </c>
      <c r="L59" s="94">
        <f>SUMIFS('caseload data'!N:N,'caseload data'!$D:$D,"PO",'caseload data'!$C:$C,'divisional &amp; regional caseload'!$B$57)</f>
        <v>0</v>
      </c>
      <c r="M59" s="94">
        <f>SUMIFS('caseload data'!O:O,'caseload data'!$D:$D,"PO",'caseload data'!$C:$C,'divisional &amp; regional caseload'!$B$57)</f>
        <v>0</v>
      </c>
      <c r="N59" s="94">
        <f>SUMIFS('caseload data'!P:P,'caseload data'!$D:$D,"PO",'caseload data'!$C:$C,'divisional &amp; regional caseload'!$B$57)</f>
        <v>0</v>
      </c>
      <c r="O59" s="94">
        <f>SUMIFS('caseload data'!Q:Q,'caseload data'!$D:$D,"PO",'caseload data'!$C:$C,'divisional &amp; regional caseload'!$B$57)</f>
        <v>0</v>
      </c>
      <c r="P59" s="94">
        <f>SUMIFS('caseload data'!R:R,'caseload data'!$D:$D,"PO",'caseload data'!$C:$C,'divisional &amp; regional caseload'!$B$57)</f>
        <v>0</v>
      </c>
      <c r="Q59" s="94">
        <f>SUMIFS('caseload data'!S:S,'caseload data'!$D:$D,"PO",'caseload data'!$C:$C,'divisional &amp; regional caseload'!$B$57)</f>
        <v>0</v>
      </c>
      <c r="R59" s="94">
        <f>SUMIFS('caseload data'!T:T,'caseload data'!$D:$D,"PO",'caseload data'!$C:$C,'divisional &amp; regional caseload'!$B$57)</f>
        <v>0</v>
      </c>
      <c r="S59" s="91"/>
      <c r="T59" s="96" t="s">
        <v>947</v>
      </c>
      <c r="U59" s="94">
        <f>SUMIFS('caseload data'!E:E,'caseload data'!$D:$D,"PO",'caseload data'!$C:$C,'divisional &amp; regional caseload'!$T$57)</f>
        <v>0</v>
      </c>
      <c r="V59" s="94">
        <f>SUMIFS('caseload data'!F:F,'caseload data'!$D:$D,"PO",'caseload data'!$C:$C,'divisional &amp; regional caseload'!$T$57)</f>
        <v>0</v>
      </c>
      <c r="W59" s="94">
        <f>SUMIFS('caseload data'!G:G,'caseload data'!$D:$D,"PO",'caseload data'!$C:$C,'divisional &amp; regional caseload'!$T$57)</f>
        <v>0</v>
      </c>
      <c r="X59" s="94">
        <f>SUMIFS('caseload data'!H:H,'caseload data'!$D:$D,"PO",'caseload data'!$C:$C,'divisional &amp; regional caseload'!$T$57)</f>
        <v>0</v>
      </c>
      <c r="Y59" s="94">
        <f>SUMIFS('caseload data'!I:I,'caseload data'!$D:$D,"PO",'caseload data'!$C:$C,'divisional &amp; regional caseload'!$T$57)</f>
        <v>0</v>
      </c>
      <c r="Z59" s="94">
        <f>SUMIFS('caseload data'!J:J,'caseload data'!$D:$D,"PO",'caseload data'!$C:$C,'divisional &amp; regional caseload'!$T$57)</f>
        <v>0</v>
      </c>
      <c r="AA59" s="94">
        <f>SUMIFS('caseload data'!K:K,'caseload data'!$D:$D,"PO",'caseload data'!$C:$C,'divisional &amp; regional caseload'!$T$57)</f>
        <v>0</v>
      </c>
      <c r="AB59" s="94">
        <f>SUMIFS('caseload data'!L:L,'caseload data'!$D:$D,"PO",'caseload data'!$C:$C,'divisional &amp; regional caseload'!$T$57)</f>
        <v>0</v>
      </c>
      <c r="AC59" s="94">
        <f>SUMIFS('caseload data'!M:M,'caseload data'!$D:$D,"PO",'caseload data'!$C:$C,'divisional &amp; regional caseload'!$T$57)</f>
        <v>0</v>
      </c>
      <c r="AD59" s="94">
        <f>SUMIFS('caseload data'!N:N,'caseload data'!$D:$D,"PO",'caseload data'!$C:$C,'divisional &amp; regional caseload'!$T$57)</f>
        <v>0</v>
      </c>
      <c r="AE59" s="94">
        <f>SUMIFS('caseload data'!O:O,'caseload data'!$D:$D,"PO",'caseload data'!$C:$C,'divisional &amp; regional caseload'!$T$57)</f>
        <v>0</v>
      </c>
      <c r="AF59" s="94">
        <f>SUMIFS('caseload data'!P:P,'caseload data'!$D:$D,"PO",'caseload data'!$C:$C,'divisional &amp; regional caseload'!$T$57)</f>
        <v>0</v>
      </c>
      <c r="AG59" s="94">
        <f>SUMIFS('caseload data'!Q:Q,'caseload data'!$D:$D,"PO",'caseload data'!$C:$C,'divisional &amp; regional caseload'!$T$57)</f>
        <v>0</v>
      </c>
      <c r="AH59" s="94">
        <f>SUMIFS('caseload data'!R:R,'caseload data'!$D:$D,"PO",'caseload data'!$C:$C,'divisional &amp; regional caseload'!$T$57)</f>
        <v>0</v>
      </c>
      <c r="AI59" s="94">
        <f>SUMIFS('caseload data'!S:S,'caseload data'!$D:$D,"PO",'caseload data'!$C:$C,'divisional &amp; regional caseload'!$T$57)</f>
        <v>0</v>
      </c>
      <c r="AJ59" s="94">
        <f>SUMIFS('caseload data'!T:T,'caseload data'!$D:$D,"PO",'caseload data'!$C:$C,'divisional &amp; regional caseload'!$T$57)</f>
        <v>0</v>
      </c>
    </row>
    <row r="60" spans="2:36" x14ac:dyDescent="0.15">
      <c r="B60" s="97" t="s">
        <v>952</v>
      </c>
      <c r="C60" s="94">
        <f>SUMIFS('caseload data'!E:E,'caseload data'!$D:$D,"PSO",'caseload data'!$C:$C,'divisional &amp; regional caseload'!$B$57)</f>
        <v>0</v>
      </c>
      <c r="D60" s="94">
        <f>SUMIFS('caseload data'!F:F,'caseload data'!$D:$D,"PSO",'caseload data'!$C:$C,'divisional &amp; regional caseload'!$B$57)</f>
        <v>0</v>
      </c>
      <c r="E60" s="94">
        <f>SUMIFS('caseload data'!G:G,'caseload data'!$D:$D,"PSO",'caseload data'!$C:$C,'divisional &amp; regional caseload'!$B$57)</f>
        <v>0</v>
      </c>
      <c r="F60" s="94">
        <f>SUMIFS('caseload data'!H:H,'caseload data'!$D:$D,"PSO",'caseload data'!$C:$C,'divisional &amp; regional caseload'!$B$57)</f>
        <v>0</v>
      </c>
      <c r="G60" s="94">
        <f>SUMIFS('caseload data'!I:I,'caseload data'!$D:$D,"PSO",'caseload data'!$C:$C,'divisional &amp; regional caseload'!$B$57)</f>
        <v>0</v>
      </c>
      <c r="H60" s="94">
        <f>SUMIFS('caseload data'!J:J,'caseload data'!$D:$D,"PSO",'caseload data'!$C:$C,'divisional &amp; regional caseload'!$B$57)</f>
        <v>0</v>
      </c>
      <c r="I60" s="94">
        <f>SUMIFS('caseload data'!K:K,'caseload data'!$D:$D,"PSO",'caseload data'!$C:$C,'divisional &amp; regional caseload'!$B$57)</f>
        <v>0</v>
      </c>
      <c r="J60" s="94">
        <f>SUMIFS('caseload data'!L:L,'caseload data'!$D:$D,"PSO",'caseload data'!$C:$C,'divisional &amp; regional caseload'!$B$57)</f>
        <v>0</v>
      </c>
      <c r="K60" s="94">
        <f>SUMIFS('caseload data'!M:M,'caseload data'!$D:$D,"PSO",'caseload data'!$C:$C,'divisional &amp; regional caseload'!$B$57)</f>
        <v>0</v>
      </c>
      <c r="L60" s="94">
        <f>SUMIFS('caseload data'!N:N,'caseload data'!$D:$D,"PSO",'caseload data'!$C:$C,'divisional &amp; regional caseload'!$B$57)</f>
        <v>0</v>
      </c>
      <c r="M60" s="94">
        <f>SUMIFS('caseload data'!O:O,'caseload data'!$D:$D,"PSO",'caseload data'!$C:$C,'divisional &amp; regional caseload'!$B$57)</f>
        <v>0</v>
      </c>
      <c r="N60" s="94">
        <f>SUMIFS('caseload data'!P:P,'caseload data'!$D:$D,"PSO",'caseload data'!$C:$C,'divisional &amp; regional caseload'!$B$57)</f>
        <v>0</v>
      </c>
      <c r="O60" s="94">
        <f>SUMIFS('caseload data'!Q:Q,'caseload data'!$D:$D,"PSO",'caseload data'!$C:$C,'divisional &amp; regional caseload'!$B$57)</f>
        <v>0</v>
      </c>
      <c r="P60" s="94">
        <f>SUMIFS('caseload data'!R:R,'caseload data'!$D:$D,"PSO",'caseload data'!$C:$C,'divisional &amp; regional caseload'!$B$57)</f>
        <v>0</v>
      </c>
      <c r="Q60" s="94">
        <f>SUMIFS('caseload data'!S:S,'caseload data'!$D:$D,"PSO",'caseload data'!$C:$C,'divisional &amp; regional caseload'!$B$57)</f>
        <v>0</v>
      </c>
      <c r="R60" s="94">
        <f>SUMIFS('caseload data'!T:T,'caseload data'!$D:$D,"PSO",'caseload data'!$C:$C,'divisional &amp; regional caseload'!$B$57)</f>
        <v>0</v>
      </c>
      <c r="S60" s="91"/>
      <c r="T60" s="97" t="s">
        <v>952</v>
      </c>
      <c r="U60" s="94">
        <f>SUMIFS('caseload data'!E:E,'caseload data'!$D:$D,"PSO",'caseload data'!$C:$C,'divisional &amp; regional caseload'!$T$57)</f>
        <v>0</v>
      </c>
      <c r="V60" s="94">
        <f>SUMIFS('caseload data'!F:F,'caseload data'!$D:$D,"PSO",'caseload data'!$C:$C,'divisional &amp; regional caseload'!$T$57)</f>
        <v>0</v>
      </c>
      <c r="W60" s="94">
        <f>SUMIFS('caseload data'!G:G,'caseload data'!$D:$D,"PSO",'caseload data'!$C:$C,'divisional &amp; regional caseload'!$T$57)</f>
        <v>0</v>
      </c>
      <c r="X60" s="94">
        <f>SUMIFS('caseload data'!H:H,'caseload data'!$D:$D,"PSO",'caseload data'!$C:$C,'divisional &amp; regional caseload'!$T$57)</f>
        <v>0</v>
      </c>
      <c r="Y60" s="94">
        <f>SUMIFS('caseload data'!I:I,'caseload data'!$D:$D,"PSO",'caseload data'!$C:$C,'divisional &amp; regional caseload'!$T$57)</f>
        <v>0</v>
      </c>
      <c r="Z60" s="94">
        <f>SUMIFS('caseload data'!J:J,'caseload data'!$D:$D,"PSO",'caseload data'!$C:$C,'divisional &amp; regional caseload'!$T$57)</f>
        <v>0</v>
      </c>
      <c r="AA60" s="94">
        <f>SUMIFS('caseload data'!K:K,'caseload data'!$D:$D,"PSO",'caseload data'!$C:$C,'divisional &amp; regional caseload'!$T$57)</f>
        <v>0</v>
      </c>
      <c r="AB60" s="94">
        <f>SUMIFS('caseload data'!L:L,'caseload data'!$D:$D,"PSO",'caseload data'!$C:$C,'divisional &amp; regional caseload'!$T$57)</f>
        <v>0</v>
      </c>
      <c r="AC60" s="94">
        <f>SUMIFS('caseload data'!M:M,'caseload data'!$D:$D,"PSO",'caseload data'!$C:$C,'divisional &amp; regional caseload'!$T$57)</f>
        <v>0</v>
      </c>
      <c r="AD60" s="94">
        <f>SUMIFS('caseload data'!N:N,'caseload data'!$D:$D,"PSO",'caseload data'!$C:$C,'divisional &amp; regional caseload'!$T$57)</f>
        <v>0</v>
      </c>
      <c r="AE60" s="94">
        <f>SUMIFS('caseload data'!O:O,'caseload data'!$D:$D,"PSO",'caseload data'!$C:$C,'divisional &amp; regional caseload'!$T$57)</f>
        <v>0</v>
      </c>
      <c r="AF60" s="94">
        <f>SUMIFS('caseload data'!P:P,'caseload data'!$D:$D,"PSO",'caseload data'!$C:$C,'divisional &amp; regional caseload'!$T$57)</f>
        <v>0</v>
      </c>
      <c r="AG60" s="94">
        <f>SUMIFS('caseload data'!Q:Q,'caseload data'!$D:$D,"PSO",'caseload data'!$C:$C,'divisional &amp; regional caseload'!$T$57)</f>
        <v>0</v>
      </c>
      <c r="AH60" s="94">
        <f>SUMIFS('caseload data'!R:R,'caseload data'!$D:$D,"PSO",'caseload data'!$C:$C,'divisional &amp; regional caseload'!$T$57)</f>
        <v>0</v>
      </c>
      <c r="AI60" s="94">
        <f>SUMIFS('caseload data'!S:S,'caseload data'!$D:$D,"PSO",'caseload data'!$C:$C,'divisional &amp; regional caseload'!$T$57)</f>
        <v>0</v>
      </c>
      <c r="AJ60" s="94">
        <f>SUMIFS('caseload data'!T:T,'caseload data'!$D:$D,"PSO",'caseload data'!$C:$C,'divisional &amp; regional caseload'!$T$57)</f>
        <v>0</v>
      </c>
    </row>
    <row r="61" spans="2:36" x14ac:dyDescent="0.15">
      <c r="B61" s="97" t="s">
        <v>953</v>
      </c>
      <c r="C61" s="94">
        <f>SUMIFS('caseload data'!E:E,'caseload data'!$D:$D,"TPO",'caseload data'!$C:$C,'divisional &amp; regional caseload'!$B$57)</f>
        <v>0</v>
      </c>
      <c r="D61" s="94">
        <f>SUMIFS('caseload data'!F:F,'caseload data'!$D:$D,"TPO",'caseload data'!$C:$C,'divisional &amp; regional caseload'!$B$57)</f>
        <v>0</v>
      </c>
      <c r="E61" s="94">
        <f>SUMIFS('caseload data'!G:G,'caseload data'!$D:$D,"TPO",'caseload data'!$C:$C,'divisional &amp; regional caseload'!$B$57)</f>
        <v>0</v>
      </c>
      <c r="F61" s="94">
        <f>SUMIFS('caseload data'!H:H,'caseload data'!$D:$D,"TPO",'caseload data'!$C:$C,'divisional &amp; regional caseload'!$B$57)</f>
        <v>0</v>
      </c>
      <c r="G61" s="94">
        <f>SUMIFS('caseload data'!I:I,'caseload data'!$D:$D,"TPO",'caseload data'!$C:$C,'divisional &amp; regional caseload'!$B$57)</f>
        <v>0</v>
      </c>
      <c r="H61" s="94">
        <f>SUMIFS('caseload data'!J:J,'caseload data'!$D:$D,"TPO",'caseload data'!$C:$C,'divisional &amp; regional caseload'!$B$57)</f>
        <v>0</v>
      </c>
      <c r="I61" s="94">
        <f>SUMIFS('caseload data'!K:K,'caseload data'!$D:$D,"TPO",'caseload data'!$C:$C,'divisional &amp; regional caseload'!$B$57)</f>
        <v>0</v>
      </c>
      <c r="J61" s="94">
        <f>SUMIFS('caseload data'!L:L,'caseload data'!$D:$D,"TPO",'caseload data'!$C:$C,'divisional &amp; regional caseload'!$B$57)</f>
        <v>0</v>
      </c>
      <c r="K61" s="94">
        <f>SUMIFS('caseload data'!M:M,'caseload data'!$D:$D,"TPO",'caseload data'!$C:$C,'divisional &amp; regional caseload'!$B$57)</f>
        <v>0</v>
      </c>
      <c r="L61" s="94">
        <f>SUMIFS('caseload data'!N:N,'caseload data'!$D:$D,"TPO",'caseload data'!$C:$C,'divisional &amp; regional caseload'!$B$57)</f>
        <v>0</v>
      </c>
      <c r="M61" s="94">
        <f>SUMIFS('caseload data'!O:O,'caseload data'!$D:$D,"TPO",'caseload data'!$C:$C,'divisional &amp; regional caseload'!$B$57)</f>
        <v>0</v>
      </c>
      <c r="N61" s="94">
        <f>SUMIFS('caseload data'!P:P,'caseload data'!$D:$D,"TPO",'caseload data'!$C:$C,'divisional &amp; regional caseload'!$B$57)</f>
        <v>0</v>
      </c>
      <c r="O61" s="94">
        <f>SUMIFS('caseload data'!Q:Q,'caseload data'!$D:$D,"TPO",'caseload data'!$C:$C,'divisional &amp; regional caseload'!$B$57)</f>
        <v>0</v>
      </c>
      <c r="P61" s="94">
        <f>SUMIFS('caseload data'!R:R,'caseload data'!$D:$D,"TPO",'caseload data'!$C:$C,'divisional &amp; regional caseload'!$B$57)</f>
        <v>0</v>
      </c>
      <c r="Q61" s="94">
        <f>SUMIFS('caseload data'!S:S,'caseload data'!$D:$D,"TPO",'caseload data'!$C:$C,'divisional &amp; regional caseload'!$B$57)</f>
        <v>0</v>
      </c>
      <c r="R61" s="94">
        <f>SUMIFS('caseload data'!T:T,'caseload data'!$D:$D,"TPO",'caseload data'!$C:$C,'divisional &amp; regional caseload'!$B$57)</f>
        <v>0</v>
      </c>
      <c r="S61" s="91"/>
      <c r="T61" s="97" t="s">
        <v>953</v>
      </c>
      <c r="U61" s="94">
        <f>SUMIFS('caseload data'!E:E,'caseload data'!$D:$D,"TPO",'caseload data'!$C:$C,'divisional &amp; regional caseload'!$T$57)</f>
        <v>0</v>
      </c>
      <c r="V61" s="94">
        <f>SUMIFS('caseload data'!F:F,'caseload data'!$D:$D,"TPO",'caseload data'!$C:$C,'divisional &amp; regional caseload'!$T$57)</f>
        <v>0</v>
      </c>
      <c r="W61" s="94">
        <f>SUMIFS('caseload data'!G:G,'caseload data'!$D:$D,"TPO",'caseload data'!$C:$C,'divisional &amp; regional caseload'!$T$57)</f>
        <v>0</v>
      </c>
      <c r="X61" s="94">
        <f>SUMIFS('caseload data'!H:H,'caseload data'!$D:$D,"TPO",'caseload data'!$C:$C,'divisional &amp; regional caseload'!$T$57)</f>
        <v>0</v>
      </c>
      <c r="Y61" s="94">
        <f>SUMIFS('caseload data'!I:I,'caseload data'!$D:$D,"TPO",'caseload data'!$C:$C,'divisional &amp; regional caseload'!$T$57)</f>
        <v>0</v>
      </c>
      <c r="Z61" s="94">
        <f>SUMIFS('caseload data'!J:J,'caseload data'!$D:$D,"TPO",'caseload data'!$C:$C,'divisional &amp; regional caseload'!$T$57)</f>
        <v>0</v>
      </c>
      <c r="AA61" s="94">
        <f>SUMIFS('caseload data'!K:K,'caseload data'!$D:$D,"TPO",'caseload data'!$C:$C,'divisional &amp; regional caseload'!$T$57)</f>
        <v>0</v>
      </c>
      <c r="AB61" s="94">
        <f>SUMIFS('caseload data'!L:L,'caseload data'!$D:$D,"TPO",'caseload data'!$C:$C,'divisional &amp; regional caseload'!$T$57)</f>
        <v>0</v>
      </c>
      <c r="AC61" s="94">
        <f>SUMIFS('caseload data'!M:M,'caseload data'!$D:$D,"TPO",'caseload data'!$C:$C,'divisional &amp; regional caseload'!$T$57)</f>
        <v>0</v>
      </c>
      <c r="AD61" s="94">
        <f>SUMIFS('caseload data'!N:N,'caseload data'!$D:$D,"TPO",'caseload data'!$C:$C,'divisional &amp; regional caseload'!$T$57)</f>
        <v>0</v>
      </c>
      <c r="AE61" s="94">
        <f>SUMIFS('caseload data'!O:O,'caseload data'!$D:$D,"TPO",'caseload data'!$C:$C,'divisional &amp; regional caseload'!$T$57)</f>
        <v>0</v>
      </c>
      <c r="AF61" s="94">
        <f>SUMIFS('caseload data'!P:P,'caseload data'!$D:$D,"TPO",'caseload data'!$C:$C,'divisional &amp; regional caseload'!$T$57)</f>
        <v>0</v>
      </c>
      <c r="AG61" s="94">
        <f>SUMIFS('caseload data'!Q:Q,'caseload data'!$D:$D,"TPO",'caseload data'!$C:$C,'divisional &amp; regional caseload'!$T$57)</f>
        <v>0</v>
      </c>
      <c r="AH61" s="94">
        <f>SUMIFS('caseload data'!R:R,'caseload data'!$D:$D,"TPO",'caseload data'!$C:$C,'divisional &amp; regional caseload'!$T$57)</f>
        <v>0</v>
      </c>
      <c r="AI61" s="94">
        <f>SUMIFS('caseload data'!S:S,'caseload data'!$D:$D,"TPO",'caseload data'!$C:$C,'divisional &amp; regional caseload'!$T$57)</f>
        <v>0</v>
      </c>
      <c r="AJ61" s="94">
        <f>SUMIFS('caseload data'!T:T,'caseload data'!$D:$D,"TPO",'caseload data'!$C:$C,'divisional &amp; regional caseload'!$T$57)</f>
        <v>0</v>
      </c>
    </row>
    <row r="62" spans="2:36" x14ac:dyDescent="0.15">
      <c r="B62" s="98" t="s">
        <v>954</v>
      </c>
      <c r="C62" s="94">
        <f>SUMIFS('caseload data'!E:E,'caseload data'!$D:$D,"SPO",'caseload data'!$C:$C,'divisional &amp; regional caseload'!$B$57)</f>
        <v>0</v>
      </c>
      <c r="D62" s="94">
        <f>SUMIFS('caseload data'!F:F,'caseload data'!$D:$D,"SPO",'caseload data'!$C:$C,'divisional &amp; regional caseload'!$B$57)</f>
        <v>0</v>
      </c>
      <c r="E62" s="94">
        <f>SUMIFS('caseload data'!G:G,'caseload data'!$D:$D,"SPO",'caseload data'!$C:$C,'divisional &amp; regional caseload'!$B$57)</f>
        <v>0</v>
      </c>
      <c r="F62" s="94">
        <f>SUMIFS('caseload data'!H:H,'caseload data'!$D:$D,"SPO",'caseload data'!$C:$C,'divisional &amp; regional caseload'!$B$57)</f>
        <v>0</v>
      </c>
      <c r="G62" s="94">
        <f>SUMIFS('caseload data'!I:I,'caseload data'!$D:$D,"SPO",'caseload data'!$C:$C,'divisional &amp; regional caseload'!$B$57)</f>
        <v>0</v>
      </c>
      <c r="H62" s="94">
        <f>SUMIFS('caseload data'!J:J,'caseload data'!$D:$D,"SPO",'caseload data'!$C:$C,'divisional &amp; regional caseload'!$B$57)</f>
        <v>0</v>
      </c>
      <c r="I62" s="94">
        <f>SUMIFS('caseload data'!K:K,'caseload data'!$D:$D,"SPO",'caseload data'!$C:$C,'divisional &amp; regional caseload'!$B$57)</f>
        <v>0</v>
      </c>
      <c r="J62" s="94">
        <f>SUMIFS('caseload data'!L:L,'caseload data'!$D:$D,"SPO",'caseload data'!$C:$C,'divisional &amp; regional caseload'!$B$57)</f>
        <v>0</v>
      </c>
      <c r="K62" s="94">
        <f>SUMIFS('caseload data'!M:M,'caseload data'!$D:$D,"SPO",'caseload data'!$C:$C,'divisional &amp; regional caseload'!$B$57)</f>
        <v>0</v>
      </c>
      <c r="L62" s="94">
        <f>SUMIFS('caseload data'!N:N,'caseload data'!$D:$D,"SPO",'caseload data'!$C:$C,'divisional &amp; regional caseload'!$B$57)</f>
        <v>0</v>
      </c>
      <c r="M62" s="94">
        <f>SUMIFS('caseload data'!O:O,'caseload data'!$D:$D,"SPO",'caseload data'!$C:$C,'divisional &amp; regional caseload'!$B$57)</f>
        <v>0</v>
      </c>
      <c r="N62" s="94">
        <f>SUMIFS('caseload data'!P:P,'caseload data'!$D:$D,"SPO",'caseload data'!$C:$C,'divisional &amp; regional caseload'!$B$57)</f>
        <v>0</v>
      </c>
      <c r="O62" s="94">
        <f>SUMIFS('caseload data'!Q:Q,'caseload data'!$D:$D,"SPO",'caseload data'!$C:$C,'divisional &amp; regional caseload'!$B$57)</f>
        <v>0</v>
      </c>
      <c r="P62" s="94">
        <f>SUMIFS('caseload data'!R:R,'caseload data'!$D:$D,"SPO",'caseload data'!$C:$C,'divisional &amp; regional caseload'!$B$57)</f>
        <v>0</v>
      </c>
      <c r="Q62" s="94">
        <f>SUMIFS('caseload data'!S:S,'caseload data'!$D:$D,"SPO",'caseload data'!$C:$C,'divisional &amp; regional caseload'!$B$57)</f>
        <v>0</v>
      </c>
      <c r="R62" s="94">
        <f>SUMIFS('caseload data'!T:T,'caseload data'!$D:$D,"SPO",'caseload data'!$C:$C,'divisional &amp; regional caseload'!$B$57)</f>
        <v>0</v>
      </c>
      <c r="S62" s="91"/>
      <c r="T62" s="98" t="s">
        <v>954</v>
      </c>
      <c r="U62" s="94">
        <f>SUMIFS('caseload data'!E:E,'caseload data'!$D:$D,"SPO",'caseload data'!$C:$C,'divisional &amp; regional caseload'!$T$57)</f>
        <v>0</v>
      </c>
      <c r="V62" s="94">
        <f>SUMIFS('caseload data'!F:F,'caseload data'!$D:$D,"SPO",'caseload data'!$C:$C,'divisional &amp; regional caseload'!$T$57)</f>
        <v>0</v>
      </c>
      <c r="W62" s="94">
        <f>SUMIFS('caseload data'!G:G,'caseload data'!$D:$D,"SPO",'caseload data'!$C:$C,'divisional &amp; regional caseload'!$T$57)</f>
        <v>0</v>
      </c>
      <c r="X62" s="94">
        <f>SUMIFS('caseload data'!H:H,'caseload data'!$D:$D,"SPO",'caseload data'!$C:$C,'divisional &amp; regional caseload'!$T$57)</f>
        <v>0</v>
      </c>
      <c r="Y62" s="94">
        <f>SUMIFS('caseload data'!I:I,'caseload data'!$D:$D,"SPO",'caseload data'!$C:$C,'divisional &amp; regional caseload'!$T$57)</f>
        <v>0</v>
      </c>
      <c r="Z62" s="94">
        <f>SUMIFS('caseload data'!J:J,'caseload data'!$D:$D,"SPO",'caseload data'!$C:$C,'divisional &amp; regional caseload'!$T$57)</f>
        <v>0</v>
      </c>
      <c r="AA62" s="94">
        <f>SUMIFS('caseload data'!K:K,'caseload data'!$D:$D,"SPO",'caseload data'!$C:$C,'divisional &amp; regional caseload'!$T$57)</f>
        <v>0</v>
      </c>
      <c r="AB62" s="94">
        <f>SUMIFS('caseload data'!L:L,'caseload data'!$D:$D,"SPO",'caseload data'!$C:$C,'divisional &amp; regional caseload'!$T$57)</f>
        <v>0</v>
      </c>
      <c r="AC62" s="94">
        <f>SUMIFS('caseload data'!M:M,'caseload data'!$D:$D,"SPO",'caseload data'!$C:$C,'divisional &amp; regional caseload'!$T$57)</f>
        <v>0</v>
      </c>
      <c r="AD62" s="94">
        <f>SUMIFS('caseload data'!N:N,'caseload data'!$D:$D,"SPO",'caseload data'!$C:$C,'divisional &amp; regional caseload'!$T$57)</f>
        <v>0</v>
      </c>
      <c r="AE62" s="94">
        <f>SUMIFS('caseload data'!O:O,'caseload data'!$D:$D,"SPO",'caseload data'!$C:$C,'divisional &amp; regional caseload'!$T$57)</f>
        <v>0</v>
      </c>
      <c r="AF62" s="94">
        <f>SUMIFS('caseload data'!P:P,'caseload data'!$D:$D,"SPO",'caseload data'!$C:$C,'divisional &amp; regional caseload'!$T$57)</f>
        <v>0</v>
      </c>
      <c r="AG62" s="94">
        <f>SUMIFS('caseload data'!Q:Q,'caseload data'!$D:$D,"SPO",'caseload data'!$C:$C,'divisional &amp; regional caseload'!$T$57)</f>
        <v>0</v>
      </c>
      <c r="AH62" s="94">
        <f>SUMIFS('caseload data'!R:R,'caseload data'!$D:$D,"SPO",'caseload data'!$C:$C,'divisional &amp; regional caseload'!$T$57)</f>
        <v>0</v>
      </c>
      <c r="AI62" s="94">
        <f>SUMIFS('caseload data'!S:S,'caseload data'!$D:$D,"SPO",'caseload data'!$C:$C,'divisional &amp; regional caseload'!$T$57)</f>
        <v>0</v>
      </c>
      <c r="AJ62" s="94">
        <f>SUMIFS('caseload data'!T:T,'caseload data'!$D:$D,"SPO",'caseload data'!$C:$C,'divisional &amp; regional caseload'!$T$57)</f>
        <v>0</v>
      </c>
    </row>
    <row r="64" spans="2:36" ht="32.25" customHeight="1" x14ac:dyDescent="0.15">
      <c r="B64" s="288">
        <f>HLOOKUP($B$5,Region_Table,18,0)</f>
        <v>0</v>
      </c>
      <c r="C64" s="540" t="s">
        <v>1039</v>
      </c>
      <c r="D64" s="541"/>
      <c r="E64" s="541"/>
      <c r="F64" s="541"/>
      <c r="G64" s="541"/>
      <c r="H64" s="541"/>
      <c r="I64" s="541"/>
      <c r="J64" s="541"/>
      <c r="K64" s="541"/>
      <c r="L64" s="541"/>
      <c r="M64" s="551"/>
      <c r="N64" s="551"/>
      <c r="O64" s="552"/>
      <c r="P64" s="543">
        <f>SUMIF('caseload data'!$C:$C,'divisional &amp; regional caseload'!B64,'caseload data'!V:V)</f>
        <v>0</v>
      </c>
      <c r="Q64" s="544"/>
      <c r="R64" s="545"/>
      <c r="S64" s="91"/>
      <c r="T64" s="288">
        <f>HLOOKUP($B$5,Region_Table,19,0)</f>
        <v>0</v>
      </c>
      <c r="U64" s="540" t="s">
        <v>1039</v>
      </c>
      <c r="V64" s="541"/>
      <c r="W64" s="541"/>
      <c r="X64" s="541"/>
      <c r="Y64" s="541"/>
      <c r="Z64" s="541"/>
      <c r="AA64" s="541"/>
      <c r="AB64" s="541"/>
      <c r="AC64" s="541"/>
      <c r="AD64" s="541"/>
      <c r="AE64" s="541"/>
      <c r="AF64" s="541"/>
      <c r="AG64" s="542"/>
      <c r="AH64" s="543">
        <f>SUMIF('caseload data'!$C:$C,'divisional &amp; regional caseload'!T64,'caseload data'!V:V)</f>
        <v>0</v>
      </c>
      <c r="AI64" s="544"/>
      <c r="AJ64" s="545"/>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91"/>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94">
        <f>SUMIFS('caseload data'!E:E,'caseload data'!$D:$D,"PO",'caseload data'!$C:$C,'divisional &amp; regional caseload'!$B$64)</f>
        <v>0</v>
      </c>
      <c r="D66" s="94">
        <f>SUMIFS('caseload data'!F:F,'caseload data'!$D:$D,"PO",'caseload data'!$C:$C,'divisional &amp; regional caseload'!$B$64)</f>
        <v>0</v>
      </c>
      <c r="E66" s="94">
        <f>SUMIFS('caseload data'!G:G,'caseload data'!$D:$D,"PO",'caseload data'!$C:$C,'divisional &amp; regional caseload'!$B$64)</f>
        <v>0</v>
      </c>
      <c r="F66" s="94">
        <f>SUMIFS('caseload data'!H:H,'caseload data'!$D:$D,"PO",'caseload data'!$C:$C,'divisional &amp; regional caseload'!$B$64)</f>
        <v>0</v>
      </c>
      <c r="G66" s="94">
        <f>SUMIFS('caseload data'!I:I,'caseload data'!$D:$D,"PO",'caseload data'!$C:$C,'divisional &amp; regional caseload'!$B$64)</f>
        <v>0</v>
      </c>
      <c r="H66" s="94">
        <f>SUMIFS('caseload data'!J:J,'caseload data'!$D:$D,"PO",'caseload data'!$C:$C,'divisional &amp; regional caseload'!$B$64)</f>
        <v>0</v>
      </c>
      <c r="I66" s="94">
        <f>SUMIFS('caseload data'!K:K,'caseload data'!$D:$D,"PO",'caseload data'!$C:$C,'divisional &amp; regional caseload'!$B$64)</f>
        <v>0</v>
      </c>
      <c r="J66" s="94">
        <f>SUMIFS('caseload data'!L:L,'caseload data'!$D:$D,"PO",'caseload data'!$C:$C,'divisional &amp; regional caseload'!$B$64)</f>
        <v>0</v>
      </c>
      <c r="K66" s="94">
        <f>SUMIFS('caseload data'!M:M,'caseload data'!$D:$D,"PO",'caseload data'!$C:$C,'divisional &amp; regional caseload'!$B$64)</f>
        <v>0</v>
      </c>
      <c r="L66" s="94">
        <f>SUMIFS('caseload data'!N:N,'caseload data'!$D:$D,"PO",'caseload data'!$C:$C,'divisional &amp; regional caseload'!$B$64)</f>
        <v>0</v>
      </c>
      <c r="M66" s="94">
        <f>SUMIFS('caseload data'!O:O,'caseload data'!$D:$D,"PO",'caseload data'!$C:$C,'divisional &amp; regional caseload'!$B$64)</f>
        <v>0</v>
      </c>
      <c r="N66" s="94">
        <f>SUMIFS('caseload data'!P:P,'caseload data'!$D:$D,"PO",'caseload data'!$C:$C,'divisional &amp; regional caseload'!$B$64)</f>
        <v>0</v>
      </c>
      <c r="O66" s="94">
        <f>SUMIFS('caseload data'!Q:Q,'caseload data'!$D:$D,"PO",'caseload data'!$C:$C,'divisional &amp; regional caseload'!$B$64)</f>
        <v>0</v>
      </c>
      <c r="P66" s="94">
        <f>SUMIFS('caseload data'!R:R,'caseload data'!$D:$D,"PO",'caseload data'!$C:$C,'divisional &amp; regional caseload'!$B$64)</f>
        <v>0</v>
      </c>
      <c r="Q66" s="94">
        <f>SUMIFS('caseload data'!S:S,'caseload data'!$D:$D,"PO",'caseload data'!$C:$C,'divisional &amp; regional caseload'!$B$64)</f>
        <v>0</v>
      </c>
      <c r="R66" s="94">
        <f>SUMIFS('caseload data'!T:T,'caseload data'!$D:$D,"PO",'caseload data'!$C:$C,'divisional &amp; regional caseload'!$B$64)</f>
        <v>0</v>
      </c>
      <c r="S66" s="91"/>
      <c r="T66" s="96" t="s">
        <v>947</v>
      </c>
      <c r="U66" s="94">
        <f>SUMIFS('caseload data'!E:E,'caseload data'!$D:$D,"PO",'caseload data'!$C:$C,'divisional &amp; regional caseload'!$T$64)</f>
        <v>0</v>
      </c>
      <c r="V66" s="94">
        <f>SUMIFS('caseload data'!F:F,'caseload data'!$D:$D,"PO",'caseload data'!$C:$C,'divisional &amp; regional caseload'!$T$64)</f>
        <v>0</v>
      </c>
      <c r="W66" s="94">
        <f>SUMIFS('caseload data'!G:G,'caseload data'!$D:$D,"PO",'caseload data'!$C:$C,'divisional &amp; regional caseload'!$T$64)</f>
        <v>0</v>
      </c>
      <c r="X66" s="94">
        <f>SUMIFS('caseload data'!H:H,'caseload data'!$D:$D,"PO",'caseload data'!$C:$C,'divisional &amp; regional caseload'!$T$64)</f>
        <v>0</v>
      </c>
      <c r="Y66" s="94">
        <f>SUMIFS('caseload data'!I:I,'caseload data'!$D:$D,"PO",'caseload data'!$C:$C,'divisional &amp; regional caseload'!$T$64)</f>
        <v>0</v>
      </c>
      <c r="Z66" s="94">
        <f>SUMIFS('caseload data'!J:J,'caseload data'!$D:$D,"PO",'caseload data'!$C:$C,'divisional &amp; regional caseload'!$T$64)</f>
        <v>0</v>
      </c>
      <c r="AA66" s="94">
        <f>SUMIFS('caseload data'!K:K,'caseload data'!$D:$D,"PO",'caseload data'!$C:$C,'divisional &amp; regional caseload'!$T$64)</f>
        <v>0</v>
      </c>
      <c r="AB66" s="94">
        <f>SUMIFS('caseload data'!L:L,'caseload data'!$D:$D,"PO",'caseload data'!$C:$C,'divisional &amp; regional caseload'!$T$64)</f>
        <v>0</v>
      </c>
      <c r="AC66" s="94">
        <f>SUMIFS('caseload data'!M:M,'caseload data'!$D:$D,"PO",'caseload data'!$C:$C,'divisional &amp; regional caseload'!$T$64)</f>
        <v>0</v>
      </c>
      <c r="AD66" s="94">
        <f>SUMIFS('caseload data'!N:N,'caseload data'!$D:$D,"PO",'caseload data'!$C:$C,'divisional &amp; regional caseload'!$T$64)</f>
        <v>0</v>
      </c>
      <c r="AE66" s="94">
        <f>SUMIFS('caseload data'!O:O,'caseload data'!$D:$D,"PO",'caseload data'!$C:$C,'divisional &amp; regional caseload'!$T$64)</f>
        <v>0</v>
      </c>
      <c r="AF66" s="94">
        <f>SUMIFS('caseload data'!P:P,'caseload data'!$D:$D,"PO",'caseload data'!$C:$C,'divisional &amp; regional caseload'!$T$64)</f>
        <v>0</v>
      </c>
      <c r="AG66" s="94">
        <f>SUMIFS('caseload data'!Q:Q,'caseload data'!$D:$D,"PO",'caseload data'!$C:$C,'divisional &amp; regional caseload'!$T$64)</f>
        <v>0</v>
      </c>
      <c r="AH66" s="94">
        <f>SUMIFS('caseload data'!R:R,'caseload data'!$D:$D,"PO",'caseload data'!$C:$C,'divisional &amp; regional caseload'!$T$64)</f>
        <v>0</v>
      </c>
      <c r="AI66" s="94">
        <f>SUMIFS('caseload data'!S:S,'caseload data'!$D:$D,"PO",'caseload data'!$C:$C,'divisional &amp; regional caseload'!$T$64)</f>
        <v>0</v>
      </c>
      <c r="AJ66" s="94">
        <f>SUMIFS('caseload data'!T:T,'caseload data'!$D:$D,"PO",'caseload data'!$C:$C,'divisional &amp; regional caseload'!$T$64)</f>
        <v>0</v>
      </c>
    </row>
    <row r="67" spans="2:36" x14ac:dyDescent="0.15">
      <c r="B67" s="97" t="s">
        <v>952</v>
      </c>
      <c r="C67" s="94">
        <f>SUMIFS('caseload data'!E:E,'caseload data'!$D:$D,"PSO",'caseload data'!$C:$C,'divisional &amp; regional caseload'!$B$64)</f>
        <v>0</v>
      </c>
      <c r="D67" s="94">
        <f>SUMIFS('caseload data'!F:F,'caseload data'!$D:$D,"PSO",'caseload data'!$C:$C,'divisional &amp; regional caseload'!$B$64)</f>
        <v>0</v>
      </c>
      <c r="E67" s="94">
        <f>SUMIFS('caseload data'!G:G,'caseload data'!$D:$D,"PSO",'caseload data'!$C:$C,'divisional &amp; regional caseload'!$B$64)</f>
        <v>0</v>
      </c>
      <c r="F67" s="94">
        <f>SUMIFS('caseload data'!H:H,'caseload data'!$D:$D,"PSO",'caseload data'!$C:$C,'divisional &amp; regional caseload'!$B$64)</f>
        <v>0</v>
      </c>
      <c r="G67" s="94">
        <f>SUMIFS('caseload data'!I:I,'caseload data'!$D:$D,"PSO",'caseload data'!$C:$C,'divisional &amp; regional caseload'!$B$64)</f>
        <v>0</v>
      </c>
      <c r="H67" s="94">
        <f>SUMIFS('caseload data'!J:J,'caseload data'!$D:$D,"PSO",'caseload data'!$C:$C,'divisional &amp; regional caseload'!$B$64)</f>
        <v>0</v>
      </c>
      <c r="I67" s="94">
        <f>SUMIFS('caseload data'!K:K,'caseload data'!$D:$D,"PSO",'caseload data'!$C:$C,'divisional &amp; regional caseload'!$B$64)</f>
        <v>0</v>
      </c>
      <c r="J67" s="94">
        <f>SUMIFS('caseload data'!L:L,'caseload data'!$D:$D,"PSO",'caseload data'!$C:$C,'divisional &amp; regional caseload'!$B$64)</f>
        <v>0</v>
      </c>
      <c r="K67" s="94">
        <f>SUMIFS('caseload data'!M:M,'caseload data'!$D:$D,"PSO",'caseload data'!$C:$C,'divisional &amp; regional caseload'!$B$64)</f>
        <v>0</v>
      </c>
      <c r="L67" s="94">
        <f>SUMIFS('caseload data'!N:N,'caseload data'!$D:$D,"PSO",'caseload data'!$C:$C,'divisional &amp; regional caseload'!$B$64)</f>
        <v>0</v>
      </c>
      <c r="M67" s="94">
        <f>SUMIFS('caseload data'!O:O,'caseload data'!$D:$D,"PSO",'caseload data'!$C:$C,'divisional &amp; regional caseload'!$B$64)</f>
        <v>0</v>
      </c>
      <c r="N67" s="94">
        <f>SUMIFS('caseload data'!P:P,'caseload data'!$D:$D,"PSO",'caseload data'!$C:$C,'divisional &amp; regional caseload'!$B$64)</f>
        <v>0</v>
      </c>
      <c r="O67" s="94">
        <f>SUMIFS('caseload data'!Q:Q,'caseload data'!$D:$D,"PSO",'caseload data'!$C:$C,'divisional &amp; regional caseload'!$B$64)</f>
        <v>0</v>
      </c>
      <c r="P67" s="94">
        <f>SUMIFS('caseload data'!R:R,'caseload data'!$D:$D,"PSO",'caseload data'!$C:$C,'divisional &amp; regional caseload'!$B$64)</f>
        <v>0</v>
      </c>
      <c r="Q67" s="94">
        <f>SUMIFS('caseload data'!S:S,'caseload data'!$D:$D,"PSO",'caseload data'!$C:$C,'divisional &amp; regional caseload'!$B$64)</f>
        <v>0</v>
      </c>
      <c r="R67" s="94">
        <f>SUMIFS('caseload data'!T:T,'caseload data'!$D:$D,"PSO",'caseload data'!$C:$C,'divisional &amp; regional caseload'!$B$64)</f>
        <v>0</v>
      </c>
      <c r="S67" s="91"/>
      <c r="T67" s="97" t="s">
        <v>952</v>
      </c>
      <c r="U67" s="94">
        <f>SUMIFS('caseload data'!E:E,'caseload data'!$D:$D,"PSO",'caseload data'!$C:$C,'divisional &amp; regional caseload'!$T$64)</f>
        <v>0</v>
      </c>
      <c r="V67" s="94">
        <f>SUMIFS('caseload data'!F:F,'caseload data'!$D:$D,"PSO",'caseload data'!$C:$C,'divisional &amp; regional caseload'!$T$64)</f>
        <v>0</v>
      </c>
      <c r="W67" s="94">
        <f>SUMIFS('caseload data'!G:G,'caseload data'!$D:$D,"PSO",'caseload data'!$C:$C,'divisional &amp; regional caseload'!$T$64)</f>
        <v>0</v>
      </c>
      <c r="X67" s="94">
        <f>SUMIFS('caseload data'!H:H,'caseload data'!$D:$D,"PSO",'caseload data'!$C:$C,'divisional &amp; regional caseload'!$T$64)</f>
        <v>0</v>
      </c>
      <c r="Y67" s="94">
        <f>SUMIFS('caseload data'!I:I,'caseload data'!$D:$D,"PSO",'caseload data'!$C:$C,'divisional &amp; regional caseload'!$T$64)</f>
        <v>0</v>
      </c>
      <c r="Z67" s="94">
        <f>SUMIFS('caseload data'!J:J,'caseload data'!$D:$D,"PSO",'caseload data'!$C:$C,'divisional &amp; regional caseload'!$T$64)</f>
        <v>0</v>
      </c>
      <c r="AA67" s="94">
        <f>SUMIFS('caseload data'!K:K,'caseload data'!$D:$D,"PSO",'caseload data'!$C:$C,'divisional &amp; regional caseload'!$T$64)</f>
        <v>0</v>
      </c>
      <c r="AB67" s="94">
        <f>SUMIFS('caseload data'!L:L,'caseload data'!$D:$D,"PSO",'caseload data'!$C:$C,'divisional &amp; regional caseload'!$T$64)</f>
        <v>0</v>
      </c>
      <c r="AC67" s="94">
        <f>SUMIFS('caseload data'!M:M,'caseload data'!$D:$D,"PSO",'caseload data'!$C:$C,'divisional &amp; regional caseload'!$T$64)</f>
        <v>0</v>
      </c>
      <c r="AD67" s="94">
        <f>SUMIFS('caseload data'!N:N,'caseload data'!$D:$D,"PSO",'caseload data'!$C:$C,'divisional &amp; regional caseload'!$T$64)</f>
        <v>0</v>
      </c>
      <c r="AE67" s="94">
        <f>SUMIFS('caseload data'!O:O,'caseload data'!$D:$D,"PSO",'caseload data'!$C:$C,'divisional &amp; regional caseload'!$T$64)</f>
        <v>0</v>
      </c>
      <c r="AF67" s="94">
        <f>SUMIFS('caseload data'!P:P,'caseload data'!$D:$D,"PSO",'caseload data'!$C:$C,'divisional &amp; regional caseload'!$T$64)</f>
        <v>0</v>
      </c>
      <c r="AG67" s="94">
        <f>SUMIFS('caseload data'!Q:Q,'caseload data'!$D:$D,"PSO",'caseload data'!$C:$C,'divisional &amp; regional caseload'!$T$64)</f>
        <v>0</v>
      </c>
      <c r="AH67" s="94">
        <f>SUMIFS('caseload data'!R:R,'caseload data'!$D:$D,"PSO",'caseload data'!$C:$C,'divisional &amp; regional caseload'!$T$64)</f>
        <v>0</v>
      </c>
      <c r="AI67" s="94">
        <f>SUMIFS('caseload data'!S:S,'caseload data'!$D:$D,"PSO",'caseload data'!$C:$C,'divisional &amp; regional caseload'!$T$64)</f>
        <v>0</v>
      </c>
      <c r="AJ67" s="94">
        <f>SUMIFS('caseload data'!T:T,'caseload data'!$D:$D,"PSO",'caseload data'!$C:$C,'divisional &amp; regional caseload'!$T$64)</f>
        <v>0</v>
      </c>
    </row>
    <row r="68" spans="2:36" x14ac:dyDescent="0.15">
      <c r="B68" s="97" t="s">
        <v>953</v>
      </c>
      <c r="C68" s="94">
        <f>SUMIFS('caseload data'!E:E,'caseload data'!$D:$D,"TPO",'caseload data'!$C:$C,'divisional &amp; regional caseload'!$B$64)</f>
        <v>0</v>
      </c>
      <c r="D68" s="94">
        <f>SUMIFS('caseload data'!F:F,'caseload data'!$D:$D,"TPO",'caseload data'!$C:$C,'divisional &amp; regional caseload'!$B$64)</f>
        <v>0</v>
      </c>
      <c r="E68" s="94">
        <f>SUMIFS('caseload data'!G:G,'caseload data'!$D:$D,"TPO",'caseload data'!$C:$C,'divisional &amp; regional caseload'!$B$64)</f>
        <v>0</v>
      </c>
      <c r="F68" s="94">
        <f>SUMIFS('caseload data'!H:H,'caseload data'!$D:$D,"TPO",'caseload data'!$C:$C,'divisional &amp; regional caseload'!$B$64)</f>
        <v>0</v>
      </c>
      <c r="G68" s="94">
        <f>SUMIFS('caseload data'!I:I,'caseload data'!$D:$D,"TPO",'caseload data'!$C:$C,'divisional &amp; regional caseload'!$B$64)</f>
        <v>0</v>
      </c>
      <c r="H68" s="94">
        <f>SUMIFS('caseload data'!J:J,'caseload data'!$D:$D,"TPO",'caseload data'!$C:$C,'divisional &amp; regional caseload'!$B$64)</f>
        <v>0</v>
      </c>
      <c r="I68" s="94">
        <f>SUMIFS('caseload data'!K:K,'caseload data'!$D:$D,"TPO",'caseload data'!$C:$C,'divisional &amp; regional caseload'!$B$64)</f>
        <v>0</v>
      </c>
      <c r="J68" s="94">
        <f>SUMIFS('caseload data'!L:L,'caseload data'!$D:$D,"TPO",'caseload data'!$C:$C,'divisional &amp; regional caseload'!$B$64)</f>
        <v>0</v>
      </c>
      <c r="K68" s="94">
        <f>SUMIFS('caseload data'!M:M,'caseload data'!$D:$D,"TPO",'caseload data'!$C:$C,'divisional &amp; regional caseload'!$B$64)</f>
        <v>0</v>
      </c>
      <c r="L68" s="94">
        <f>SUMIFS('caseload data'!N:N,'caseload data'!$D:$D,"TPO",'caseload data'!$C:$C,'divisional &amp; regional caseload'!$B$64)</f>
        <v>0</v>
      </c>
      <c r="M68" s="94">
        <f>SUMIFS('caseload data'!O:O,'caseload data'!$D:$D,"TPO",'caseload data'!$C:$C,'divisional &amp; regional caseload'!$B$64)</f>
        <v>0</v>
      </c>
      <c r="N68" s="94">
        <f>SUMIFS('caseload data'!P:P,'caseload data'!$D:$D,"TPO",'caseload data'!$C:$C,'divisional &amp; regional caseload'!$B$64)</f>
        <v>0</v>
      </c>
      <c r="O68" s="94">
        <f>SUMIFS('caseload data'!Q:Q,'caseload data'!$D:$D,"TPO",'caseload data'!$C:$C,'divisional &amp; regional caseload'!$B$64)</f>
        <v>0</v>
      </c>
      <c r="P68" s="94">
        <f>SUMIFS('caseload data'!R:R,'caseload data'!$D:$D,"TPO",'caseload data'!$C:$C,'divisional &amp; regional caseload'!$B$64)</f>
        <v>0</v>
      </c>
      <c r="Q68" s="94">
        <f>SUMIFS('caseload data'!S:S,'caseload data'!$D:$D,"TPO",'caseload data'!$C:$C,'divisional &amp; regional caseload'!$B$64)</f>
        <v>0</v>
      </c>
      <c r="R68" s="94">
        <f>SUMIFS('caseload data'!T:T,'caseload data'!$D:$D,"TPO",'caseload data'!$C:$C,'divisional &amp; regional caseload'!$B$64)</f>
        <v>0</v>
      </c>
      <c r="S68" s="91"/>
      <c r="T68" s="97" t="s">
        <v>953</v>
      </c>
      <c r="U68" s="94">
        <f>SUMIFS('caseload data'!E:E,'caseload data'!$D:$D,"TPO",'caseload data'!$C:$C,'divisional &amp; regional caseload'!$T$64)</f>
        <v>0</v>
      </c>
      <c r="V68" s="94">
        <f>SUMIFS('caseload data'!F:F,'caseload data'!$D:$D,"TPO",'caseload data'!$C:$C,'divisional &amp; regional caseload'!$T$64)</f>
        <v>0</v>
      </c>
      <c r="W68" s="94">
        <f>SUMIFS('caseload data'!G:G,'caseload data'!$D:$D,"TPO",'caseload data'!$C:$C,'divisional &amp; regional caseload'!$T$64)</f>
        <v>0</v>
      </c>
      <c r="X68" s="94">
        <f>SUMIFS('caseload data'!H:H,'caseload data'!$D:$D,"TPO",'caseload data'!$C:$C,'divisional &amp; regional caseload'!$T$64)</f>
        <v>0</v>
      </c>
      <c r="Y68" s="94">
        <f>SUMIFS('caseload data'!I:I,'caseload data'!$D:$D,"TPO",'caseload data'!$C:$C,'divisional &amp; regional caseload'!$T$64)</f>
        <v>0</v>
      </c>
      <c r="Z68" s="94">
        <f>SUMIFS('caseload data'!J:J,'caseload data'!$D:$D,"TPO",'caseload data'!$C:$C,'divisional &amp; regional caseload'!$T$64)</f>
        <v>0</v>
      </c>
      <c r="AA68" s="94">
        <f>SUMIFS('caseload data'!K:K,'caseload data'!$D:$D,"TPO",'caseload data'!$C:$C,'divisional &amp; regional caseload'!$T$64)</f>
        <v>0</v>
      </c>
      <c r="AB68" s="94">
        <f>SUMIFS('caseload data'!L:L,'caseload data'!$D:$D,"TPO",'caseload data'!$C:$C,'divisional &amp; regional caseload'!$T$64)</f>
        <v>0</v>
      </c>
      <c r="AC68" s="94">
        <f>SUMIFS('caseload data'!M:M,'caseload data'!$D:$D,"TPO",'caseload data'!$C:$C,'divisional &amp; regional caseload'!$T$64)</f>
        <v>0</v>
      </c>
      <c r="AD68" s="94">
        <f>SUMIFS('caseload data'!N:N,'caseload data'!$D:$D,"TPO",'caseload data'!$C:$C,'divisional &amp; regional caseload'!$T$64)</f>
        <v>0</v>
      </c>
      <c r="AE68" s="94">
        <f>SUMIFS('caseload data'!O:O,'caseload data'!$D:$D,"TPO",'caseload data'!$C:$C,'divisional &amp; regional caseload'!$T$64)</f>
        <v>0</v>
      </c>
      <c r="AF68" s="94">
        <f>SUMIFS('caseload data'!P:P,'caseload data'!$D:$D,"TPO",'caseload data'!$C:$C,'divisional &amp; regional caseload'!$T$64)</f>
        <v>0</v>
      </c>
      <c r="AG68" s="94">
        <f>SUMIFS('caseload data'!Q:Q,'caseload data'!$D:$D,"TPO",'caseload data'!$C:$C,'divisional &amp; regional caseload'!$T$64)</f>
        <v>0</v>
      </c>
      <c r="AH68" s="94">
        <f>SUMIFS('caseload data'!R:R,'caseload data'!$D:$D,"TPO",'caseload data'!$C:$C,'divisional &amp; regional caseload'!$T$64)</f>
        <v>0</v>
      </c>
      <c r="AI68" s="94">
        <f>SUMIFS('caseload data'!S:S,'caseload data'!$D:$D,"TPO",'caseload data'!$C:$C,'divisional &amp; regional caseload'!$T$64)</f>
        <v>0</v>
      </c>
      <c r="AJ68" s="94">
        <f>SUMIFS('caseload data'!T:T,'caseload data'!$D:$D,"TPO",'caseload data'!$C:$C,'divisional &amp; regional caseload'!$T$64)</f>
        <v>0</v>
      </c>
    </row>
    <row r="69" spans="2:36" x14ac:dyDescent="0.15">
      <c r="B69" s="98" t="s">
        <v>954</v>
      </c>
      <c r="C69" s="94">
        <f>SUMIFS('caseload data'!E:E,'caseload data'!$D:$D,"SPO",'caseload data'!$C:$C,'divisional &amp; regional caseload'!$B$64)</f>
        <v>0</v>
      </c>
      <c r="D69" s="94">
        <f>SUMIFS('caseload data'!F:F,'caseload data'!$D:$D,"SPO",'caseload data'!$C:$C,'divisional &amp; regional caseload'!$B$64)</f>
        <v>0</v>
      </c>
      <c r="E69" s="94">
        <f>SUMIFS('caseload data'!G:G,'caseload data'!$D:$D,"SPO",'caseload data'!$C:$C,'divisional &amp; regional caseload'!$B$64)</f>
        <v>0</v>
      </c>
      <c r="F69" s="94">
        <f>SUMIFS('caseload data'!H:H,'caseload data'!$D:$D,"SPO",'caseload data'!$C:$C,'divisional &amp; regional caseload'!$B$64)</f>
        <v>0</v>
      </c>
      <c r="G69" s="94">
        <f>SUMIFS('caseload data'!I:I,'caseload data'!$D:$D,"SPO",'caseload data'!$C:$C,'divisional &amp; regional caseload'!$B$64)</f>
        <v>0</v>
      </c>
      <c r="H69" s="94">
        <f>SUMIFS('caseload data'!J:J,'caseload data'!$D:$D,"SPO",'caseload data'!$C:$C,'divisional &amp; regional caseload'!$B$64)</f>
        <v>0</v>
      </c>
      <c r="I69" s="94">
        <f>SUMIFS('caseload data'!K:K,'caseload data'!$D:$D,"SPO",'caseload data'!$C:$C,'divisional &amp; regional caseload'!$B$64)</f>
        <v>0</v>
      </c>
      <c r="J69" s="94">
        <f>SUMIFS('caseload data'!L:L,'caseload data'!$D:$D,"SPO",'caseload data'!$C:$C,'divisional &amp; regional caseload'!$B$64)</f>
        <v>0</v>
      </c>
      <c r="K69" s="94">
        <f>SUMIFS('caseload data'!M:M,'caseload data'!$D:$D,"SPO",'caseload data'!$C:$C,'divisional &amp; regional caseload'!$B$64)</f>
        <v>0</v>
      </c>
      <c r="L69" s="94">
        <f>SUMIFS('caseload data'!N:N,'caseload data'!$D:$D,"SPO",'caseload data'!$C:$C,'divisional &amp; regional caseload'!$B$64)</f>
        <v>0</v>
      </c>
      <c r="M69" s="94">
        <f>SUMIFS('caseload data'!O:O,'caseload data'!$D:$D,"SPO",'caseload data'!$C:$C,'divisional &amp; regional caseload'!$B$64)</f>
        <v>0</v>
      </c>
      <c r="N69" s="94">
        <f>SUMIFS('caseload data'!P:P,'caseload data'!$D:$D,"SPO",'caseload data'!$C:$C,'divisional &amp; regional caseload'!$B$64)</f>
        <v>0</v>
      </c>
      <c r="O69" s="94">
        <f>SUMIFS('caseload data'!Q:Q,'caseload data'!$D:$D,"SPO",'caseload data'!$C:$C,'divisional &amp; regional caseload'!$B$64)</f>
        <v>0</v>
      </c>
      <c r="P69" s="94">
        <f>SUMIFS('caseload data'!R:R,'caseload data'!$D:$D,"SPO",'caseload data'!$C:$C,'divisional &amp; regional caseload'!$B$64)</f>
        <v>0</v>
      </c>
      <c r="Q69" s="94">
        <f>SUMIFS('caseload data'!S:S,'caseload data'!$D:$D,"SPO",'caseload data'!$C:$C,'divisional &amp; regional caseload'!$B$64)</f>
        <v>0</v>
      </c>
      <c r="R69" s="94">
        <f>SUMIFS('caseload data'!T:T,'caseload data'!$D:$D,"SPO",'caseload data'!$C:$C,'divisional &amp; regional caseload'!$B$64)</f>
        <v>0</v>
      </c>
      <c r="S69" s="91"/>
      <c r="T69" s="98" t="s">
        <v>954</v>
      </c>
      <c r="U69" s="94">
        <f>SUMIFS('caseload data'!E:E,'caseload data'!$D:$D,"SPO",'caseload data'!$C:$C,'divisional &amp; regional caseload'!$T$64)</f>
        <v>0</v>
      </c>
      <c r="V69" s="94">
        <f>SUMIFS('caseload data'!F:F,'caseload data'!$D:$D,"SPO",'caseload data'!$C:$C,'divisional &amp; regional caseload'!$T$64)</f>
        <v>0</v>
      </c>
      <c r="W69" s="94">
        <f>SUMIFS('caseload data'!G:G,'caseload data'!$D:$D,"SPO",'caseload data'!$C:$C,'divisional &amp; regional caseload'!$T$64)</f>
        <v>0</v>
      </c>
      <c r="X69" s="94">
        <f>SUMIFS('caseload data'!H:H,'caseload data'!$D:$D,"SPO",'caseload data'!$C:$C,'divisional &amp; regional caseload'!$T$64)</f>
        <v>0</v>
      </c>
      <c r="Y69" s="94">
        <f>SUMIFS('caseload data'!I:I,'caseload data'!$D:$D,"SPO",'caseload data'!$C:$C,'divisional &amp; regional caseload'!$T$64)</f>
        <v>0</v>
      </c>
      <c r="Z69" s="94">
        <f>SUMIFS('caseload data'!J:J,'caseload data'!$D:$D,"SPO",'caseload data'!$C:$C,'divisional &amp; regional caseload'!$T$64)</f>
        <v>0</v>
      </c>
      <c r="AA69" s="94">
        <f>SUMIFS('caseload data'!K:K,'caseload data'!$D:$D,"SPO",'caseload data'!$C:$C,'divisional &amp; regional caseload'!$T$64)</f>
        <v>0</v>
      </c>
      <c r="AB69" s="94">
        <f>SUMIFS('caseload data'!L:L,'caseload data'!$D:$D,"SPO",'caseload data'!$C:$C,'divisional &amp; regional caseload'!$T$64)</f>
        <v>0</v>
      </c>
      <c r="AC69" s="94">
        <f>SUMIFS('caseload data'!M:M,'caseload data'!$D:$D,"SPO",'caseload data'!$C:$C,'divisional &amp; regional caseload'!$T$64)</f>
        <v>0</v>
      </c>
      <c r="AD69" s="94">
        <f>SUMIFS('caseload data'!N:N,'caseload data'!$D:$D,"SPO",'caseload data'!$C:$C,'divisional &amp; regional caseload'!$T$64)</f>
        <v>0</v>
      </c>
      <c r="AE69" s="94">
        <f>SUMIFS('caseload data'!O:O,'caseload data'!$D:$D,"SPO",'caseload data'!$C:$C,'divisional &amp; regional caseload'!$T$64)</f>
        <v>0</v>
      </c>
      <c r="AF69" s="94">
        <f>SUMIFS('caseload data'!P:P,'caseload data'!$D:$D,"SPO",'caseload data'!$C:$C,'divisional &amp; regional caseload'!$T$64)</f>
        <v>0</v>
      </c>
      <c r="AG69" s="94">
        <f>SUMIFS('caseload data'!Q:Q,'caseload data'!$D:$D,"SPO",'caseload data'!$C:$C,'divisional &amp; regional caseload'!$T$64)</f>
        <v>0</v>
      </c>
      <c r="AH69" s="94">
        <f>SUMIFS('caseload data'!R:R,'caseload data'!$D:$D,"SPO",'caseload data'!$C:$C,'divisional &amp; regional caseload'!$T$64)</f>
        <v>0</v>
      </c>
      <c r="AI69" s="94">
        <f>SUMIFS('caseload data'!S:S,'caseload data'!$D:$D,"SPO",'caseload data'!$C:$C,'divisional &amp; regional caseload'!$T$64)</f>
        <v>0</v>
      </c>
      <c r="AJ69" s="94">
        <f>SUMIFS('caseload data'!T:T,'caseload data'!$D:$D,"SPO",'caseload data'!$C:$C,'divisional &amp; regional caseload'!$T$64)</f>
        <v>0</v>
      </c>
    </row>
    <row r="71" spans="2:36" ht="41.25" customHeight="1" x14ac:dyDescent="0.15">
      <c r="B71" s="288">
        <f>HLOOKUP($B$5,Region_Table,20,0)</f>
        <v>0</v>
      </c>
      <c r="C71" s="540" t="s">
        <v>1039</v>
      </c>
      <c r="D71" s="541"/>
      <c r="E71" s="541"/>
      <c r="F71" s="541"/>
      <c r="G71" s="541"/>
      <c r="H71" s="541"/>
      <c r="I71" s="541"/>
      <c r="J71" s="541"/>
      <c r="K71" s="541"/>
      <c r="L71" s="541"/>
      <c r="M71" s="551"/>
      <c r="N71" s="551"/>
      <c r="O71" s="552"/>
      <c r="P71" s="543">
        <f>SUMIF('caseload data'!$C:$C,'divisional &amp; regional caseload'!B71,'caseload data'!V:V)</f>
        <v>0</v>
      </c>
      <c r="Q71" s="544"/>
      <c r="R71" s="545"/>
      <c r="T71" s="288">
        <f>HLOOKUP($B$5,Region_Table,21,0)</f>
        <v>0</v>
      </c>
      <c r="U71" s="540" t="s">
        <v>1039</v>
      </c>
      <c r="V71" s="541"/>
      <c r="W71" s="541"/>
      <c r="X71" s="541"/>
      <c r="Y71" s="541"/>
      <c r="Z71" s="541"/>
      <c r="AA71" s="541"/>
      <c r="AB71" s="541"/>
      <c r="AC71" s="541"/>
      <c r="AD71" s="541"/>
      <c r="AE71" s="541"/>
      <c r="AF71" s="541"/>
      <c r="AG71" s="542"/>
      <c r="AH71" s="543">
        <f>SUMIF('caseload data'!$C:$C,'divisional &amp; regional caseload'!T71,'caseload data'!V:V)</f>
        <v>0</v>
      </c>
      <c r="AI71" s="546"/>
      <c r="AJ71" s="547"/>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94">
        <f>SUMIFS('caseload data'!E:E,'caseload data'!$D:$D,"PO",'caseload data'!$C:$C,'divisional &amp; regional caseload'!$B$71)</f>
        <v>0</v>
      </c>
      <c r="D73" s="94">
        <f>SUMIFS('caseload data'!F:F,'caseload data'!$D:$D,"PO",'caseload data'!$C:$C,'divisional &amp; regional caseload'!$B$71)</f>
        <v>0</v>
      </c>
      <c r="E73" s="94">
        <f>SUMIFS('caseload data'!G:G,'caseload data'!$D:$D,"PO",'caseload data'!$C:$C,'divisional &amp; regional caseload'!$B$71)</f>
        <v>0</v>
      </c>
      <c r="F73" s="94">
        <f>SUMIFS('caseload data'!H:H,'caseload data'!$D:$D,"PO",'caseload data'!$C:$C,'divisional &amp; regional caseload'!$B$71)</f>
        <v>0</v>
      </c>
      <c r="G73" s="94">
        <f>SUMIFS('caseload data'!I:I,'caseload data'!$D:$D,"PO",'caseload data'!$C:$C,'divisional &amp; regional caseload'!$B$71)</f>
        <v>0</v>
      </c>
      <c r="H73" s="94">
        <f>SUMIFS('caseload data'!J:J,'caseload data'!$D:$D,"PO",'caseload data'!$C:$C,'divisional &amp; regional caseload'!$B$71)</f>
        <v>0</v>
      </c>
      <c r="I73" s="94">
        <f>SUMIFS('caseload data'!K:K,'caseload data'!$D:$D,"PO",'caseload data'!$C:$C,'divisional &amp; regional caseload'!$B$71)</f>
        <v>0</v>
      </c>
      <c r="J73" s="94">
        <f>SUMIFS('caseload data'!L:L,'caseload data'!$D:$D,"PO",'caseload data'!$C:$C,'divisional &amp; regional caseload'!$B$71)</f>
        <v>0</v>
      </c>
      <c r="K73" s="94">
        <f>SUMIFS('caseload data'!M:M,'caseload data'!$D:$D,"PO",'caseload data'!$C:$C,'divisional &amp; regional caseload'!$B$71)</f>
        <v>0</v>
      </c>
      <c r="L73" s="94">
        <f>SUMIFS('caseload data'!N:N,'caseload data'!$D:$D,"PO",'caseload data'!$C:$C,'divisional &amp; regional caseload'!$B$71)</f>
        <v>0</v>
      </c>
      <c r="M73" s="94">
        <f>SUMIFS('caseload data'!O:O,'caseload data'!$D:$D,"PO",'caseload data'!$C:$C,'divisional &amp; regional caseload'!$B$71)</f>
        <v>0</v>
      </c>
      <c r="N73" s="94">
        <f>SUMIFS('caseload data'!P:P,'caseload data'!$D:$D,"PO",'caseload data'!$C:$C,'divisional &amp; regional caseload'!$B$71)</f>
        <v>0</v>
      </c>
      <c r="O73" s="94">
        <f>SUMIFS('caseload data'!Q:Q,'caseload data'!$D:$D,"PO",'caseload data'!$C:$C,'divisional &amp; regional caseload'!$B$71)</f>
        <v>0</v>
      </c>
      <c r="P73" s="94">
        <f>SUMIFS('caseload data'!R:R,'caseload data'!$D:$D,"PO",'caseload data'!$C:$C,'divisional &amp; regional caseload'!$B$71)</f>
        <v>0</v>
      </c>
      <c r="Q73" s="94">
        <f>SUMIFS('caseload data'!S:S,'caseload data'!$D:$D,"PO",'caseload data'!$C:$C,'divisional &amp; regional caseload'!$B$71)</f>
        <v>0</v>
      </c>
      <c r="R73" s="94">
        <f>SUMIFS('caseload data'!T:T,'caseload data'!$D:$D,"PO",'caseload data'!$C:$C,'divisional &amp; regional caseload'!$B$71)</f>
        <v>0</v>
      </c>
      <c r="T73" s="96" t="s">
        <v>947</v>
      </c>
      <c r="U73" s="94">
        <f>SUMIFS('caseload data'!E:E,'caseload data'!$D:$D,"PO",'caseload data'!$C:$C,'divisional &amp; regional caseload'!$T$71)</f>
        <v>0</v>
      </c>
      <c r="V73" s="94">
        <f>SUMIFS('caseload data'!F:F,'caseload data'!$D:$D,"PO",'caseload data'!$C:$C,'divisional &amp; regional caseload'!$T$71)</f>
        <v>0</v>
      </c>
      <c r="W73" s="94">
        <f>SUMIFS('caseload data'!G:G,'caseload data'!$D:$D,"PO",'caseload data'!$C:$C,'divisional &amp; regional caseload'!$T$71)</f>
        <v>0</v>
      </c>
      <c r="X73" s="94">
        <f>SUMIFS('caseload data'!H:H,'caseload data'!$D:$D,"PO",'caseload data'!$C:$C,'divisional &amp; regional caseload'!$T$71)</f>
        <v>0</v>
      </c>
      <c r="Y73" s="94">
        <f>SUMIFS('caseload data'!I:I,'caseload data'!$D:$D,"PO",'caseload data'!$C:$C,'divisional &amp; regional caseload'!$T$71)</f>
        <v>0</v>
      </c>
      <c r="Z73" s="94">
        <f>SUMIFS('caseload data'!J:J,'caseload data'!$D:$D,"PO",'caseload data'!$C:$C,'divisional &amp; regional caseload'!$T$71)</f>
        <v>0</v>
      </c>
      <c r="AA73" s="94">
        <f>SUMIFS('caseload data'!K:K,'caseload data'!$D:$D,"PO",'caseload data'!$C:$C,'divisional &amp; regional caseload'!$T$71)</f>
        <v>0</v>
      </c>
      <c r="AB73" s="94">
        <f>SUMIFS('caseload data'!L:L,'caseload data'!$D:$D,"PO",'caseload data'!$C:$C,'divisional &amp; regional caseload'!$T$71)</f>
        <v>0</v>
      </c>
      <c r="AC73" s="94">
        <f>SUMIFS('caseload data'!M:M,'caseload data'!$D:$D,"PO",'caseload data'!$C:$C,'divisional &amp; regional caseload'!$T$71)</f>
        <v>0</v>
      </c>
      <c r="AD73" s="94">
        <f>SUMIFS('caseload data'!N:N,'caseload data'!$D:$D,"PO",'caseload data'!$C:$C,'divisional &amp; regional caseload'!$T$71)</f>
        <v>0</v>
      </c>
      <c r="AE73" s="94">
        <f>SUMIFS('caseload data'!O:O,'caseload data'!$D:$D,"PO",'caseload data'!$C:$C,'divisional &amp; regional caseload'!$T$71)</f>
        <v>0</v>
      </c>
      <c r="AF73" s="94">
        <f>SUMIFS('caseload data'!P:P,'caseload data'!$D:$D,"PO",'caseload data'!$C:$C,'divisional &amp; regional caseload'!$T$71)</f>
        <v>0</v>
      </c>
      <c r="AG73" s="94">
        <f>SUMIFS('caseload data'!Q:Q,'caseload data'!$D:$D,"PO",'caseload data'!$C:$C,'divisional &amp; regional caseload'!$T$71)</f>
        <v>0</v>
      </c>
      <c r="AH73" s="94">
        <f>SUMIFS('caseload data'!R:R,'caseload data'!$D:$D,"PO",'caseload data'!$C:$C,'divisional &amp; regional caseload'!$T$71)</f>
        <v>0</v>
      </c>
      <c r="AI73" s="94">
        <f>SUMIFS('caseload data'!S:S,'caseload data'!$D:$D,"PO",'caseload data'!$C:$C,'divisional &amp; regional caseload'!$T$71)</f>
        <v>0</v>
      </c>
      <c r="AJ73" s="94">
        <f>SUMIFS('caseload data'!T:T,'caseload data'!$D:$D,"PO",'caseload data'!$C:$C,'divisional &amp; regional caseload'!$T$71)</f>
        <v>0</v>
      </c>
    </row>
    <row r="74" spans="2:36" x14ac:dyDescent="0.15">
      <c r="B74" s="97" t="s">
        <v>952</v>
      </c>
      <c r="C74" s="94">
        <f>SUMIFS('caseload data'!E:E,'caseload data'!$D:$D,"PSO",'caseload data'!$C:$C,'divisional &amp; regional caseload'!$B$71)</f>
        <v>0</v>
      </c>
      <c r="D74" s="94">
        <f>SUMIFS('caseload data'!F:F,'caseload data'!$D:$D,"PSO",'caseload data'!$C:$C,'divisional &amp; regional caseload'!$B$71)</f>
        <v>0</v>
      </c>
      <c r="E74" s="94">
        <f>SUMIFS('caseload data'!G:G,'caseload data'!$D:$D,"PSO",'caseload data'!$C:$C,'divisional &amp; regional caseload'!$B$71)</f>
        <v>0</v>
      </c>
      <c r="F74" s="94">
        <f>SUMIFS('caseload data'!H:H,'caseload data'!$D:$D,"PSO",'caseload data'!$C:$C,'divisional &amp; regional caseload'!$B$71)</f>
        <v>0</v>
      </c>
      <c r="G74" s="94">
        <f>SUMIFS('caseload data'!I:I,'caseload data'!$D:$D,"PSO",'caseload data'!$C:$C,'divisional &amp; regional caseload'!$B$71)</f>
        <v>0</v>
      </c>
      <c r="H74" s="94">
        <f>SUMIFS('caseload data'!J:J,'caseload data'!$D:$D,"PSO",'caseload data'!$C:$C,'divisional &amp; regional caseload'!$B$71)</f>
        <v>0</v>
      </c>
      <c r="I74" s="94">
        <f>SUMIFS('caseload data'!K:K,'caseload data'!$D:$D,"PSO",'caseload data'!$C:$C,'divisional &amp; regional caseload'!$B$71)</f>
        <v>0</v>
      </c>
      <c r="J74" s="94">
        <f>SUMIFS('caseload data'!L:L,'caseload data'!$D:$D,"PSO",'caseload data'!$C:$C,'divisional &amp; regional caseload'!$B$71)</f>
        <v>0</v>
      </c>
      <c r="K74" s="94">
        <f>SUMIFS('caseload data'!M:M,'caseload data'!$D:$D,"PSO",'caseload data'!$C:$C,'divisional &amp; regional caseload'!$B$71)</f>
        <v>0</v>
      </c>
      <c r="L74" s="94">
        <f>SUMIFS('caseload data'!N:N,'caseload data'!$D:$D,"PSO",'caseload data'!$C:$C,'divisional &amp; regional caseload'!$B$71)</f>
        <v>0</v>
      </c>
      <c r="M74" s="94">
        <f>SUMIFS('caseload data'!O:O,'caseload data'!$D:$D,"PSO",'caseload data'!$C:$C,'divisional &amp; regional caseload'!$B$71)</f>
        <v>0</v>
      </c>
      <c r="N74" s="94">
        <f>SUMIFS('caseload data'!P:P,'caseload data'!$D:$D,"PSO",'caseload data'!$C:$C,'divisional &amp; regional caseload'!$B$71)</f>
        <v>0</v>
      </c>
      <c r="O74" s="94">
        <f>SUMIFS('caseload data'!Q:Q,'caseload data'!$D:$D,"PSO",'caseload data'!$C:$C,'divisional &amp; regional caseload'!$B$71)</f>
        <v>0</v>
      </c>
      <c r="P74" s="94">
        <f>SUMIFS('caseload data'!R:R,'caseload data'!$D:$D,"PSO",'caseload data'!$C:$C,'divisional &amp; regional caseload'!$B$71)</f>
        <v>0</v>
      </c>
      <c r="Q74" s="94">
        <f>SUMIFS('caseload data'!S:S,'caseload data'!$D:$D,"PSO",'caseload data'!$C:$C,'divisional &amp; regional caseload'!$B$71)</f>
        <v>0</v>
      </c>
      <c r="R74" s="94">
        <f>SUMIFS('caseload data'!T:T,'caseload data'!$D:$D,"PSO",'caseload data'!$C:$C,'divisional &amp; regional caseload'!$B$71)</f>
        <v>0</v>
      </c>
      <c r="T74" s="97" t="s">
        <v>952</v>
      </c>
      <c r="U74" s="94">
        <f>SUMIFS('caseload data'!E:E,'caseload data'!$D:$D,"PSO",'caseload data'!$C:$C,'divisional &amp; regional caseload'!$T$71)</f>
        <v>0</v>
      </c>
      <c r="V74" s="94">
        <f>SUMIFS('caseload data'!F:F,'caseload data'!$D:$D,"PSO",'caseload data'!$C:$C,'divisional &amp; regional caseload'!$T$71)</f>
        <v>0</v>
      </c>
      <c r="W74" s="94">
        <f>SUMIFS('caseload data'!G:G,'caseload data'!$D:$D,"PSO",'caseload data'!$C:$C,'divisional &amp; regional caseload'!$T$71)</f>
        <v>0</v>
      </c>
      <c r="X74" s="94">
        <f>SUMIFS('caseload data'!H:H,'caseload data'!$D:$D,"PSO",'caseload data'!$C:$C,'divisional &amp; regional caseload'!$T$71)</f>
        <v>0</v>
      </c>
      <c r="Y74" s="94">
        <f>SUMIFS('caseload data'!I:I,'caseload data'!$D:$D,"PSO",'caseload data'!$C:$C,'divisional &amp; regional caseload'!$T$71)</f>
        <v>0</v>
      </c>
      <c r="Z74" s="94">
        <f>SUMIFS('caseload data'!J:J,'caseload data'!$D:$D,"PSO",'caseload data'!$C:$C,'divisional &amp; regional caseload'!$T$71)</f>
        <v>0</v>
      </c>
      <c r="AA74" s="94">
        <f>SUMIFS('caseload data'!K:K,'caseload data'!$D:$D,"PSO",'caseload data'!$C:$C,'divisional &amp; regional caseload'!$T$71)</f>
        <v>0</v>
      </c>
      <c r="AB74" s="94">
        <f>SUMIFS('caseload data'!L:L,'caseload data'!$D:$D,"PSO",'caseload data'!$C:$C,'divisional &amp; regional caseload'!$T$71)</f>
        <v>0</v>
      </c>
      <c r="AC74" s="94">
        <f>SUMIFS('caseload data'!M:M,'caseload data'!$D:$D,"PSO",'caseload data'!$C:$C,'divisional &amp; regional caseload'!$T$71)</f>
        <v>0</v>
      </c>
      <c r="AD74" s="94">
        <f>SUMIFS('caseload data'!N:N,'caseload data'!$D:$D,"PSO",'caseload data'!$C:$C,'divisional &amp; regional caseload'!$T$71)</f>
        <v>0</v>
      </c>
      <c r="AE74" s="94">
        <f>SUMIFS('caseload data'!O:O,'caseload data'!$D:$D,"PSO",'caseload data'!$C:$C,'divisional &amp; regional caseload'!$T$71)</f>
        <v>0</v>
      </c>
      <c r="AF74" s="94">
        <f>SUMIFS('caseload data'!P:P,'caseload data'!$D:$D,"PSO",'caseload data'!$C:$C,'divisional &amp; regional caseload'!$T$71)</f>
        <v>0</v>
      </c>
      <c r="AG74" s="94">
        <f>SUMIFS('caseload data'!Q:Q,'caseload data'!$D:$D,"PSO",'caseload data'!$C:$C,'divisional &amp; regional caseload'!$T$71)</f>
        <v>0</v>
      </c>
      <c r="AH74" s="94">
        <f>SUMIFS('caseload data'!R:R,'caseload data'!$D:$D,"PSO",'caseload data'!$C:$C,'divisional &amp; regional caseload'!$T$71)</f>
        <v>0</v>
      </c>
      <c r="AI74" s="94">
        <f>SUMIFS('caseload data'!S:S,'caseload data'!$D:$D,"PSO",'caseload data'!$C:$C,'divisional &amp; regional caseload'!$T$71)</f>
        <v>0</v>
      </c>
      <c r="AJ74" s="94">
        <f>SUMIFS('caseload data'!T:T,'caseload data'!$D:$D,"PSO",'caseload data'!$C:$C,'divisional &amp; regional caseload'!$T$71)</f>
        <v>0</v>
      </c>
    </row>
    <row r="75" spans="2:36" x14ac:dyDescent="0.15">
      <c r="B75" s="97" t="s">
        <v>953</v>
      </c>
      <c r="C75" s="94">
        <f>SUMIFS('caseload data'!E:E,'caseload data'!$D:$D,"TPO",'caseload data'!$C:$C,'divisional &amp; regional caseload'!$B$71)</f>
        <v>0</v>
      </c>
      <c r="D75" s="94">
        <f>SUMIFS('caseload data'!F:F,'caseload data'!$D:$D,"TPO",'caseload data'!$C:$C,'divisional &amp; regional caseload'!$B$71)</f>
        <v>0</v>
      </c>
      <c r="E75" s="94">
        <f>SUMIFS('caseload data'!G:G,'caseload data'!$D:$D,"TPO",'caseload data'!$C:$C,'divisional &amp; regional caseload'!$B$71)</f>
        <v>0</v>
      </c>
      <c r="F75" s="94">
        <f>SUMIFS('caseload data'!H:H,'caseload data'!$D:$D,"TPO",'caseload data'!$C:$C,'divisional &amp; regional caseload'!$B$71)</f>
        <v>0</v>
      </c>
      <c r="G75" s="94">
        <f>SUMIFS('caseload data'!I:I,'caseload data'!$D:$D,"TPO",'caseload data'!$C:$C,'divisional &amp; regional caseload'!$B$71)</f>
        <v>0</v>
      </c>
      <c r="H75" s="94">
        <f>SUMIFS('caseload data'!J:J,'caseload data'!$D:$D,"TPO",'caseload data'!$C:$C,'divisional &amp; regional caseload'!$B$71)</f>
        <v>0</v>
      </c>
      <c r="I75" s="94">
        <f>SUMIFS('caseload data'!K:K,'caseload data'!$D:$D,"TPO",'caseload data'!$C:$C,'divisional &amp; regional caseload'!$B$71)</f>
        <v>0</v>
      </c>
      <c r="J75" s="94">
        <f>SUMIFS('caseload data'!L:L,'caseload data'!$D:$D,"TPO",'caseload data'!$C:$C,'divisional &amp; regional caseload'!$B$71)</f>
        <v>0</v>
      </c>
      <c r="K75" s="94">
        <f>SUMIFS('caseload data'!M:M,'caseload data'!$D:$D,"TPO",'caseload data'!$C:$C,'divisional &amp; regional caseload'!$B$71)</f>
        <v>0</v>
      </c>
      <c r="L75" s="94">
        <f>SUMIFS('caseload data'!N:N,'caseload data'!$D:$D,"TPO",'caseload data'!$C:$C,'divisional &amp; regional caseload'!$B$71)</f>
        <v>0</v>
      </c>
      <c r="M75" s="94">
        <f>SUMIFS('caseload data'!O:O,'caseload data'!$D:$D,"TPO",'caseload data'!$C:$C,'divisional &amp; regional caseload'!$B$71)</f>
        <v>0</v>
      </c>
      <c r="N75" s="94">
        <f>SUMIFS('caseload data'!P:P,'caseload data'!$D:$D,"TPO",'caseload data'!$C:$C,'divisional &amp; regional caseload'!$B$71)</f>
        <v>0</v>
      </c>
      <c r="O75" s="94">
        <f>SUMIFS('caseload data'!Q:Q,'caseload data'!$D:$D,"TPO",'caseload data'!$C:$C,'divisional &amp; regional caseload'!$B$71)</f>
        <v>0</v>
      </c>
      <c r="P75" s="94">
        <f>SUMIFS('caseload data'!R:R,'caseload data'!$D:$D,"TPO",'caseload data'!$C:$C,'divisional &amp; regional caseload'!$B$71)</f>
        <v>0</v>
      </c>
      <c r="Q75" s="94">
        <f>SUMIFS('caseload data'!S:S,'caseload data'!$D:$D,"TPO",'caseload data'!$C:$C,'divisional &amp; regional caseload'!$B$71)</f>
        <v>0</v>
      </c>
      <c r="R75" s="94">
        <f>SUMIFS('caseload data'!T:T,'caseload data'!$D:$D,"TPO",'caseload data'!$C:$C,'divisional &amp; regional caseload'!$B$71)</f>
        <v>0</v>
      </c>
      <c r="T75" s="97" t="s">
        <v>953</v>
      </c>
      <c r="U75" s="94">
        <f>SUMIFS('caseload data'!E:E,'caseload data'!$D:$D,"TPO",'caseload data'!$C:$C,'divisional &amp; regional caseload'!$T$71)</f>
        <v>0</v>
      </c>
      <c r="V75" s="94">
        <f>SUMIFS('caseload data'!F:F,'caseload data'!$D:$D,"TPO",'caseload data'!$C:$C,'divisional &amp; regional caseload'!$T$71)</f>
        <v>0</v>
      </c>
      <c r="W75" s="94">
        <f>SUMIFS('caseload data'!G:G,'caseload data'!$D:$D,"TPO",'caseload data'!$C:$C,'divisional &amp; regional caseload'!$T$71)</f>
        <v>0</v>
      </c>
      <c r="X75" s="94">
        <f>SUMIFS('caseload data'!H:H,'caseload data'!$D:$D,"TPO",'caseload data'!$C:$C,'divisional &amp; regional caseload'!$T$71)</f>
        <v>0</v>
      </c>
      <c r="Y75" s="94">
        <f>SUMIFS('caseload data'!I:I,'caseload data'!$D:$D,"TPO",'caseload data'!$C:$C,'divisional &amp; regional caseload'!$T$71)</f>
        <v>0</v>
      </c>
      <c r="Z75" s="94">
        <f>SUMIFS('caseload data'!J:J,'caseload data'!$D:$D,"TPO",'caseload data'!$C:$C,'divisional &amp; regional caseload'!$T$71)</f>
        <v>0</v>
      </c>
      <c r="AA75" s="94">
        <f>SUMIFS('caseload data'!K:K,'caseload data'!$D:$D,"TPO",'caseload data'!$C:$C,'divisional &amp; regional caseload'!$T$71)</f>
        <v>0</v>
      </c>
      <c r="AB75" s="94">
        <f>SUMIFS('caseload data'!L:L,'caseload data'!$D:$D,"TPO",'caseload data'!$C:$C,'divisional &amp; regional caseload'!$T$71)</f>
        <v>0</v>
      </c>
      <c r="AC75" s="94">
        <f>SUMIFS('caseload data'!M:M,'caseload data'!$D:$D,"TPO",'caseload data'!$C:$C,'divisional &amp; regional caseload'!$T$71)</f>
        <v>0</v>
      </c>
      <c r="AD75" s="94">
        <f>SUMIFS('caseload data'!N:N,'caseload data'!$D:$D,"TPO",'caseload data'!$C:$C,'divisional &amp; regional caseload'!$T$71)</f>
        <v>0</v>
      </c>
      <c r="AE75" s="94">
        <f>SUMIFS('caseload data'!O:O,'caseload data'!$D:$D,"TPO",'caseload data'!$C:$C,'divisional &amp; regional caseload'!$T$71)</f>
        <v>0</v>
      </c>
      <c r="AF75" s="94">
        <f>SUMIFS('caseload data'!P:P,'caseload data'!$D:$D,"TPO",'caseload data'!$C:$C,'divisional &amp; regional caseload'!$T$71)</f>
        <v>0</v>
      </c>
      <c r="AG75" s="94">
        <f>SUMIFS('caseload data'!Q:Q,'caseload data'!$D:$D,"TPO",'caseload data'!$C:$C,'divisional &amp; regional caseload'!$T$71)</f>
        <v>0</v>
      </c>
      <c r="AH75" s="94">
        <f>SUMIFS('caseload data'!R:R,'caseload data'!$D:$D,"TPO",'caseload data'!$C:$C,'divisional &amp; regional caseload'!$T$71)</f>
        <v>0</v>
      </c>
      <c r="AI75" s="94">
        <f>SUMIFS('caseload data'!S:S,'caseload data'!$D:$D,"TPO",'caseload data'!$C:$C,'divisional &amp; regional caseload'!$T$71)</f>
        <v>0</v>
      </c>
      <c r="AJ75" s="94">
        <f>SUMIFS('caseload data'!T:T,'caseload data'!$D:$D,"TPO",'caseload data'!$C:$C,'divisional &amp; regional caseload'!$T$71)</f>
        <v>0</v>
      </c>
    </row>
    <row r="76" spans="2:36" x14ac:dyDescent="0.15">
      <c r="B76" s="98" t="s">
        <v>954</v>
      </c>
      <c r="C76" s="94">
        <f>SUMIFS('caseload data'!E:E,'caseload data'!$D:$D,"SPO",'caseload data'!$C:$C,'divisional &amp; regional caseload'!$B$71)</f>
        <v>0</v>
      </c>
      <c r="D76" s="94">
        <f>SUMIFS('caseload data'!F:F,'caseload data'!$D:$D,"SPO",'caseload data'!$C:$C,'divisional &amp; regional caseload'!$B$71)</f>
        <v>0</v>
      </c>
      <c r="E76" s="94">
        <f>SUMIFS('caseload data'!G:G,'caseload data'!$D:$D,"SPO",'caseload data'!$C:$C,'divisional &amp; regional caseload'!$B$71)</f>
        <v>0</v>
      </c>
      <c r="F76" s="94">
        <f>SUMIFS('caseload data'!H:H,'caseload data'!$D:$D,"SPO",'caseload data'!$C:$C,'divisional &amp; regional caseload'!$B$71)</f>
        <v>0</v>
      </c>
      <c r="G76" s="94">
        <f>SUMIFS('caseload data'!I:I,'caseload data'!$D:$D,"SPO",'caseload data'!$C:$C,'divisional &amp; regional caseload'!$B$71)</f>
        <v>0</v>
      </c>
      <c r="H76" s="94">
        <f>SUMIFS('caseload data'!J:J,'caseload data'!$D:$D,"SPO",'caseload data'!$C:$C,'divisional &amp; regional caseload'!$B$71)</f>
        <v>0</v>
      </c>
      <c r="I76" s="94">
        <f>SUMIFS('caseload data'!K:K,'caseload data'!$D:$D,"SPO",'caseload data'!$C:$C,'divisional &amp; regional caseload'!$B$71)</f>
        <v>0</v>
      </c>
      <c r="J76" s="94">
        <f>SUMIFS('caseload data'!L:L,'caseload data'!$D:$D,"SPO",'caseload data'!$C:$C,'divisional &amp; regional caseload'!$B$71)</f>
        <v>0</v>
      </c>
      <c r="K76" s="94">
        <f>SUMIFS('caseload data'!M:M,'caseload data'!$D:$D,"SPO",'caseload data'!$C:$C,'divisional &amp; regional caseload'!$B$71)</f>
        <v>0</v>
      </c>
      <c r="L76" s="94">
        <f>SUMIFS('caseload data'!N:N,'caseload data'!$D:$D,"SPO",'caseload data'!$C:$C,'divisional &amp; regional caseload'!$B$71)</f>
        <v>0</v>
      </c>
      <c r="M76" s="94">
        <f>SUMIFS('caseload data'!O:O,'caseload data'!$D:$D,"SPO",'caseload data'!$C:$C,'divisional &amp; regional caseload'!$B$71)</f>
        <v>0</v>
      </c>
      <c r="N76" s="94">
        <f>SUMIFS('caseload data'!P:P,'caseload data'!$D:$D,"SPO",'caseload data'!$C:$C,'divisional &amp; regional caseload'!$B$71)</f>
        <v>0</v>
      </c>
      <c r="O76" s="94">
        <f>SUMIFS('caseload data'!Q:Q,'caseload data'!$D:$D,"SPO",'caseload data'!$C:$C,'divisional &amp; regional caseload'!$B$71)</f>
        <v>0</v>
      </c>
      <c r="P76" s="94">
        <f>SUMIFS('caseload data'!R:R,'caseload data'!$D:$D,"SPO",'caseload data'!$C:$C,'divisional &amp; regional caseload'!$B$71)</f>
        <v>0</v>
      </c>
      <c r="Q76" s="94">
        <f>SUMIFS('caseload data'!S:S,'caseload data'!$D:$D,"SPO",'caseload data'!$C:$C,'divisional &amp; regional caseload'!$B$71)</f>
        <v>0</v>
      </c>
      <c r="R76" s="94">
        <f>SUMIFS('caseload data'!T:T,'caseload data'!$D:$D,"SPO",'caseload data'!$C:$C,'divisional &amp; regional caseload'!$B$71)</f>
        <v>0</v>
      </c>
      <c r="T76" s="98" t="s">
        <v>954</v>
      </c>
      <c r="U76" s="94">
        <f>SUMIFS('caseload data'!E:E,'caseload data'!$D:$D,"SPO",'caseload data'!$C:$C,'divisional &amp; regional caseload'!$T$71)</f>
        <v>0</v>
      </c>
      <c r="V76" s="94">
        <f>SUMIFS('caseload data'!F:F,'caseload data'!$D:$D,"SPO",'caseload data'!$C:$C,'divisional &amp; regional caseload'!$T$71)</f>
        <v>0</v>
      </c>
      <c r="W76" s="94">
        <f>SUMIFS('caseload data'!G:G,'caseload data'!$D:$D,"SPO",'caseload data'!$C:$C,'divisional &amp; regional caseload'!$T$71)</f>
        <v>0</v>
      </c>
      <c r="X76" s="94">
        <f>SUMIFS('caseload data'!H:H,'caseload data'!$D:$D,"SPO",'caseload data'!$C:$C,'divisional &amp; regional caseload'!$T$71)</f>
        <v>0</v>
      </c>
      <c r="Y76" s="94">
        <f>SUMIFS('caseload data'!I:I,'caseload data'!$D:$D,"SPO",'caseload data'!$C:$C,'divisional &amp; regional caseload'!$T$71)</f>
        <v>0</v>
      </c>
      <c r="Z76" s="94">
        <f>SUMIFS('caseload data'!J:J,'caseload data'!$D:$D,"SPO",'caseload data'!$C:$C,'divisional &amp; regional caseload'!$T$71)</f>
        <v>0</v>
      </c>
      <c r="AA76" s="94">
        <f>SUMIFS('caseload data'!K:K,'caseload data'!$D:$D,"SPO",'caseload data'!$C:$C,'divisional &amp; regional caseload'!$T$71)</f>
        <v>0</v>
      </c>
      <c r="AB76" s="94">
        <f>SUMIFS('caseload data'!L:L,'caseload data'!$D:$D,"SPO",'caseload data'!$C:$C,'divisional &amp; regional caseload'!$T$71)</f>
        <v>0</v>
      </c>
      <c r="AC76" s="94">
        <f>SUMIFS('caseload data'!M:M,'caseload data'!$D:$D,"SPO",'caseload data'!$C:$C,'divisional &amp; regional caseload'!$T$71)</f>
        <v>0</v>
      </c>
      <c r="AD76" s="94">
        <f>SUMIFS('caseload data'!N:N,'caseload data'!$D:$D,"SPO",'caseload data'!$C:$C,'divisional &amp; regional caseload'!$T$71)</f>
        <v>0</v>
      </c>
      <c r="AE76" s="94">
        <f>SUMIFS('caseload data'!O:O,'caseload data'!$D:$D,"SPO",'caseload data'!$C:$C,'divisional &amp; regional caseload'!$T$71)</f>
        <v>0</v>
      </c>
      <c r="AF76" s="94">
        <f>SUMIFS('caseload data'!P:P,'caseload data'!$D:$D,"SPO",'caseload data'!$C:$C,'divisional &amp; regional caseload'!$T$71)</f>
        <v>0</v>
      </c>
      <c r="AG76" s="94">
        <f>SUMIFS('caseload data'!Q:Q,'caseload data'!$D:$D,"SPO",'caseload data'!$C:$C,'divisional &amp; regional caseload'!$T$71)</f>
        <v>0</v>
      </c>
      <c r="AH76" s="94">
        <f>SUMIFS('caseload data'!R:R,'caseload data'!$D:$D,"SPO",'caseload data'!$C:$C,'divisional &amp; regional caseload'!$T$71)</f>
        <v>0</v>
      </c>
      <c r="AI76" s="94">
        <f>SUMIFS('caseload data'!S:S,'caseload data'!$D:$D,"SPO",'caseload data'!$C:$C,'divisional &amp; regional caseload'!$T$71)</f>
        <v>0</v>
      </c>
      <c r="AJ76" s="94">
        <f>SUMIFS('caseload data'!T:T,'caseload data'!$D:$D,"SPO",'caseload data'!$C:$C,'divisional &amp; regional caseload'!$T$71)</f>
        <v>0</v>
      </c>
    </row>
    <row r="78" spans="2:36" ht="30" customHeight="1" x14ac:dyDescent="0.15">
      <c r="B78" s="288">
        <f>HLOOKUP($B$5,Region_Table,22,0)</f>
        <v>0</v>
      </c>
      <c r="C78" s="540" t="s">
        <v>1039</v>
      </c>
      <c r="D78" s="541"/>
      <c r="E78" s="541"/>
      <c r="F78" s="541"/>
      <c r="G78" s="541"/>
      <c r="H78" s="541"/>
      <c r="I78" s="541"/>
      <c r="J78" s="541"/>
      <c r="K78" s="541"/>
      <c r="L78" s="541"/>
      <c r="M78" s="551"/>
      <c r="N78" s="551"/>
      <c r="O78" s="552"/>
      <c r="P78" s="543">
        <f>SUMIF('caseload data'!$C:$C,'divisional &amp; regional caseload'!B78,'caseload data'!V:V)</f>
        <v>0</v>
      </c>
      <c r="Q78" s="544"/>
      <c r="R78" s="545"/>
      <c r="T78" s="288">
        <f>HLOOKUP($B$5,Region_Table,23,0)</f>
        <v>0</v>
      </c>
      <c r="U78" s="540" t="s">
        <v>1039</v>
      </c>
      <c r="V78" s="541"/>
      <c r="W78" s="541"/>
      <c r="X78" s="541"/>
      <c r="Y78" s="541"/>
      <c r="Z78" s="541"/>
      <c r="AA78" s="541"/>
      <c r="AB78" s="541"/>
      <c r="AC78" s="541"/>
      <c r="AD78" s="541"/>
      <c r="AE78" s="541"/>
      <c r="AF78" s="541"/>
      <c r="AG78" s="542"/>
      <c r="AH78" s="543">
        <f>SUMIF('caseload data'!$C:$C,'divisional &amp; regional caseload'!T78,'caseload data'!V:V)</f>
        <v>0</v>
      </c>
      <c r="AI78" s="546"/>
      <c r="AJ78" s="547"/>
    </row>
    <row r="79" spans="2:36" x14ac:dyDescent="0.15">
      <c r="B79" s="95"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94">
        <f>SUMIFS('caseload data'!E:E,'caseload data'!$D:$D,"PO",'caseload data'!$C:$C,'divisional &amp; regional caseload'!$B$78)</f>
        <v>0</v>
      </c>
      <c r="D80" s="94">
        <f>SUMIFS('caseload data'!F:F,'caseload data'!$D:$D,"PO",'caseload data'!$C:$C,'divisional &amp; regional caseload'!$B$78)</f>
        <v>0</v>
      </c>
      <c r="E80" s="94">
        <f>SUMIFS('caseload data'!G:G,'caseload data'!$D:$D,"PO",'caseload data'!$C:$C,'divisional &amp; regional caseload'!$B$78)</f>
        <v>0</v>
      </c>
      <c r="F80" s="94">
        <f>SUMIFS('caseload data'!H:H,'caseload data'!$D:$D,"PO",'caseload data'!$C:$C,'divisional &amp; regional caseload'!$B$78)</f>
        <v>0</v>
      </c>
      <c r="G80" s="94">
        <f>SUMIFS('caseload data'!I:I,'caseload data'!$D:$D,"PO",'caseload data'!$C:$C,'divisional &amp; regional caseload'!$B$78)</f>
        <v>0</v>
      </c>
      <c r="H80" s="94">
        <f>SUMIFS('caseload data'!J:J,'caseload data'!$D:$D,"PO",'caseload data'!$C:$C,'divisional &amp; regional caseload'!$B$78)</f>
        <v>0</v>
      </c>
      <c r="I80" s="94">
        <f>SUMIFS('caseload data'!K:K,'caseload data'!$D:$D,"PO",'caseload data'!$C:$C,'divisional &amp; regional caseload'!$B$78)</f>
        <v>0</v>
      </c>
      <c r="J80" s="94">
        <f>SUMIFS('caseload data'!L:L,'caseload data'!$D:$D,"PO",'caseload data'!$C:$C,'divisional &amp; regional caseload'!$B$78)</f>
        <v>0</v>
      </c>
      <c r="K80" s="94">
        <f>SUMIFS('caseload data'!M:M,'caseload data'!$D:$D,"PO",'caseload data'!$C:$C,'divisional &amp; regional caseload'!$B$78)</f>
        <v>0</v>
      </c>
      <c r="L80" s="94">
        <f>SUMIFS('caseload data'!N:N,'caseload data'!$D:$D,"PO",'caseload data'!$C:$C,'divisional &amp; regional caseload'!$B$78)</f>
        <v>0</v>
      </c>
      <c r="M80" s="94">
        <f>SUMIFS('caseload data'!O:O,'caseload data'!$D:$D,"PO",'caseload data'!$C:$C,'divisional &amp; regional caseload'!$B$78)</f>
        <v>0</v>
      </c>
      <c r="N80" s="94">
        <f>SUMIFS('caseload data'!P:P,'caseload data'!$D:$D,"PO",'caseload data'!$C:$C,'divisional &amp; regional caseload'!$B$78)</f>
        <v>0</v>
      </c>
      <c r="O80" s="94">
        <f>SUMIFS('caseload data'!Q:Q,'caseload data'!$D:$D,"PO",'caseload data'!$C:$C,'divisional &amp; regional caseload'!$B$78)</f>
        <v>0</v>
      </c>
      <c r="P80" s="94">
        <f>SUMIFS('caseload data'!R:R,'caseload data'!$D:$D,"PO",'caseload data'!$C:$C,'divisional &amp; regional caseload'!$B$78)</f>
        <v>0</v>
      </c>
      <c r="Q80" s="94">
        <f>SUMIFS('caseload data'!S:S,'caseload data'!$D:$D,"PO",'caseload data'!$C:$C,'divisional &amp; regional caseload'!$B$78)</f>
        <v>0</v>
      </c>
      <c r="R80" s="94">
        <f>SUMIFS('caseload data'!T:T,'caseload data'!$D:$D,"PO",'caseload data'!$C:$C,'divisional &amp; regional caseload'!$B$78)</f>
        <v>0</v>
      </c>
      <c r="T80" s="96" t="s">
        <v>947</v>
      </c>
      <c r="U80" s="94">
        <f>SUMIFS('caseload data'!E:E,'caseload data'!$D:$D,"PO",'caseload data'!$C:$C,'divisional &amp; regional caseload'!$T$64)</f>
        <v>0</v>
      </c>
      <c r="V80" s="94">
        <f>SUMIFS('caseload data'!F:F,'caseload data'!$D:$D,"PO",'caseload data'!$C:$C,'divisional &amp; regional caseload'!$T$64)</f>
        <v>0</v>
      </c>
      <c r="W80" s="94">
        <f>SUMIFS('caseload data'!G:G,'caseload data'!$D:$D,"PO",'caseload data'!$C:$C,'divisional &amp; regional caseload'!$T$64)</f>
        <v>0</v>
      </c>
      <c r="X80" s="94">
        <f>SUMIFS('caseload data'!H:H,'caseload data'!$D:$D,"PO",'caseload data'!$C:$C,'divisional &amp; regional caseload'!$T$64)</f>
        <v>0</v>
      </c>
      <c r="Y80" s="94">
        <f>SUMIFS('caseload data'!I:I,'caseload data'!$D:$D,"PO",'caseload data'!$C:$C,'divisional &amp; regional caseload'!$T$64)</f>
        <v>0</v>
      </c>
      <c r="Z80" s="94">
        <f>SUMIFS('caseload data'!J:J,'caseload data'!$D:$D,"PO",'caseload data'!$C:$C,'divisional &amp; regional caseload'!$T$64)</f>
        <v>0</v>
      </c>
      <c r="AA80" s="94">
        <f>SUMIFS('caseload data'!K:K,'caseload data'!$D:$D,"PO",'caseload data'!$C:$C,'divisional &amp; regional caseload'!$T$64)</f>
        <v>0</v>
      </c>
      <c r="AB80" s="94">
        <f>SUMIFS('caseload data'!L:L,'caseload data'!$D:$D,"PO",'caseload data'!$C:$C,'divisional &amp; regional caseload'!$T$64)</f>
        <v>0</v>
      </c>
      <c r="AC80" s="94">
        <f>SUMIFS('caseload data'!M:M,'caseload data'!$D:$D,"PO",'caseload data'!$C:$C,'divisional &amp; regional caseload'!$T$64)</f>
        <v>0</v>
      </c>
      <c r="AD80" s="94">
        <f>SUMIFS('caseload data'!N:N,'caseload data'!$D:$D,"PO",'caseload data'!$C:$C,'divisional &amp; regional caseload'!$T$64)</f>
        <v>0</v>
      </c>
      <c r="AE80" s="94">
        <f>SUMIFS('caseload data'!O:O,'caseload data'!$D:$D,"PO",'caseload data'!$C:$C,'divisional &amp; regional caseload'!$T$64)</f>
        <v>0</v>
      </c>
      <c r="AF80" s="94">
        <f>SUMIFS('caseload data'!P:P,'caseload data'!$D:$D,"PO",'caseload data'!$C:$C,'divisional &amp; regional caseload'!$T$64)</f>
        <v>0</v>
      </c>
      <c r="AG80" s="94">
        <f>SUMIFS('caseload data'!Q:Q,'caseload data'!$D:$D,"PO",'caseload data'!$C:$C,'divisional &amp; regional caseload'!$T$64)</f>
        <v>0</v>
      </c>
      <c r="AH80" s="94">
        <f>SUMIFS('caseload data'!R:R,'caseload data'!$D:$D,"PO",'caseload data'!$C:$C,'divisional &amp; regional caseload'!$T$64)</f>
        <v>0</v>
      </c>
      <c r="AI80" s="94">
        <f>SUMIFS('caseload data'!S:S,'caseload data'!$D:$D,"PO",'caseload data'!$C:$C,'divisional &amp; regional caseload'!$T$64)</f>
        <v>0</v>
      </c>
      <c r="AJ80" s="94">
        <f>SUMIFS('caseload data'!T:T,'caseload data'!$D:$D,"PO",'caseload data'!$C:$C,'divisional &amp; regional caseload'!$T$64)</f>
        <v>0</v>
      </c>
    </row>
    <row r="81" spans="2:36" x14ac:dyDescent="0.15">
      <c r="B81" s="97" t="s">
        <v>952</v>
      </c>
      <c r="C81" s="94">
        <f>SUMIFS('caseload data'!E:E,'caseload data'!$D:$D,"PSO",'caseload data'!$C:$C,'divisional &amp; regional caseload'!$B$78)</f>
        <v>0</v>
      </c>
      <c r="D81" s="94">
        <f>SUMIFS('caseload data'!F:F,'caseload data'!$D:$D,"PSO",'caseload data'!$C:$C,'divisional &amp; regional caseload'!$B$78)</f>
        <v>0</v>
      </c>
      <c r="E81" s="94">
        <f>SUMIFS('caseload data'!G:G,'caseload data'!$D:$D,"PSO",'caseload data'!$C:$C,'divisional &amp; regional caseload'!$B$78)</f>
        <v>0</v>
      </c>
      <c r="F81" s="94">
        <f>SUMIFS('caseload data'!H:H,'caseload data'!$D:$D,"PSO",'caseload data'!$C:$C,'divisional &amp; regional caseload'!$B$78)</f>
        <v>0</v>
      </c>
      <c r="G81" s="94">
        <f>SUMIFS('caseload data'!I:I,'caseload data'!$D:$D,"PSO",'caseload data'!$C:$C,'divisional &amp; regional caseload'!$B$78)</f>
        <v>0</v>
      </c>
      <c r="H81" s="94">
        <f>SUMIFS('caseload data'!J:J,'caseload data'!$D:$D,"PSO",'caseload data'!$C:$C,'divisional &amp; regional caseload'!$B$78)</f>
        <v>0</v>
      </c>
      <c r="I81" s="94">
        <f>SUMIFS('caseload data'!K:K,'caseload data'!$D:$D,"PSO",'caseload data'!$C:$C,'divisional &amp; regional caseload'!$B$78)</f>
        <v>0</v>
      </c>
      <c r="J81" s="94">
        <f>SUMIFS('caseload data'!L:L,'caseload data'!$D:$D,"PSO",'caseload data'!$C:$C,'divisional &amp; regional caseload'!$B$78)</f>
        <v>0</v>
      </c>
      <c r="K81" s="94">
        <f>SUMIFS('caseload data'!M:M,'caseload data'!$D:$D,"PSO",'caseload data'!$C:$C,'divisional &amp; regional caseload'!$B$78)</f>
        <v>0</v>
      </c>
      <c r="L81" s="94">
        <f>SUMIFS('caseload data'!N:N,'caseload data'!$D:$D,"PSO",'caseload data'!$C:$C,'divisional &amp; regional caseload'!$B$78)</f>
        <v>0</v>
      </c>
      <c r="M81" s="94">
        <f>SUMIFS('caseload data'!O:O,'caseload data'!$D:$D,"PSO",'caseload data'!$C:$C,'divisional &amp; regional caseload'!$B$78)</f>
        <v>0</v>
      </c>
      <c r="N81" s="94">
        <f>SUMIFS('caseload data'!P:P,'caseload data'!$D:$D,"PSO",'caseload data'!$C:$C,'divisional &amp; regional caseload'!$B$78)</f>
        <v>0</v>
      </c>
      <c r="O81" s="94">
        <f>SUMIFS('caseload data'!Q:Q,'caseload data'!$D:$D,"PSO",'caseload data'!$C:$C,'divisional &amp; regional caseload'!$B$78)</f>
        <v>0</v>
      </c>
      <c r="P81" s="94">
        <f>SUMIFS('caseload data'!R:R,'caseload data'!$D:$D,"PSO",'caseload data'!$C:$C,'divisional &amp; regional caseload'!$B$78)</f>
        <v>0</v>
      </c>
      <c r="Q81" s="94">
        <f>SUMIFS('caseload data'!S:S,'caseload data'!$D:$D,"PSO",'caseload data'!$C:$C,'divisional &amp; regional caseload'!$B$78)</f>
        <v>0</v>
      </c>
      <c r="R81" s="94">
        <f>SUMIFS('caseload data'!T:T,'caseload data'!$D:$D,"PSO",'caseload data'!$C:$C,'divisional &amp; regional caseload'!$B$78)</f>
        <v>0</v>
      </c>
      <c r="T81" s="97" t="s">
        <v>952</v>
      </c>
      <c r="U81" s="94">
        <f>SUMIFS('caseload data'!E:E,'caseload data'!$D:$D,"PSO",'caseload data'!$C:$C,'divisional &amp; regional caseload'!$T$64)</f>
        <v>0</v>
      </c>
      <c r="V81" s="94">
        <f>SUMIFS('caseload data'!F:F,'caseload data'!$D:$D,"PSO",'caseload data'!$C:$C,'divisional &amp; regional caseload'!$T$64)</f>
        <v>0</v>
      </c>
      <c r="W81" s="94">
        <f>SUMIFS('caseload data'!G:G,'caseload data'!$D:$D,"PSO",'caseload data'!$C:$C,'divisional &amp; regional caseload'!$T$64)</f>
        <v>0</v>
      </c>
      <c r="X81" s="94">
        <f>SUMIFS('caseload data'!H:H,'caseload data'!$D:$D,"PSO",'caseload data'!$C:$C,'divisional &amp; regional caseload'!$T$64)</f>
        <v>0</v>
      </c>
      <c r="Y81" s="94">
        <f>SUMIFS('caseload data'!I:I,'caseload data'!$D:$D,"PSO",'caseload data'!$C:$C,'divisional &amp; regional caseload'!$T$64)</f>
        <v>0</v>
      </c>
      <c r="Z81" s="94">
        <f>SUMIFS('caseload data'!J:J,'caseload data'!$D:$D,"PSO",'caseload data'!$C:$C,'divisional &amp; regional caseload'!$T$64)</f>
        <v>0</v>
      </c>
      <c r="AA81" s="94">
        <f>SUMIFS('caseload data'!K:K,'caseload data'!$D:$D,"PSO",'caseload data'!$C:$C,'divisional &amp; regional caseload'!$T$64)</f>
        <v>0</v>
      </c>
      <c r="AB81" s="94">
        <f>SUMIFS('caseload data'!L:L,'caseload data'!$D:$D,"PSO",'caseload data'!$C:$C,'divisional &amp; regional caseload'!$T$64)</f>
        <v>0</v>
      </c>
      <c r="AC81" s="94">
        <f>SUMIFS('caseload data'!M:M,'caseload data'!$D:$D,"PSO",'caseload data'!$C:$C,'divisional &amp; regional caseload'!$T$64)</f>
        <v>0</v>
      </c>
      <c r="AD81" s="94">
        <f>SUMIFS('caseload data'!N:N,'caseload data'!$D:$D,"PSO",'caseload data'!$C:$C,'divisional &amp; regional caseload'!$T$64)</f>
        <v>0</v>
      </c>
      <c r="AE81" s="94">
        <f>SUMIFS('caseload data'!O:O,'caseload data'!$D:$D,"PSO",'caseload data'!$C:$C,'divisional &amp; regional caseload'!$T$64)</f>
        <v>0</v>
      </c>
      <c r="AF81" s="94">
        <f>SUMIFS('caseload data'!P:P,'caseload data'!$D:$D,"PSO",'caseload data'!$C:$C,'divisional &amp; regional caseload'!$T$64)</f>
        <v>0</v>
      </c>
      <c r="AG81" s="94">
        <f>SUMIFS('caseload data'!Q:Q,'caseload data'!$D:$D,"PSO",'caseload data'!$C:$C,'divisional &amp; regional caseload'!$T$64)</f>
        <v>0</v>
      </c>
      <c r="AH81" s="94">
        <f>SUMIFS('caseload data'!R:R,'caseload data'!$D:$D,"PSO",'caseload data'!$C:$C,'divisional &amp; regional caseload'!$T$64)</f>
        <v>0</v>
      </c>
      <c r="AI81" s="94">
        <f>SUMIFS('caseload data'!S:S,'caseload data'!$D:$D,"PSO",'caseload data'!$C:$C,'divisional &amp; regional caseload'!$T$64)</f>
        <v>0</v>
      </c>
      <c r="AJ81" s="94">
        <f>SUMIFS('caseload data'!T:T,'caseload data'!$D:$D,"PSO",'caseload data'!$C:$C,'divisional &amp; regional caseload'!$T$64)</f>
        <v>0</v>
      </c>
    </row>
    <row r="82" spans="2:36" x14ac:dyDescent="0.15">
      <c r="B82" s="97" t="s">
        <v>953</v>
      </c>
      <c r="C82" s="94">
        <f>SUMIFS('caseload data'!E:E,'caseload data'!$D:$D,"TPO",'caseload data'!$C:$C,'divisional &amp; regional caseload'!$B$78)</f>
        <v>0</v>
      </c>
      <c r="D82" s="94">
        <f>SUMIFS('caseload data'!F:F,'caseload data'!$D:$D,"TPO",'caseload data'!$C:$C,'divisional &amp; regional caseload'!$B$78)</f>
        <v>0</v>
      </c>
      <c r="E82" s="94">
        <f>SUMIFS('caseload data'!G:G,'caseload data'!$D:$D,"TPO",'caseload data'!$C:$C,'divisional &amp; regional caseload'!$B$78)</f>
        <v>0</v>
      </c>
      <c r="F82" s="94">
        <f>SUMIFS('caseload data'!H:H,'caseload data'!$D:$D,"TPO",'caseload data'!$C:$C,'divisional &amp; regional caseload'!$B$78)</f>
        <v>0</v>
      </c>
      <c r="G82" s="94">
        <f>SUMIFS('caseload data'!I:I,'caseload data'!$D:$D,"TPO",'caseload data'!$C:$C,'divisional &amp; regional caseload'!$B$78)</f>
        <v>0</v>
      </c>
      <c r="H82" s="94">
        <f>SUMIFS('caseload data'!J:J,'caseload data'!$D:$D,"TPO",'caseload data'!$C:$C,'divisional &amp; regional caseload'!$B$78)</f>
        <v>0</v>
      </c>
      <c r="I82" s="94">
        <f>SUMIFS('caseload data'!K:K,'caseload data'!$D:$D,"TPO",'caseload data'!$C:$C,'divisional &amp; regional caseload'!$B$78)</f>
        <v>0</v>
      </c>
      <c r="J82" s="94">
        <f>SUMIFS('caseload data'!L:L,'caseload data'!$D:$D,"TPO",'caseload data'!$C:$C,'divisional &amp; regional caseload'!$B$78)</f>
        <v>0</v>
      </c>
      <c r="K82" s="94">
        <f>SUMIFS('caseload data'!M:M,'caseload data'!$D:$D,"TPO",'caseload data'!$C:$C,'divisional &amp; regional caseload'!$B$78)</f>
        <v>0</v>
      </c>
      <c r="L82" s="94">
        <f>SUMIFS('caseload data'!N:N,'caseload data'!$D:$D,"TPO",'caseload data'!$C:$C,'divisional &amp; regional caseload'!$B$78)</f>
        <v>0</v>
      </c>
      <c r="M82" s="94">
        <f>SUMIFS('caseload data'!O:O,'caseload data'!$D:$D,"TPO",'caseload data'!$C:$C,'divisional &amp; regional caseload'!$B$78)</f>
        <v>0</v>
      </c>
      <c r="N82" s="94">
        <f>SUMIFS('caseload data'!P:P,'caseload data'!$D:$D,"TPO",'caseload data'!$C:$C,'divisional &amp; regional caseload'!$B$78)</f>
        <v>0</v>
      </c>
      <c r="O82" s="94">
        <f>SUMIFS('caseload data'!Q:Q,'caseload data'!$D:$D,"TPO",'caseload data'!$C:$C,'divisional &amp; regional caseload'!$B$78)</f>
        <v>0</v>
      </c>
      <c r="P82" s="94">
        <f>SUMIFS('caseload data'!R:R,'caseload data'!$D:$D,"TPO",'caseload data'!$C:$C,'divisional &amp; regional caseload'!$B$78)</f>
        <v>0</v>
      </c>
      <c r="Q82" s="94">
        <f>SUMIFS('caseload data'!S:S,'caseload data'!$D:$D,"TPO",'caseload data'!$C:$C,'divisional &amp; regional caseload'!$B$78)</f>
        <v>0</v>
      </c>
      <c r="R82" s="94">
        <f>SUMIFS('caseload data'!T:T,'caseload data'!$D:$D,"TPO",'caseload data'!$C:$C,'divisional &amp; regional caseload'!$B$78)</f>
        <v>0</v>
      </c>
      <c r="T82" s="97" t="s">
        <v>953</v>
      </c>
      <c r="U82" s="94">
        <f>SUMIFS('caseload data'!E:E,'caseload data'!$D:$D,"TPO",'caseload data'!$C:$C,'divisional &amp; regional caseload'!$T$64)</f>
        <v>0</v>
      </c>
      <c r="V82" s="94">
        <f>SUMIFS('caseload data'!F:F,'caseload data'!$D:$D,"TPO",'caseload data'!$C:$C,'divisional &amp; regional caseload'!$T$64)</f>
        <v>0</v>
      </c>
      <c r="W82" s="94">
        <f>SUMIFS('caseload data'!G:G,'caseload data'!$D:$D,"TPO",'caseload data'!$C:$C,'divisional &amp; regional caseload'!$T$64)</f>
        <v>0</v>
      </c>
      <c r="X82" s="94">
        <f>SUMIFS('caseload data'!H:H,'caseload data'!$D:$D,"TPO",'caseload data'!$C:$C,'divisional &amp; regional caseload'!$T$64)</f>
        <v>0</v>
      </c>
      <c r="Y82" s="94">
        <f>SUMIFS('caseload data'!I:I,'caseload data'!$D:$D,"TPO",'caseload data'!$C:$C,'divisional &amp; regional caseload'!$T$64)</f>
        <v>0</v>
      </c>
      <c r="Z82" s="94">
        <f>SUMIFS('caseload data'!J:J,'caseload data'!$D:$D,"TPO",'caseload data'!$C:$C,'divisional &amp; regional caseload'!$T$64)</f>
        <v>0</v>
      </c>
      <c r="AA82" s="94">
        <f>SUMIFS('caseload data'!K:K,'caseload data'!$D:$D,"TPO",'caseload data'!$C:$C,'divisional &amp; regional caseload'!$T$64)</f>
        <v>0</v>
      </c>
      <c r="AB82" s="94">
        <f>SUMIFS('caseload data'!L:L,'caseload data'!$D:$D,"TPO",'caseload data'!$C:$C,'divisional &amp; regional caseload'!$T$64)</f>
        <v>0</v>
      </c>
      <c r="AC82" s="94">
        <f>SUMIFS('caseload data'!M:M,'caseload data'!$D:$D,"TPO",'caseload data'!$C:$C,'divisional &amp; regional caseload'!$T$64)</f>
        <v>0</v>
      </c>
      <c r="AD82" s="94">
        <f>SUMIFS('caseload data'!N:N,'caseload data'!$D:$D,"TPO",'caseload data'!$C:$C,'divisional &amp; regional caseload'!$T$64)</f>
        <v>0</v>
      </c>
      <c r="AE82" s="94">
        <f>SUMIFS('caseload data'!O:O,'caseload data'!$D:$D,"TPO",'caseload data'!$C:$C,'divisional &amp; regional caseload'!$T$64)</f>
        <v>0</v>
      </c>
      <c r="AF82" s="94">
        <f>SUMIFS('caseload data'!P:P,'caseload data'!$D:$D,"TPO",'caseload data'!$C:$C,'divisional &amp; regional caseload'!$T$64)</f>
        <v>0</v>
      </c>
      <c r="AG82" s="94">
        <f>SUMIFS('caseload data'!Q:Q,'caseload data'!$D:$D,"TPO",'caseload data'!$C:$C,'divisional &amp; regional caseload'!$T$64)</f>
        <v>0</v>
      </c>
      <c r="AH82" s="94">
        <f>SUMIFS('caseload data'!R:R,'caseload data'!$D:$D,"TPO",'caseload data'!$C:$C,'divisional &amp; regional caseload'!$T$64)</f>
        <v>0</v>
      </c>
      <c r="AI82" s="94">
        <f>SUMIFS('caseload data'!S:S,'caseload data'!$D:$D,"TPO",'caseload data'!$C:$C,'divisional &amp; regional caseload'!$T$64)</f>
        <v>0</v>
      </c>
      <c r="AJ82" s="94">
        <f>SUMIFS('caseload data'!T:T,'caseload data'!$D:$D,"TPO",'caseload data'!$C:$C,'divisional &amp; regional caseload'!$T$64)</f>
        <v>0</v>
      </c>
    </row>
    <row r="83" spans="2:36" x14ac:dyDescent="0.15">
      <c r="B83" s="98" t="s">
        <v>954</v>
      </c>
      <c r="C83" s="94">
        <f>SUMIFS('caseload data'!E:E,'caseload data'!$D:$D,"SPO",'caseload data'!$C:$C,'divisional &amp; regional caseload'!$B$78)</f>
        <v>0</v>
      </c>
      <c r="D83" s="94">
        <f>SUMIFS('caseload data'!F:F,'caseload data'!$D:$D,"SPO",'caseload data'!$C:$C,'divisional &amp; regional caseload'!$B$78)</f>
        <v>0</v>
      </c>
      <c r="E83" s="94">
        <f>SUMIFS('caseload data'!G:G,'caseload data'!$D:$D,"SPO",'caseload data'!$C:$C,'divisional &amp; regional caseload'!$B$78)</f>
        <v>0</v>
      </c>
      <c r="F83" s="94">
        <f>SUMIFS('caseload data'!H:H,'caseload data'!$D:$D,"SPO",'caseload data'!$C:$C,'divisional &amp; regional caseload'!$B$78)</f>
        <v>0</v>
      </c>
      <c r="G83" s="94">
        <f>SUMIFS('caseload data'!I:I,'caseload data'!$D:$D,"SPO",'caseload data'!$C:$C,'divisional &amp; regional caseload'!$B$78)</f>
        <v>0</v>
      </c>
      <c r="H83" s="94">
        <f>SUMIFS('caseload data'!J:J,'caseload data'!$D:$D,"SPO",'caseload data'!$C:$C,'divisional &amp; regional caseload'!$B$78)</f>
        <v>0</v>
      </c>
      <c r="I83" s="94">
        <f>SUMIFS('caseload data'!K:K,'caseload data'!$D:$D,"SPO",'caseload data'!$C:$C,'divisional &amp; regional caseload'!$B$78)</f>
        <v>0</v>
      </c>
      <c r="J83" s="94">
        <f>SUMIFS('caseload data'!L:L,'caseload data'!$D:$D,"SPO",'caseload data'!$C:$C,'divisional &amp; regional caseload'!$B$78)</f>
        <v>0</v>
      </c>
      <c r="K83" s="94">
        <f>SUMIFS('caseload data'!M:M,'caseload data'!$D:$D,"SPO",'caseload data'!$C:$C,'divisional &amp; regional caseload'!$B$78)</f>
        <v>0</v>
      </c>
      <c r="L83" s="94">
        <f>SUMIFS('caseload data'!N:N,'caseload data'!$D:$D,"SPO",'caseload data'!$C:$C,'divisional &amp; regional caseload'!$B$78)</f>
        <v>0</v>
      </c>
      <c r="M83" s="94">
        <f>SUMIFS('caseload data'!O:O,'caseload data'!$D:$D,"SPO",'caseload data'!$C:$C,'divisional &amp; regional caseload'!$B$78)</f>
        <v>0</v>
      </c>
      <c r="N83" s="94">
        <f>SUMIFS('caseload data'!P:P,'caseload data'!$D:$D,"SPO",'caseload data'!$C:$C,'divisional &amp; regional caseload'!$B$78)</f>
        <v>0</v>
      </c>
      <c r="O83" s="94">
        <f>SUMIFS('caseload data'!Q:Q,'caseload data'!$D:$D,"SPO",'caseload data'!$C:$C,'divisional &amp; regional caseload'!$B$78)</f>
        <v>0</v>
      </c>
      <c r="P83" s="94">
        <f>SUMIFS('caseload data'!R:R,'caseload data'!$D:$D,"SPO",'caseload data'!$C:$C,'divisional &amp; regional caseload'!$B$78)</f>
        <v>0</v>
      </c>
      <c r="Q83" s="94">
        <f>SUMIFS('caseload data'!S:S,'caseload data'!$D:$D,"SPO",'caseload data'!$C:$C,'divisional &amp; regional caseload'!$B$78)</f>
        <v>0</v>
      </c>
      <c r="R83" s="94">
        <f>SUMIFS('caseload data'!T:T,'caseload data'!$D:$D,"SPO",'caseload data'!$C:$C,'divisional &amp; regional caseload'!$B$78)</f>
        <v>0</v>
      </c>
      <c r="T83" s="98" t="s">
        <v>954</v>
      </c>
      <c r="U83" s="94">
        <f>SUMIFS('caseload data'!E:E,'caseload data'!$D:$D,"SPO",'caseload data'!$C:$C,'divisional &amp; regional caseload'!$T$64)</f>
        <v>0</v>
      </c>
      <c r="V83" s="94">
        <f>SUMIFS('caseload data'!F:F,'caseload data'!$D:$D,"SPO",'caseload data'!$C:$C,'divisional &amp; regional caseload'!$T$64)</f>
        <v>0</v>
      </c>
      <c r="W83" s="94">
        <f>SUMIFS('caseload data'!G:G,'caseload data'!$D:$D,"SPO",'caseload data'!$C:$C,'divisional &amp; regional caseload'!$T$64)</f>
        <v>0</v>
      </c>
      <c r="X83" s="94">
        <f>SUMIFS('caseload data'!H:H,'caseload data'!$D:$D,"SPO",'caseload data'!$C:$C,'divisional &amp; regional caseload'!$T$64)</f>
        <v>0</v>
      </c>
      <c r="Y83" s="94">
        <f>SUMIFS('caseload data'!I:I,'caseload data'!$D:$D,"SPO",'caseload data'!$C:$C,'divisional &amp; regional caseload'!$T$64)</f>
        <v>0</v>
      </c>
      <c r="Z83" s="94">
        <f>SUMIFS('caseload data'!J:J,'caseload data'!$D:$D,"SPO",'caseload data'!$C:$C,'divisional &amp; regional caseload'!$T$64)</f>
        <v>0</v>
      </c>
      <c r="AA83" s="94">
        <f>SUMIFS('caseload data'!K:K,'caseload data'!$D:$D,"SPO",'caseload data'!$C:$C,'divisional &amp; regional caseload'!$T$64)</f>
        <v>0</v>
      </c>
      <c r="AB83" s="94">
        <f>SUMIFS('caseload data'!L:L,'caseload data'!$D:$D,"SPO",'caseload data'!$C:$C,'divisional &amp; regional caseload'!$T$64)</f>
        <v>0</v>
      </c>
      <c r="AC83" s="94">
        <f>SUMIFS('caseload data'!M:M,'caseload data'!$D:$D,"SPO",'caseload data'!$C:$C,'divisional &amp; regional caseload'!$T$64)</f>
        <v>0</v>
      </c>
      <c r="AD83" s="94">
        <f>SUMIFS('caseload data'!N:N,'caseload data'!$D:$D,"SPO",'caseload data'!$C:$C,'divisional &amp; regional caseload'!$T$64)</f>
        <v>0</v>
      </c>
      <c r="AE83" s="94">
        <f>SUMIFS('caseload data'!O:O,'caseload data'!$D:$D,"SPO",'caseload data'!$C:$C,'divisional &amp; regional caseload'!$T$64)</f>
        <v>0</v>
      </c>
      <c r="AF83" s="94">
        <f>SUMIFS('caseload data'!P:P,'caseload data'!$D:$D,"SPO",'caseload data'!$C:$C,'divisional &amp; regional caseload'!$T$64)</f>
        <v>0</v>
      </c>
      <c r="AG83" s="94">
        <f>SUMIFS('caseload data'!Q:Q,'caseload data'!$D:$D,"SPO",'caseload data'!$C:$C,'divisional &amp; regional caseload'!$T$64)</f>
        <v>0</v>
      </c>
      <c r="AH83" s="94">
        <f>SUMIFS('caseload data'!R:R,'caseload data'!$D:$D,"SPO",'caseload data'!$C:$C,'divisional &amp; regional caseload'!$T$64)</f>
        <v>0</v>
      </c>
      <c r="AI83" s="94">
        <f>SUMIFS('caseload data'!S:S,'caseload data'!$D:$D,"SPO",'caseload data'!$C:$C,'divisional &amp; regional caseload'!$T$64)</f>
        <v>0</v>
      </c>
      <c r="AJ83" s="94">
        <f>SUMIFS('caseload data'!T:T,'caseload data'!$D:$D,"SPO",'caseload data'!$C:$C,'divisional &amp; regional caseload'!$T$64)</f>
        <v>0</v>
      </c>
    </row>
    <row r="85" spans="2:36" ht="40.5" customHeight="1" x14ac:dyDescent="0.15">
      <c r="B85" s="288">
        <f>HLOOKUP($B$5,Region_Table,24,0)</f>
        <v>0</v>
      </c>
      <c r="C85" s="540" t="s">
        <v>1039</v>
      </c>
      <c r="D85" s="541"/>
      <c r="E85" s="541"/>
      <c r="F85" s="541"/>
      <c r="G85" s="541"/>
      <c r="H85" s="541"/>
      <c r="I85" s="541"/>
      <c r="J85" s="541"/>
      <c r="K85" s="541"/>
      <c r="L85" s="541"/>
      <c r="M85" s="551"/>
      <c r="N85" s="551"/>
      <c r="O85" s="552"/>
      <c r="P85" s="543">
        <f>SUMIF('caseload data'!$C:$C,'divisional &amp; regional caseload'!B85,'caseload data'!V:V)</f>
        <v>0</v>
      </c>
      <c r="Q85" s="544"/>
      <c r="R85" s="545"/>
      <c r="T85" s="288">
        <f>HLOOKUP($B$5,Region_Table,25,0)</f>
        <v>0</v>
      </c>
      <c r="U85" s="540" t="s">
        <v>1039</v>
      </c>
      <c r="V85" s="541"/>
      <c r="W85" s="541"/>
      <c r="X85" s="541"/>
      <c r="Y85" s="541"/>
      <c r="Z85" s="541"/>
      <c r="AA85" s="541"/>
      <c r="AB85" s="541"/>
      <c r="AC85" s="541"/>
      <c r="AD85" s="541"/>
      <c r="AE85" s="541"/>
      <c r="AF85" s="541"/>
      <c r="AG85" s="542"/>
      <c r="AH85" s="543">
        <f>SUMIF('caseload data'!$C:$C,'divisional &amp; regional caseload'!T85,'caseload data'!V:V)</f>
        <v>0</v>
      </c>
      <c r="AI85" s="546"/>
      <c r="AJ85" s="547"/>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94">
        <f>SUMIFS('caseload data'!E:E,'caseload data'!$D:$D,"PO",'caseload data'!$C:$C,'divisional &amp; regional caseload'!$B$85)</f>
        <v>0</v>
      </c>
      <c r="D87" s="94">
        <f>SUMIFS('caseload data'!F:F,'caseload data'!$D:$D,"PO",'caseload data'!$C:$C,'divisional &amp; regional caseload'!$B$85)</f>
        <v>0</v>
      </c>
      <c r="E87" s="94">
        <f>SUMIFS('caseload data'!G:G,'caseload data'!$D:$D,"PO",'caseload data'!$C:$C,'divisional &amp; regional caseload'!$B$85)</f>
        <v>0</v>
      </c>
      <c r="F87" s="94">
        <f>SUMIFS('caseload data'!H:H,'caseload data'!$D:$D,"PO",'caseload data'!$C:$C,'divisional &amp; regional caseload'!$B$85)</f>
        <v>0</v>
      </c>
      <c r="G87" s="94">
        <f>SUMIFS('caseload data'!I:I,'caseload data'!$D:$D,"PO",'caseload data'!$C:$C,'divisional &amp; regional caseload'!$B$85)</f>
        <v>0</v>
      </c>
      <c r="H87" s="94">
        <f>SUMIFS('caseload data'!J:J,'caseload data'!$D:$D,"PO",'caseload data'!$C:$C,'divisional &amp; regional caseload'!$B$85)</f>
        <v>0</v>
      </c>
      <c r="I87" s="94">
        <f>SUMIFS('caseload data'!K:K,'caseload data'!$D:$D,"PO",'caseload data'!$C:$C,'divisional &amp; regional caseload'!$B$85)</f>
        <v>0</v>
      </c>
      <c r="J87" s="94">
        <f>SUMIFS('caseload data'!L:L,'caseload data'!$D:$D,"PO",'caseload data'!$C:$C,'divisional &amp; regional caseload'!$B$85)</f>
        <v>0</v>
      </c>
      <c r="K87" s="94">
        <f>SUMIFS('caseload data'!M:M,'caseload data'!$D:$D,"PO",'caseload data'!$C:$C,'divisional &amp; regional caseload'!$B$85)</f>
        <v>0</v>
      </c>
      <c r="L87" s="94">
        <f>SUMIFS('caseload data'!N:N,'caseload data'!$D:$D,"PO",'caseload data'!$C:$C,'divisional &amp; regional caseload'!$B$85)</f>
        <v>0</v>
      </c>
      <c r="M87" s="94">
        <f>SUMIFS('caseload data'!O:O,'caseload data'!$D:$D,"PO",'caseload data'!$C:$C,'divisional &amp; regional caseload'!$B$85)</f>
        <v>0</v>
      </c>
      <c r="N87" s="94">
        <f>SUMIFS('caseload data'!P:P,'caseload data'!$D:$D,"PO",'caseload data'!$C:$C,'divisional &amp; regional caseload'!$B$85)</f>
        <v>0</v>
      </c>
      <c r="O87" s="94">
        <f>SUMIFS('caseload data'!Q:Q,'caseload data'!$D:$D,"PO",'caseload data'!$C:$C,'divisional &amp; regional caseload'!$B$85)</f>
        <v>0</v>
      </c>
      <c r="P87" s="94">
        <f>SUMIFS('caseload data'!R:R,'caseload data'!$D:$D,"PO",'caseload data'!$C:$C,'divisional &amp; regional caseload'!$B$85)</f>
        <v>0</v>
      </c>
      <c r="Q87" s="94">
        <f>SUMIFS('caseload data'!S:S,'caseload data'!$D:$D,"PO",'caseload data'!$C:$C,'divisional &amp; regional caseload'!$B$85)</f>
        <v>0</v>
      </c>
      <c r="R87" s="94">
        <f>SUMIFS('caseload data'!T:T,'caseload data'!$D:$D,"PO",'caseload data'!$C:$C,'divisional &amp; regional caseload'!$B$85)</f>
        <v>0</v>
      </c>
      <c r="T87" s="96" t="s">
        <v>947</v>
      </c>
      <c r="U87" s="94">
        <f>SUMIFS('caseload data'!E:E,'caseload data'!$D:$D,"PO",'caseload data'!$C:$C,'divisional &amp; regional caseload'!$T$64)</f>
        <v>0</v>
      </c>
      <c r="V87" s="94">
        <f>SUMIFS('caseload data'!F:F,'caseload data'!$D:$D,"PO",'caseload data'!$C:$C,'divisional &amp; regional caseload'!$T$64)</f>
        <v>0</v>
      </c>
      <c r="W87" s="94">
        <f>SUMIFS('caseload data'!G:G,'caseload data'!$D:$D,"PO",'caseload data'!$C:$C,'divisional &amp; regional caseload'!$T$64)</f>
        <v>0</v>
      </c>
      <c r="X87" s="94">
        <f>SUMIFS('caseload data'!H:H,'caseload data'!$D:$D,"PO",'caseload data'!$C:$C,'divisional &amp; regional caseload'!$T$64)</f>
        <v>0</v>
      </c>
      <c r="Y87" s="94">
        <f>SUMIFS('caseload data'!I:I,'caseload data'!$D:$D,"PO",'caseload data'!$C:$C,'divisional &amp; regional caseload'!$T$64)</f>
        <v>0</v>
      </c>
      <c r="Z87" s="94">
        <f>SUMIFS('caseload data'!J:J,'caseload data'!$D:$D,"PO",'caseload data'!$C:$C,'divisional &amp; regional caseload'!$T$64)</f>
        <v>0</v>
      </c>
      <c r="AA87" s="94">
        <f>SUMIFS('caseload data'!K:K,'caseload data'!$D:$D,"PO",'caseload data'!$C:$C,'divisional &amp; regional caseload'!$T$64)</f>
        <v>0</v>
      </c>
      <c r="AB87" s="94">
        <f>SUMIFS('caseload data'!L:L,'caseload data'!$D:$D,"PO",'caseload data'!$C:$C,'divisional &amp; regional caseload'!$T$64)</f>
        <v>0</v>
      </c>
      <c r="AC87" s="94">
        <f>SUMIFS('caseload data'!M:M,'caseload data'!$D:$D,"PO",'caseload data'!$C:$C,'divisional &amp; regional caseload'!$T$64)</f>
        <v>0</v>
      </c>
      <c r="AD87" s="94">
        <f>SUMIFS('caseload data'!N:N,'caseload data'!$D:$D,"PO",'caseload data'!$C:$C,'divisional &amp; regional caseload'!$T$64)</f>
        <v>0</v>
      </c>
      <c r="AE87" s="94">
        <f>SUMIFS('caseload data'!O:O,'caseload data'!$D:$D,"PO",'caseload data'!$C:$C,'divisional &amp; regional caseload'!$T$64)</f>
        <v>0</v>
      </c>
      <c r="AF87" s="94">
        <f>SUMIFS('caseload data'!P:P,'caseload data'!$D:$D,"PO",'caseload data'!$C:$C,'divisional &amp; regional caseload'!$T$64)</f>
        <v>0</v>
      </c>
      <c r="AG87" s="94">
        <f>SUMIFS('caseload data'!Q:Q,'caseload data'!$D:$D,"PO",'caseload data'!$C:$C,'divisional &amp; regional caseload'!$T$64)</f>
        <v>0</v>
      </c>
      <c r="AH87" s="94">
        <f>SUMIFS('caseload data'!R:R,'caseload data'!$D:$D,"PO",'caseload data'!$C:$C,'divisional &amp; regional caseload'!$T$64)</f>
        <v>0</v>
      </c>
      <c r="AI87" s="94">
        <f>SUMIFS('caseload data'!S:S,'caseload data'!$D:$D,"PO",'caseload data'!$C:$C,'divisional &amp; regional caseload'!$T$64)</f>
        <v>0</v>
      </c>
      <c r="AJ87" s="94">
        <f>SUMIFS('caseload data'!T:T,'caseload data'!$D:$D,"PO",'caseload data'!$C:$C,'divisional &amp; regional caseload'!$T$64)</f>
        <v>0</v>
      </c>
    </row>
    <row r="88" spans="2:36" x14ac:dyDescent="0.15">
      <c r="B88" s="97" t="s">
        <v>952</v>
      </c>
      <c r="C88" s="94">
        <f>SUMIFS('caseload data'!E:E,'caseload data'!$D:$D,"PSO",'caseload data'!$C:$C,'divisional &amp; regional caseload'!$B$85)</f>
        <v>0</v>
      </c>
      <c r="D88" s="94">
        <f>SUMIFS('caseload data'!F:F,'caseload data'!$D:$D,"PSO",'caseload data'!$C:$C,'divisional &amp; regional caseload'!$B$85)</f>
        <v>0</v>
      </c>
      <c r="E88" s="94">
        <f>SUMIFS('caseload data'!G:G,'caseload data'!$D:$D,"PSO",'caseload data'!$C:$C,'divisional &amp; regional caseload'!$B$85)</f>
        <v>0</v>
      </c>
      <c r="F88" s="94">
        <f>SUMIFS('caseload data'!H:H,'caseload data'!$D:$D,"PSO",'caseload data'!$C:$C,'divisional &amp; regional caseload'!$B$85)</f>
        <v>0</v>
      </c>
      <c r="G88" s="94">
        <f>SUMIFS('caseload data'!I:I,'caseload data'!$D:$D,"PSO",'caseload data'!$C:$C,'divisional &amp; regional caseload'!$B$85)</f>
        <v>0</v>
      </c>
      <c r="H88" s="94">
        <f>SUMIFS('caseload data'!J:J,'caseload data'!$D:$D,"PSO",'caseload data'!$C:$C,'divisional &amp; regional caseload'!$B$85)</f>
        <v>0</v>
      </c>
      <c r="I88" s="94">
        <f>SUMIFS('caseload data'!K:K,'caseload data'!$D:$D,"PSO",'caseload data'!$C:$C,'divisional &amp; regional caseload'!$B$85)</f>
        <v>0</v>
      </c>
      <c r="J88" s="94">
        <f>SUMIFS('caseload data'!L:L,'caseload data'!$D:$D,"PSO",'caseload data'!$C:$C,'divisional &amp; regional caseload'!$B$85)</f>
        <v>0</v>
      </c>
      <c r="K88" s="94">
        <f>SUMIFS('caseload data'!M:M,'caseload data'!$D:$D,"PSO",'caseload data'!$C:$C,'divisional &amp; regional caseload'!$B$85)</f>
        <v>0</v>
      </c>
      <c r="L88" s="94">
        <f>SUMIFS('caseload data'!N:N,'caseload data'!$D:$D,"PSO",'caseload data'!$C:$C,'divisional &amp; regional caseload'!$B$85)</f>
        <v>0</v>
      </c>
      <c r="M88" s="94">
        <f>SUMIFS('caseload data'!O:O,'caseload data'!$D:$D,"PSO",'caseload data'!$C:$C,'divisional &amp; regional caseload'!$B$85)</f>
        <v>0</v>
      </c>
      <c r="N88" s="94">
        <f>SUMIFS('caseload data'!P:P,'caseload data'!$D:$D,"PSO",'caseload data'!$C:$C,'divisional &amp; regional caseload'!$B$85)</f>
        <v>0</v>
      </c>
      <c r="O88" s="94">
        <f>SUMIFS('caseload data'!Q:Q,'caseload data'!$D:$D,"PSO",'caseload data'!$C:$C,'divisional &amp; regional caseload'!$B$85)</f>
        <v>0</v>
      </c>
      <c r="P88" s="94">
        <f>SUMIFS('caseload data'!R:R,'caseload data'!$D:$D,"PSO",'caseload data'!$C:$C,'divisional &amp; regional caseload'!$B$85)</f>
        <v>0</v>
      </c>
      <c r="Q88" s="94">
        <f>SUMIFS('caseload data'!S:S,'caseload data'!$D:$D,"PSO",'caseload data'!$C:$C,'divisional &amp; regional caseload'!$B$85)</f>
        <v>0</v>
      </c>
      <c r="R88" s="94">
        <f>SUMIFS('caseload data'!T:T,'caseload data'!$D:$D,"PSO",'caseload data'!$C:$C,'divisional &amp; regional caseload'!$B$85)</f>
        <v>0</v>
      </c>
      <c r="T88" s="97" t="s">
        <v>952</v>
      </c>
      <c r="U88" s="94">
        <f>SUMIFS('caseload data'!E:E,'caseload data'!$D:$D,"PSO",'caseload data'!$C:$C,'divisional &amp; regional caseload'!$T$64)</f>
        <v>0</v>
      </c>
      <c r="V88" s="94">
        <f>SUMIFS('caseload data'!F:F,'caseload data'!$D:$D,"PSO",'caseload data'!$C:$C,'divisional &amp; regional caseload'!$T$64)</f>
        <v>0</v>
      </c>
      <c r="W88" s="94">
        <f>SUMIFS('caseload data'!G:G,'caseload data'!$D:$D,"PSO",'caseload data'!$C:$C,'divisional &amp; regional caseload'!$T$64)</f>
        <v>0</v>
      </c>
      <c r="X88" s="94">
        <f>SUMIFS('caseload data'!H:H,'caseload data'!$D:$D,"PSO",'caseload data'!$C:$C,'divisional &amp; regional caseload'!$T$64)</f>
        <v>0</v>
      </c>
      <c r="Y88" s="94">
        <f>SUMIFS('caseload data'!I:I,'caseload data'!$D:$D,"PSO",'caseload data'!$C:$C,'divisional &amp; regional caseload'!$T$64)</f>
        <v>0</v>
      </c>
      <c r="Z88" s="94">
        <f>SUMIFS('caseload data'!J:J,'caseload data'!$D:$D,"PSO",'caseload data'!$C:$C,'divisional &amp; regional caseload'!$T$64)</f>
        <v>0</v>
      </c>
      <c r="AA88" s="94">
        <f>SUMIFS('caseload data'!K:K,'caseload data'!$D:$D,"PSO",'caseload data'!$C:$C,'divisional &amp; regional caseload'!$T$64)</f>
        <v>0</v>
      </c>
      <c r="AB88" s="94">
        <f>SUMIFS('caseload data'!L:L,'caseload data'!$D:$D,"PSO",'caseload data'!$C:$C,'divisional &amp; regional caseload'!$T$64)</f>
        <v>0</v>
      </c>
      <c r="AC88" s="94">
        <f>SUMIFS('caseload data'!M:M,'caseload data'!$D:$D,"PSO",'caseload data'!$C:$C,'divisional &amp; regional caseload'!$T$64)</f>
        <v>0</v>
      </c>
      <c r="AD88" s="94">
        <f>SUMIFS('caseload data'!N:N,'caseload data'!$D:$D,"PSO",'caseload data'!$C:$C,'divisional &amp; regional caseload'!$T$64)</f>
        <v>0</v>
      </c>
      <c r="AE88" s="94">
        <f>SUMIFS('caseload data'!O:O,'caseload data'!$D:$D,"PSO",'caseload data'!$C:$C,'divisional &amp; regional caseload'!$T$64)</f>
        <v>0</v>
      </c>
      <c r="AF88" s="94">
        <f>SUMIFS('caseload data'!P:P,'caseload data'!$D:$D,"PSO",'caseload data'!$C:$C,'divisional &amp; regional caseload'!$T$64)</f>
        <v>0</v>
      </c>
      <c r="AG88" s="94">
        <f>SUMIFS('caseload data'!Q:Q,'caseload data'!$D:$D,"PSO",'caseload data'!$C:$C,'divisional &amp; regional caseload'!$T$64)</f>
        <v>0</v>
      </c>
      <c r="AH88" s="94">
        <f>SUMIFS('caseload data'!R:R,'caseload data'!$D:$D,"PSO",'caseload data'!$C:$C,'divisional &amp; regional caseload'!$T$64)</f>
        <v>0</v>
      </c>
      <c r="AI88" s="94">
        <f>SUMIFS('caseload data'!S:S,'caseload data'!$D:$D,"PSO",'caseload data'!$C:$C,'divisional &amp; regional caseload'!$T$64)</f>
        <v>0</v>
      </c>
      <c r="AJ88" s="94">
        <f>SUMIFS('caseload data'!T:T,'caseload data'!$D:$D,"PSO",'caseload data'!$C:$C,'divisional &amp; regional caseload'!$T$64)</f>
        <v>0</v>
      </c>
    </row>
    <row r="89" spans="2:36" x14ac:dyDescent="0.15">
      <c r="B89" s="97" t="s">
        <v>953</v>
      </c>
      <c r="C89" s="94">
        <f>SUMIFS('caseload data'!E:E,'caseload data'!$D:$D,"TPO",'caseload data'!$C:$C,'divisional &amp; regional caseload'!$B$85)</f>
        <v>0</v>
      </c>
      <c r="D89" s="94">
        <f>SUMIFS('caseload data'!F:F,'caseload data'!$D:$D,"TPO",'caseload data'!$C:$C,'divisional &amp; regional caseload'!$B$85)</f>
        <v>0</v>
      </c>
      <c r="E89" s="94">
        <f>SUMIFS('caseload data'!G:G,'caseload data'!$D:$D,"TPO",'caseload data'!$C:$C,'divisional &amp; regional caseload'!$B$85)</f>
        <v>0</v>
      </c>
      <c r="F89" s="94">
        <f>SUMIFS('caseload data'!H:H,'caseload data'!$D:$D,"TPO",'caseload data'!$C:$C,'divisional &amp; regional caseload'!$B$85)</f>
        <v>0</v>
      </c>
      <c r="G89" s="94">
        <f>SUMIFS('caseload data'!I:I,'caseload data'!$D:$D,"TPO",'caseload data'!$C:$C,'divisional &amp; regional caseload'!$B$85)</f>
        <v>0</v>
      </c>
      <c r="H89" s="94">
        <f>SUMIFS('caseload data'!J:J,'caseload data'!$D:$D,"TPO",'caseload data'!$C:$C,'divisional &amp; regional caseload'!$B$85)</f>
        <v>0</v>
      </c>
      <c r="I89" s="94">
        <f>SUMIFS('caseload data'!K:K,'caseload data'!$D:$D,"TPO",'caseload data'!$C:$C,'divisional &amp; regional caseload'!$B$85)</f>
        <v>0</v>
      </c>
      <c r="J89" s="94">
        <f>SUMIFS('caseload data'!L:L,'caseload data'!$D:$D,"TPO",'caseload data'!$C:$C,'divisional &amp; regional caseload'!$B$85)</f>
        <v>0</v>
      </c>
      <c r="K89" s="94">
        <f>SUMIFS('caseload data'!M:M,'caseload data'!$D:$D,"TPO",'caseload data'!$C:$C,'divisional &amp; regional caseload'!$B$85)</f>
        <v>0</v>
      </c>
      <c r="L89" s="94">
        <f>SUMIFS('caseload data'!N:N,'caseload data'!$D:$D,"TPO",'caseload data'!$C:$C,'divisional &amp; regional caseload'!$B$85)</f>
        <v>0</v>
      </c>
      <c r="M89" s="94">
        <f>SUMIFS('caseload data'!O:O,'caseload data'!$D:$D,"TPO",'caseload data'!$C:$C,'divisional &amp; regional caseload'!$B$85)</f>
        <v>0</v>
      </c>
      <c r="N89" s="94">
        <f>SUMIFS('caseload data'!P:P,'caseload data'!$D:$D,"TPO",'caseload data'!$C:$C,'divisional &amp; regional caseload'!$B$85)</f>
        <v>0</v>
      </c>
      <c r="O89" s="94">
        <f>SUMIFS('caseload data'!Q:Q,'caseload data'!$D:$D,"TPO",'caseload data'!$C:$C,'divisional &amp; regional caseload'!$B$85)</f>
        <v>0</v>
      </c>
      <c r="P89" s="94">
        <f>SUMIFS('caseload data'!R:R,'caseload data'!$D:$D,"TPO",'caseload data'!$C:$C,'divisional &amp; regional caseload'!$B$85)</f>
        <v>0</v>
      </c>
      <c r="Q89" s="94">
        <f>SUMIFS('caseload data'!S:S,'caseload data'!$D:$D,"TPO",'caseload data'!$C:$C,'divisional &amp; regional caseload'!$B$85)</f>
        <v>0</v>
      </c>
      <c r="R89" s="94">
        <f>SUMIFS('caseload data'!T:T,'caseload data'!$D:$D,"TPO",'caseload data'!$C:$C,'divisional &amp; regional caseload'!$B$85)</f>
        <v>0</v>
      </c>
      <c r="T89" s="97" t="s">
        <v>953</v>
      </c>
      <c r="U89" s="94">
        <f>SUMIFS('caseload data'!E:E,'caseload data'!$D:$D,"TPO",'caseload data'!$C:$C,'divisional &amp; regional caseload'!$T$64)</f>
        <v>0</v>
      </c>
      <c r="V89" s="94">
        <f>SUMIFS('caseload data'!F:F,'caseload data'!$D:$D,"TPO",'caseload data'!$C:$C,'divisional &amp; regional caseload'!$T$64)</f>
        <v>0</v>
      </c>
      <c r="W89" s="94">
        <f>SUMIFS('caseload data'!G:G,'caseload data'!$D:$D,"TPO",'caseload data'!$C:$C,'divisional &amp; regional caseload'!$T$64)</f>
        <v>0</v>
      </c>
      <c r="X89" s="94">
        <f>SUMIFS('caseload data'!H:H,'caseload data'!$D:$D,"TPO",'caseload data'!$C:$C,'divisional &amp; regional caseload'!$T$64)</f>
        <v>0</v>
      </c>
      <c r="Y89" s="94">
        <f>SUMIFS('caseload data'!I:I,'caseload data'!$D:$D,"TPO",'caseload data'!$C:$C,'divisional &amp; regional caseload'!$T$64)</f>
        <v>0</v>
      </c>
      <c r="Z89" s="94">
        <f>SUMIFS('caseload data'!J:J,'caseload data'!$D:$D,"TPO",'caseload data'!$C:$C,'divisional &amp; regional caseload'!$T$64)</f>
        <v>0</v>
      </c>
      <c r="AA89" s="94">
        <f>SUMIFS('caseload data'!K:K,'caseload data'!$D:$D,"TPO",'caseload data'!$C:$C,'divisional &amp; regional caseload'!$T$64)</f>
        <v>0</v>
      </c>
      <c r="AB89" s="94">
        <f>SUMIFS('caseload data'!L:L,'caseload data'!$D:$D,"TPO",'caseload data'!$C:$C,'divisional &amp; regional caseload'!$T$64)</f>
        <v>0</v>
      </c>
      <c r="AC89" s="94">
        <f>SUMIFS('caseload data'!M:M,'caseload data'!$D:$D,"TPO",'caseload data'!$C:$C,'divisional &amp; regional caseload'!$T$64)</f>
        <v>0</v>
      </c>
      <c r="AD89" s="94">
        <f>SUMIFS('caseload data'!N:N,'caseload data'!$D:$D,"TPO",'caseload data'!$C:$C,'divisional &amp; regional caseload'!$T$64)</f>
        <v>0</v>
      </c>
      <c r="AE89" s="94">
        <f>SUMIFS('caseload data'!O:O,'caseload data'!$D:$D,"TPO",'caseload data'!$C:$C,'divisional &amp; regional caseload'!$T$64)</f>
        <v>0</v>
      </c>
      <c r="AF89" s="94">
        <f>SUMIFS('caseload data'!P:P,'caseload data'!$D:$D,"TPO",'caseload data'!$C:$C,'divisional &amp; regional caseload'!$T$64)</f>
        <v>0</v>
      </c>
      <c r="AG89" s="94">
        <f>SUMIFS('caseload data'!Q:Q,'caseload data'!$D:$D,"TPO",'caseload data'!$C:$C,'divisional &amp; regional caseload'!$T$64)</f>
        <v>0</v>
      </c>
      <c r="AH89" s="94">
        <f>SUMIFS('caseload data'!R:R,'caseload data'!$D:$D,"TPO",'caseload data'!$C:$C,'divisional &amp; regional caseload'!$T$64)</f>
        <v>0</v>
      </c>
      <c r="AI89" s="94">
        <f>SUMIFS('caseload data'!S:S,'caseload data'!$D:$D,"TPO",'caseload data'!$C:$C,'divisional &amp; regional caseload'!$T$64)</f>
        <v>0</v>
      </c>
      <c r="AJ89" s="94">
        <f>SUMIFS('caseload data'!T:T,'caseload data'!$D:$D,"TPO",'caseload data'!$C:$C,'divisional &amp; regional caseload'!$T$64)</f>
        <v>0</v>
      </c>
    </row>
    <row r="90" spans="2:36" x14ac:dyDescent="0.15">
      <c r="B90" s="98" t="s">
        <v>954</v>
      </c>
      <c r="C90" s="94">
        <f>SUMIFS('caseload data'!E:E,'caseload data'!$D:$D,"SPO",'caseload data'!$C:$C,'divisional &amp; regional caseload'!$B$85)</f>
        <v>0</v>
      </c>
      <c r="D90" s="94">
        <f>SUMIFS('caseload data'!F:F,'caseload data'!$D:$D,"SPO",'caseload data'!$C:$C,'divisional &amp; regional caseload'!$B$85)</f>
        <v>0</v>
      </c>
      <c r="E90" s="94">
        <f>SUMIFS('caseload data'!G:G,'caseload data'!$D:$D,"SPO",'caseload data'!$C:$C,'divisional &amp; regional caseload'!$B$85)</f>
        <v>0</v>
      </c>
      <c r="F90" s="94">
        <f>SUMIFS('caseload data'!H:H,'caseload data'!$D:$D,"SPO",'caseload data'!$C:$C,'divisional &amp; regional caseload'!$B$85)</f>
        <v>0</v>
      </c>
      <c r="G90" s="94">
        <f>SUMIFS('caseload data'!I:I,'caseload data'!$D:$D,"SPO",'caseload data'!$C:$C,'divisional &amp; regional caseload'!$B$85)</f>
        <v>0</v>
      </c>
      <c r="H90" s="94">
        <f>SUMIFS('caseload data'!J:J,'caseload data'!$D:$D,"SPO",'caseload data'!$C:$C,'divisional &amp; regional caseload'!$B$85)</f>
        <v>0</v>
      </c>
      <c r="I90" s="94">
        <f>SUMIFS('caseload data'!K:K,'caseload data'!$D:$D,"SPO",'caseload data'!$C:$C,'divisional &amp; regional caseload'!$B$85)</f>
        <v>0</v>
      </c>
      <c r="J90" s="94">
        <f>SUMIFS('caseload data'!L:L,'caseload data'!$D:$D,"SPO",'caseload data'!$C:$C,'divisional &amp; regional caseload'!$B$85)</f>
        <v>0</v>
      </c>
      <c r="K90" s="94">
        <f>SUMIFS('caseload data'!M:M,'caseload data'!$D:$D,"SPO",'caseload data'!$C:$C,'divisional &amp; regional caseload'!$B$85)</f>
        <v>0</v>
      </c>
      <c r="L90" s="94">
        <f>SUMIFS('caseload data'!N:N,'caseload data'!$D:$D,"SPO",'caseload data'!$C:$C,'divisional &amp; regional caseload'!$B$85)</f>
        <v>0</v>
      </c>
      <c r="M90" s="94">
        <f>SUMIFS('caseload data'!O:O,'caseload data'!$D:$D,"SPO",'caseload data'!$C:$C,'divisional &amp; regional caseload'!$B$85)</f>
        <v>0</v>
      </c>
      <c r="N90" s="94">
        <f>SUMIFS('caseload data'!P:P,'caseload data'!$D:$D,"SPO",'caseload data'!$C:$C,'divisional &amp; regional caseload'!$B$85)</f>
        <v>0</v>
      </c>
      <c r="O90" s="94">
        <f>SUMIFS('caseload data'!Q:Q,'caseload data'!$D:$D,"SPO",'caseload data'!$C:$C,'divisional &amp; regional caseload'!$B$85)</f>
        <v>0</v>
      </c>
      <c r="P90" s="94">
        <f>SUMIFS('caseload data'!R:R,'caseload data'!$D:$D,"SPO",'caseload data'!$C:$C,'divisional &amp; regional caseload'!$B$85)</f>
        <v>0</v>
      </c>
      <c r="Q90" s="94">
        <f>SUMIFS('caseload data'!S:S,'caseload data'!$D:$D,"SPO",'caseload data'!$C:$C,'divisional &amp; regional caseload'!$B$85)</f>
        <v>0</v>
      </c>
      <c r="R90" s="94">
        <f>SUMIFS('caseload data'!T:T,'caseload data'!$D:$D,"SPO",'caseload data'!$C:$C,'divisional &amp; regional caseload'!$B$85)</f>
        <v>0</v>
      </c>
      <c r="T90" s="98" t="s">
        <v>954</v>
      </c>
      <c r="U90" s="94">
        <f>SUMIFS('caseload data'!E:E,'caseload data'!$D:$D,"SPO",'caseload data'!$C:$C,'divisional &amp; regional caseload'!$T$64)</f>
        <v>0</v>
      </c>
      <c r="V90" s="94">
        <f>SUMIFS('caseload data'!F:F,'caseload data'!$D:$D,"SPO",'caseload data'!$C:$C,'divisional &amp; regional caseload'!$T$64)</f>
        <v>0</v>
      </c>
      <c r="W90" s="94">
        <f>SUMIFS('caseload data'!G:G,'caseload data'!$D:$D,"SPO",'caseload data'!$C:$C,'divisional &amp; regional caseload'!$T$64)</f>
        <v>0</v>
      </c>
      <c r="X90" s="94">
        <f>SUMIFS('caseload data'!H:H,'caseload data'!$D:$D,"SPO",'caseload data'!$C:$C,'divisional &amp; regional caseload'!$T$64)</f>
        <v>0</v>
      </c>
      <c r="Y90" s="94">
        <f>SUMIFS('caseload data'!I:I,'caseload data'!$D:$D,"SPO",'caseload data'!$C:$C,'divisional &amp; regional caseload'!$T$64)</f>
        <v>0</v>
      </c>
      <c r="Z90" s="94">
        <f>SUMIFS('caseload data'!J:J,'caseload data'!$D:$D,"SPO",'caseload data'!$C:$C,'divisional &amp; regional caseload'!$T$64)</f>
        <v>0</v>
      </c>
      <c r="AA90" s="94">
        <f>SUMIFS('caseload data'!K:K,'caseload data'!$D:$D,"SPO",'caseload data'!$C:$C,'divisional &amp; regional caseload'!$T$64)</f>
        <v>0</v>
      </c>
      <c r="AB90" s="94">
        <f>SUMIFS('caseload data'!L:L,'caseload data'!$D:$D,"SPO",'caseload data'!$C:$C,'divisional &amp; regional caseload'!$T$64)</f>
        <v>0</v>
      </c>
      <c r="AC90" s="94">
        <f>SUMIFS('caseload data'!M:M,'caseload data'!$D:$D,"SPO",'caseload data'!$C:$C,'divisional &amp; regional caseload'!$T$64)</f>
        <v>0</v>
      </c>
      <c r="AD90" s="94">
        <f>SUMIFS('caseload data'!N:N,'caseload data'!$D:$D,"SPO",'caseload data'!$C:$C,'divisional &amp; regional caseload'!$T$64)</f>
        <v>0</v>
      </c>
      <c r="AE90" s="94">
        <f>SUMIFS('caseload data'!O:O,'caseload data'!$D:$D,"SPO",'caseload data'!$C:$C,'divisional &amp; regional caseload'!$T$64)</f>
        <v>0</v>
      </c>
      <c r="AF90" s="94">
        <f>SUMIFS('caseload data'!P:P,'caseload data'!$D:$D,"SPO",'caseload data'!$C:$C,'divisional &amp; regional caseload'!$T$64)</f>
        <v>0</v>
      </c>
      <c r="AG90" s="94">
        <f>SUMIFS('caseload data'!Q:Q,'caseload data'!$D:$D,"SPO",'caseload data'!$C:$C,'divisional &amp; regional caseload'!$T$64)</f>
        <v>0</v>
      </c>
      <c r="AH90" s="94">
        <f>SUMIFS('caseload data'!R:R,'caseload data'!$D:$D,"SPO",'caseload data'!$C:$C,'divisional &amp; regional caseload'!$T$64)</f>
        <v>0</v>
      </c>
      <c r="AI90" s="94">
        <f>SUMIFS('caseload data'!S:S,'caseload data'!$D:$D,"SPO",'caseload data'!$C:$C,'divisional &amp; regional caseload'!$T$64)</f>
        <v>0</v>
      </c>
      <c r="AJ90" s="94">
        <f>SUMIFS('caseload data'!T:T,'caseload data'!$D:$D,"SPO",'caseload data'!$C:$C,'divisional &amp; regional caseload'!$T$64)</f>
        <v>0</v>
      </c>
    </row>
    <row r="92" spans="2:36" ht="30.75" customHeight="1" x14ac:dyDescent="0.15">
      <c r="B92" s="142">
        <f>HLOOKUP($B$5,Region_Table,26,0)</f>
        <v>0</v>
      </c>
      <c r="C92" s="540" t="s">
        <v>1039</v>
      </c>
      <c r="D92" s="541"/>
      <c r="E92" s="541"/>
      <c r="F92" s="541"/>
      <c r="G92" s="541"/>
      <c r="H92" s="541"/>
      <c r="I92" s="541"/>
      <c r="J92" s="541"/>
      <c r="K92" s="541"/>
      <c r="L92" s="541"/>
      <c r="M92" s="551"/>
      <c r="N92" s="551"/>
      <c r="O92" s="552"/>
      <c r="P92" s="543">
        <f>SUMIF('caseload data'!$C:$C,'divisional &amp; regional caseload'!B92,'caseload data'!V:V)</f>
        <v>0</v>
      </c>
      <c r="Q92" s="544"/>
      <c r="R92" s="545"/>
      <c r="T92" s="142">
        <f>HLOOKUP($B$5,Region_Table,27,0)</f>
        <v>0</v>
      </c>
      <c r="U92" s="540" t="s">
        <v>1039</v>
      </c>
      <c r="V92" s="541"/>
      <c r="W92" s="541"/>
      <c r="X92" s="541"/>
      <c r="Y92" s="541"/>
      <c r="Z92" s="541"/>
      <c r="AA92" s="541"/>
      <c r="AB92" s="541"/>
      <c r="AC92" s="541"/>
      <c r="AD92" s="541"/>
      <c r="AE92" s="541"/>
      <c r="AF92" s="541"/>
      <c r="AG92" s="542"/>
      <c r="AH92" s="543">
        <f>SUMIF('caseload data'!$C:$C,'divisional &amp; regional caseload'!T92,'caseload data'!V:V)</f>
        <v>0</v>
      </c>
      <c r="AI92" s="546"/>
      <c r="AJ92" s="547"/>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94">
        <f>SUMIFS('caseload data'!E:E,'caseload data'!$D:$D,"PO",'caseload data'!$C:$C,'divisional &amp; regional caseload'!$B$92)</f>
        <v>0</v>
      </c>
      <c r="D94" s="94">
        <f>SUMIFS('caseload data'!F:F,'caseload data'!$D:$D,"PO",'caseload data'!$C:$C,'divisional &amp; regional caseload'!$B$92)</f>
        <v>0</v>
      </c>
      <c r="E94" s="94">
        <f>SUMIFS('caseload data'!G:G,'caseload data'!$D:$D,"PO",'caseload data'!$C:$C,'divisional &amp; regional caseload'!$B$92)</f>
        <v>0</v>
      </c>
      <c r="F94" s="94">
        <f>SUMIFS('caseload data'!H:H,'caseload data'!$D:$D,"PO",'caseload data'!$C:$C,'divisional &amp; regional caseload'!$B$92)</f>
        <v>0</v>
      </c>
      <c r="G94" s="94">
        <f>SUMIFS('caseload data'!I:I,'caseload data'!$D:$D,"PO",'caseload data'!$C:$C,'divisional &amp; regional caseload'!$B$92)</f>
        <v>0</v>
      </c>
      <c r="H94" s="94">
        <f>SUMIFS('caseload data'!J:J,'caseload data'!$D:$D,"PO",'caseload data'!$C:$C,'divisional &amp; regional caseload'!$B$92)</f>
        <v>0</v>
      </c>
      <c r="I94" s="94">
        <f>SUMIFS('caseload data'!K:K,'caseload data'!$D:$D,"PO",'caseload data'!$C:$C,'divisional &amp; regional caseload'!$B$92)</f>
        <v>0</v>
      </c>
      <c r="J94" s="94">
        <f>SUMIFS('caseload data'!L:L,'caseload data'!$D:$D,"PO",'caseload data'!$C:$C,'divisional &amp; regional caseload'!$B$92)</f>
        <v>0</v>
      </c>
      <c r="K94" s="94">
        <f>SUMIFS('caseload data'!M:M,'caseload data'!$D:$D,"PO",'caseload data'!$C:$C,'divisional &amp; regional caseload'!$B$92)</f>
        <v>0</v>
      </c>
      <c r="L94" s="94">
        <f>SUMIFS('caseload data'!N:N,'caseload data'!$D:$D,"PO",'caseload data'!$C:$C,'divisional &amp; regional caseload'!$B$92)</f>
        <v>0</v>
      </c>
      <c r="M94" s="94">
        <f>SUMIFS('caseload data'!O:O,'caseload data'!$D:$D,"PO",'caseload data'!$C:$C,'divisional &amp; regional caseload'!$B$92)</f>
        <v>0</v>
      </c>
      <c r="N94" s="94">
        <f>SUMIFS('caseload data'!P:P,'caseload data'!$D:$D,"PO",'caseload data'!$C:$C,'divisional &amp; regional caseload'!$B$92)</f>
        <v>0</v>
      </c>
      <c r="O94" s="94">
        <f>SUMIFS('caseload data'!Q:Q,'caseload data'!$D:$D,"PO",'caseload data'!$C:$C,'divisional &amp; regional caseload'!$B$92)</f>
        <v>0</v>
      </c>
      <c r="P94" s="94">
        <f>SUMIFS('caseload data'!R:R,'caseload data'!$D:$D,"PO",'caseload data'!$C:$C,'divisional &amp; regional caseload'!$B$92)</f>
        <v>0</v>
      </c>
      <c r="Q94" s="94">
        <f>SUMIFS('caseload data'!S:S,'caseload data'!$D:$D,"PO",'caseload data'!$C:$C,'divisional &amp; regional caseload'!$B$92)</f>
        <v>0</v>
      </c>
      <c r="R94" s="94">
        <f>SUMIFS('caseload data'!T:T,'caseload data'!$D:$D,"PO",'caseload data'!$C:$C,'divisional &amp; regional caseload'!$B$92)</f>
        <v>0</v>
      </c>
      <c r="T94" s="96" t="s">
        <v>947</v>
      </c>
      <c r="U94" s="94">
        <f>SUMIFS('caseload data'!E:E,'caseload data'!$D:$D,"PO",'caseload data'!$C:$C,'divisional &amp; regional caseload'!$T$64)</f>
        <v>0</v>
      </c>
      <c r="V94" s="94">
        <f>SUMIFS('caseload data'!F:F,'caseload data'!$D:$D,"PO",'caseload data'!$C:$C,'divisional &amp; regional caseload'!$T$64)</f>
        <v>0</v>
      </c>
      <c r="W94" s="94">
        <f>SUMIFS('caseload data'!G:G,'caseload data'!$D:$D,"PO",'caseload data'!$C:$C,'divisional &amp; regional caseload'!$T$64)</f>
        <v>0</v>
      </c>
      <c r="X94" s="94">
        <f>SUMIFS('caseload data'!H:H,'caseload data'!$D:$D,"PO",'caseload data'!$C:$C,'divisional &amp; regional caseload'!$T$64)</f>
        <v>0</v>
      </c>
      <c r="Y94" s="94">
        <f>SUMIFS('caseload data'!I:I,'caseload data'!$D:$D,"PO",'caseload data'!$C:$C,'divisional &amp; regional caseload'!$T$64)</f>
        <v>0</v>
      </c>
      <c r="Z94" s="94">
        <f>SUMIFS('caseload data'!J:J,'caseload data'!$D:$D,"PO",'caseload data'!$C:$C,'divisional &amp; regional caseload'!$T$64)</f>
        <v>0</v>
      </c>
      <c r="AA94" s="94">
        <f>SUMIFS('caseload data'!K:K,'caseload data'!$D:$D,"PO",'caseload data'!$C:$C,'divisional &amp; regional caseload'!$T$64)</f>
        <v>0</v>
      </c>
      <c r="AB94" s="94">
        <f>SUMIFS('caseload data'!L:L,'caseload data'!$D:$D,"PO",'caseload data'!$C:$C,'divisional &amp; regional caseload'!$T$64)</f>
        <v>0</v>
      </c>
      <c r="AC94" s="94">
        <f>SUMIFS('caseload data'!M:M,'caseload data'!$D:$D,"PO",'caseload data'!$C:$C,'divisional &amp; regional caseload'!$T$64)</f>
        <v>0</v>
      </c>
      <c r="AD94" s="94">
        <f>SUMIFS('caseload data'!N:N,'caseload data'!$D:$D,"PO",'caseload data'!$C:$C,'divisional &amp; regional caseload'!$T$64)</f>
        <v>0</v>
      </c>
      <c r="AE94" s="94">
        <f>SUMIFS('caseload data'!O:O,'caseload data'!$D:$D,"PO",'caseload data'!$C:$C,'divisional &amp; regional caseload'!$T$64)</f>
        <v>0</v>
      </c>
      <c r="AF94" s="94">
        <f>SUMIFS('caseload data'!P:P,'caseload data'!$D:$D,"PO",'caseload data'!$C:$C,'divisional &amp; regional caseload'!$T$64)</f>
        <v>0</v>
      </c>
      <c r="AG94" s="94">
        <f>SUMIFS('caseload data'!Q:Q,'caseload data'!$D:$D,"PO",'caseload data'!$C:$C,'divisional &amp; regional caseload'!$T$64)</f>
        <v>0</v>
      </c>
      <c r="AH94" s="94">
        <f>SUMIFS('caseload data'!R:R,'caseload data'!$D:$D,"PO",'caseload data'!$C:$C,'divisional &amp; regional caseload'!$T$64)</f>
        <v>0</v>
      </c>
      <c r="AI94" s="94">
        <f>SUMIFS('caseload data'!S:S,'caseload data'!$D:$D,"PO",'caseload data'!$C:$C,'divisional &amp; regional caseload'!$T$64)</f>
        <v>0</v>
      </c>
      <c r="AJ94" s="94">
        <f>SUMIFS('caseload data'!T:T,'caseload data'!$D:$D,"PO",'caseload data'!$C:$C,'divisional &amp; regional caseload'!$T$64)</f>
        <v>0</v>
      </c>
    </row>
    <row r="95" spans="2:36" x14ac:dyDescent="0.15">
      <c r="B95" s="97" t="s">
        <v>952</v>
      </c>
      <c r="C95" s="94">
        <f>SUMIFS('caseload data'!E:E,'caseload data'!$D:$D,"PSO",'caseload data'!$C:$C,'divisional &amp; regional caseload'!$B$92)</f>
        <v>0</v>
      </c>
      <c r="D95" s="94">
        <f>SUMIFS('caseload data'!F:F,'caseload data'!$D:$D,"PSO",'caseload data'!$C:$C,'divisional &amp; regional caseload'!$B$92)</f>
        <v>0</v>
      </c>
      <c r="E95" s="94">
        <f>SUMIFS('caseload data'!G:G,'caseload data'!$D:$D,"PSO",'caseload data'!$C:$C,'divisional &amp; regional caseload'!$B$92)</f>
        <v>0</v>
      </c>
      <c r="F95" s="94">
        <f>SUMIFS('caseload data'!H:H,'caseload data'!$D:$D,"PSO",'caseload data'!$C:$C,'divisional &amp; regional caseload'!$B$92)</f>
        <v>0</v>
      </c>
      <c r="G95" s="94">
        <f>SUMIFS('caseload data'!I:I,'caseload data'!$D:$D,"PSO",'caseload data'!$C:$C,'divisional &amp; regional caseload'!$B$92)</f>
        <v>0</v>
      </c>
      <c r="H95" s="94">
        <f>SUMIFS('caseload data'!J:J,'caseload data'!$D:$D,"PSO",'caseload data'!$C:$C,'divisional &amp; regional caseload'!$B$92)</f>
        <v>0</v>
      </c>
      <c r="I95" s="94">
        <f>SUMIFS('caseload data'!K:K,'caseload data'!$D:$D,"PSO",'caseload data'!$C:$C,'divisional &amp; regional caseload'!$B$92)</f>
        <v>0</v>
      </c>
      <c r="J95" s="94">
        <f>SUMIFS('caseload data'!L:L,'caseload data'!$D:$D,"PSO",'caseload data'!$C:$C,'divisional &amp; regional caseload'!$B$92)</f>
        <v>0</v>
      </c>
      <c r="K95" s="94">
        <f>SUMIFS('caseload data'!M:M,'caseload data'!$D:$D,"PSO",'caseload data'!$C:$C,'divisional &amp; regional caseload'!$B$92)</f>
        <v>0</v>
      </c>
      <c r="L95" s="94">
        <f>SUMIFS('caseload data'!N:N,'caseload data'!$D:$D,"PSO",'caseload data'!$C:$C,'divisional &amp; regional caseload'!$B$92)</f>
        <v>0</v>
      </c>
      <c r="M95" s="94">
        <f>SUMIFS('caseload data'!O:O,'caseload data'!$D:$D,"PSO",'caseload data'!$C:$C,'divisional &amp; regional caseload'!$B$92)</f>
        <v>0</v>
      </c>
      <c r="N95" s="94">
        <f>SUMIFS('caseload data'!P:P,'caseload data'!$D:$D,"PSO",'caseload data'!$C:$C,'divisional &amp; regional caseload'!$B$92)</f>
        <v>0</v>
      </c>
      <c r="O95" s="94">
        <f>SUMIFS('caseload data'!Q:Q,'caseload data'!$D:$D,"PSO",'caseload data'!$C:$C,'divisional &amp; regional caseload'!$B$92)</f>
        <v>0</v>
      </c>
      <c r="P95" s="94">
        <f>SUMIFS('caseload data'!R:R,'caseload data'!$D:$D,"PSO",'caseload data'!$C:$C,'divisional &amp; regional caseload'!$B$92)</f>
        <v>0</v>
      </c>
      <c r="Q95" s="94">
        <f>SUMIFS('caseload data'!S:S,'caseload data'!$D:$D,"PSO",'caseload data'!$C:$C,'divisional &amp; regional caseload'!$B$92)</f>
        <v>0</v>
      </c>
      <c r="R95" s="94">
        <f>SUMIFS('caseload data'!T:T,'caseload data'!$D:$D,"PSO",'caseload data'!$C:$C,'divisional &amp; regional caseload'!$B$92)</f>
        <v>0</v>
      </c>
      <c r="T95" s="97" t="s">
        <v>952</v>
      </c>
      <c r="U95" s="94">
        <f>SUMIFS('caseload data'!E:E,'caseload data'!$D:$D,"PSO",'caseload data'!$C:$C,'divisional &amp; regional caseload'!$T$64)</f>
        <v>0</v>
      </c>
      <c r="V95" s="94">
        <f>SUMIFS('caseload data'!F:F,'caseload data'!$D:$D,"PSO",'caseload data'!$C:$C,'divisional &amp; regional caseload'!$T$64)</f>
        <v>0</v>
      </c>
      <c r="W95" s="94">
        <f>SUMIFS('caseload data'!G:G,'caseload data'!$D:$D,"PSO",'caseload data'!$C:$C,'divisional &amp; regional caseload'!$T$64)</f>
        <v>0</v>
      </c>
      <c r="X95" s="94">
        <f>SUMIFS('caseload data'!H:H,'caseload data'!$D:$D,"PSO",'caseload data'!$C:$C,'divisional &amp; regional caseload'!$T$64)</f>
        <v>0</v>
      </c>
      <c r="Y95" s="94">
        <f>SUMIFS('caseload data'!I:I,'caseload data'!$D:$D,"PSO",'caseload data'!$C:$C,'divisional &amp; regional caseload'!$T$64)</f>
        <v>0</v>
      </c>
      <c r="Z95" s="94">
        <f>SUMIFS('caseload data'!J:J,'caseload data'!$D:$D,"PSO",'caseload data'!$C:$C,'divisional &amp; regional caseload'!$T$64)</f>
        <v>0</v>
      </c>
      <c r="AA95" s="94">
        <f>SUMIFS('caseload data'!K:K,'caseload data'!$D:$D,"PSO",'caseload data'!$C:$C,'divisional &amp; regional caseload'!$T$64)</f>
        <v>0</v>
      </c>
      <c r="AB95" s="94">
        <f>SUMIFS('caseload data'!L:L,'caseload data'!$D:$D,"PSO",'caseload data'!$C:$C,'divisional &amp; regional caseload'!$T$64)</f>
        <v>0</v>
      </c>
      <c r="AC95" s="94">
        <f>SUMIFS('caseload data'!M:M,'caseload data'!$D:$D,"PSO",'caseload data'!$C:$C,'divisional &amp; regional caseload'!$T$64)</f>
        <v>0</v>
      </c>
      <c r="AD95" s="94">
        <f>SUMIFS('caseload data'!N:N,'caseload data'!$D:$D,"PSO",'caseload data'!$C:$C,'divisional &amp; regional caseload'!$T$64)</f>
        <v>0</v>
      </c>
      <c r="AE95" s="94">
        <f>SUMIFS('caseload data'!O:O,'caseload data'!$D:$D,"PSO",'caseload data'!$C:$C,'divisional &amp; regional caseload'!$T$64)</f>
        <v>0</v>
      </c>
      <c r="AF95" s="94">
        <f>SUMIFS('caseload data'!P:P,'caseload data'!$D:$D,"PSO",'caseload data'!$C:$C,'divisional &amp; regional caseload'!$T$64)</f>
        <v>0</v>
      </c>
      <c r="AG95" s="94">
        <f>SUMIFS('caseload data'!Q:Q,'caseload data'!$D:$D,"PSO",'caseload data'!$C:$C,'divisional &amp; regional caseload'!$T$64)</f>
        <v>0</v>
      </c>
      <c r="AH95" s="94">
        <f>SUMIFS('caseload data'!R:R,'caseload data'!$D:$D,"PSO",'caseload data'!$C:$C,'divisional &amp; regional caseload'!$T$64)</f>
        <v>0</v>
      </c>
      <c r="AI95" s="94">
        <f>SUMIFS('caseload data'!S:S,'caseload data'!$D:$D,"PSO",'caseload data'!$C:$C,'divisional &amp; regional caseload'!$T$64)</f>
        <v>0</v>
      </c>
      <c r="AJ95" s="94">
        <f>SUMIFS('caseload data'!T:T,'caseload data'!$D:$D,"PSO",'caseload data'!$C:$C,'divisional &amp; regional caseload'!$T$64)</f>
        <v>0</v>
      </c>
    </row>
    <row r="96" spans="2:36" x14ac:dyDescent="0.15">
      <c r="B96" s="97" t="s">
        <v>953</v>
      </c>
      <c r="C96" s="94">
        <f>SUMIFS('caseload data'!E:E,'caseload data'!$D:$D,"TPO",'caseload data'!$C:$C,'divisional &amp; regional caseload'!$B$92)</f>
        <v>0</v>
      </c>
      <c r="D96" s="94">
        <f>SUMIFS('caseload data'!F:F,'caseload data'!$D:$D,"TPO",'caseload data'!$C:$C,'divisional &amp; regional caseload'!$B$92)</f>
        <v>0</v>
      </c>
      <c r="E96" s="94">
        <f>SUMIFS('caseload data'!G:G,'caseload data'!$D:$D,"TPO",'caseload data'!$C:$C,'divisional &amp; regional caseload'!$B$92)</f>
        <v>0</v>
      </c>
      <c r="F96" s="94">
        <f>SUMIFS('caseload data'!H:H,'caseload data'!$D:$D,"TPO",'caseload data'!$C:$C,'divisional &amp; regional caseload'!$B$92)</f>
        <v>0</v>
      </c>
      <c r="G96" s="94">
        <f>SUMIFS('caseload data'!I:I,'caseload data'!$D:$D,"TPO",'caseload data'!$C:$C,'divisional &amp; regional caseload'!$B$92)</f>
        <v>0</v>
      </c>
      <c r="H96" s="94">
        <f>SUMIFS('caseload data'!J:J,'caseload data'!$D:$D,"TPO",'caseload data'!$C:$C,'divisional &amp; regional caseload'!$B$92)</f>
        <v>0</v>
      </c>
      <c r="I96" s="94">
        <f>SUMIFS('caseload data'!K:K,'caseload data'!$D:$D,"TPO",'caseload data'!$C:$C,'divisional &amp; regional caseload'!$B$92)</f>
        <v>0</v>
      </c>
      <c r="J96" s="94">
        <f>SUMIFS('caseload data'!L:L,'caseload data'!$D:$D,"TPO",'caseload data'!$C:$C,'divisional &amp; regional caseload'!$B$92)</f>
        <v>0</v>
      </c>
      <c r="K96" s="94">
        <f>SUMIFS('caseload data'!M:M,'caseload data'!$D:$D,"TPO",'caseload data'!$C:$C,'divisional &amp; regional caseload'!$B$92)</f>
        <v>0</v>
      </c>
      <c r="L96" s="94">
        <f>SUMIFS('caseload data'!N:N,'caseload data'!$D:$D,"TPO",'caseload data'!$C:$C,'divisional &amp; regional caseload'!$B$92)</f>
        <v>0</v>
      </c>
      <c r="M96" s="94">
        <f>SUMIFS('caseload data'!O:O,'caseload data'!$D:$D,"TPO",'caseload data'!$C:$C,'divisional &amp; regional caseload'!$B$92)</f>
        <v>0</v>
      </c>
      <c r="N96" s="94">
        <f>SUMIFS('caseload data'!P:P,'caseload data'!$D:$D,"TPO",'caseload data'!$C:$C,'divisional &amp; regional caseload'!$B$92)</f>
        <v>0</v>
      </c>
      <c r="O96" s="94">
        <f>SUMIFS('caseload data'!Q:Q,'caseload data'!$D:$D,"TPO",'caseload data'!$C:$C,'divisional &amp; regional caseload'!$B$92)</f>
        <v>0</v>
      </c>
      <c r="P96" s="94">
        <f>SUMIFS('caseload data'!R:R,'caseload data'!$D:$D,"TPO",'caseload data'!$C:$C,'divisional &amp; regional caseload'!$B$92)</f>
        <v>0</v>
      </c>
      <c r="Q96" s="94">
        <f>SUMIFS('caseload data'!S:S,'caseload data'!$D:$D,"TPO",'caseload data'!$C:$C,'divisional &amp; regional caseload'!$B$92)</f>
        <v>0</v>
      </c>
      <c r="R96" s="94">
        <f>SUMIFS('caseload data'!T:T,'caseload data'!$D:$D,"TPO",'caseload data'!$C:$C,'divisional &amp; regional caseload'!$B$92)</f>
        <v>0</v>
      </c>
      <c r="T96" s="97" t="s">
        <v>953</v>
      </c>
      <c r="U96" s="94">
        <f>SUMIFS('caseload data'!E:E,'caseload data'!$D:$D,"TPO",'caseload data'!$C:$C,'divisional &amp; regional caseload'!$T$64)</f>
        <v>0</v>
      </c>
      <c r="V96" s="94">
        <f>SUMIFS('caseload data'!F:F,'caseload data'!$D:$D,"TPO",'caseload data'!$C:$C,'divisional &amp; regional caseload'!$T$64)</f>
        <v>0</v>
      </c>
      <c r="W96" s="94">
        <f>SUMIFS('caseload data'!G:G,'caseload data'!$D:$D,"TPO",'caseload data'!$C:$C,'divisional &amp; regional caseload'!$T$64)</f>
        <v>0</v>
      </c>
      <c r="X96" s="94">
        <f>SUMIFS('caseload data'!H:H,'caseload data'!$D:$D,"TPO",'caseload data'!$C:$C,'divisional &amp; regional caseload'!$T$64)</f>
        <v>0</v>
      </c>
      <c r="Y96" s="94">
        <f>SUMIFS('caseload data'!I:I,'caseload data'!$D:$D,"TPO",'caseload data'!$C:$C,'divisional &amp; regional caseload'!$T$64)</f>
        <v>0</v>
      </c>
      <c r="Z96" s="94">
        <f>SUMIFS('caseload data'!J:J,'caseload data'!$D:$D,"TPO",'caseload data'!$C:$C,'divisional &amp; regional caseload'!$T$64)</f>
        <v>0</v>
      </c>
      <c r="AA96" s="94">
        <f>SUMIFS('caseload data'!K:K,'caseload data'!$D:$D,"TPO",'caseload data'!$C:$C,'divisional &amp; regional caseload'!$T$64)</f>
        <v>0</v>
      </c>
      <c r="AB96" s="94">
        <f>SUMIFS('caseload data'!L:L,'caseload data'!$D:$D,"TPO",'caseload data'!$C:$C,'divisional &amp; regional caseload'!$T$64)</f>
        <v>0</v>
      </c>
      <c r="AC96" s="94">
        <f>SUMIFS('caseload data'!M:M,'caseload data'!$D:$D,"TPO",'caseload data'!$C:$C,'divisional &amp; regional caseload'!$T$64)</f>
        <v>0</v>
      </c>
      <c r="AD96" s="94">
        <f>SUMIFS('caseload data'!N:N,'caseload data'!$D:$D,"TPO",'caseload data'!$C:$C,'divisional &amp; regional caseload'!$T$64)</f>
        <v>0</v>
      </c>
      <c r="AE96" s="94">
        <f>SUMIFS('caseload data'!O:O,'caseload data'!$D:$D,"TPO",'caseload data'!$C:$C,'divisional &amp; regional caseload'!$T$64)</f>
        <v>0</v>
      </c>
      <c r="AF96" s="94">
        <f>SUMIFS('caseload data'!P:P,'caseload data'!$D:$D,"TPO",'caseload data'!$C:$C,'divisional &amp; regional caseload'!$T$64)</f>
        <v>0</v>
      </c>
      <c r="AG96" s="94">
        <f>SUMIFS('caseload data'!Q:Q,'caseload data'!$D:$D,"TPO",'caseload data'!$C:$C,'divisional &amp; regional caseload'!$T$64)</f>
        <v>0</v>
      </c>
      <c r="AH96" s="94">
        <f>SUMIFS('caseload data'!R:R,'caseload data'!$D:$D,"TPO",'caseload data'!$C:$C,'divisional &amp; regional caseload'!$T$64)</f>
        <v>0</v>
      </c>
      <c r="AI96" s="94">
        <f>SUMIFS('caseload data'!S:S,'caseload data'!$D:$D,"TPO",'caseload data'!$C:$C,'divisional &amp; regional caseload'!$T$64)</f>
        <v>0</v>
      </c>
      <c r="AJ96" s="94">
        <f>SUMIFS('caseload data'!T:T,'caseload data'!$D:$D,"TPO",'caseload data'!$C:$C,'divisional &amp; regional caseload'!$T$64)</f>
        <v>0</v>
      </c>
    </row>
    <row r="97" spans="2:36" x14ac:dyDescent="0.15">
      <c r="B97" s="98" t="s">
        <v>954</v>
      </c>
      <c r="C97" s="94">
        <f>SUMIFS('caseload data'!E:E,'caseload data'!$D:$D,"SPO",'caseload data'!$C:$C,'divisional &amp; regional caseload'!$B$92)</f>
        <v>0</v>
      </c>
      <c r="D97" s="94">
        <f>SUMIFS('caseload data'!F:F,'caseload data'!$D:$D,"SPO",'caseload data'!$C:$C,'divisional &amp; regional caseload'!$B$92)</f>
        <v>0</v>
      </c>
      <c r="E97" s="94">
        <f>SUMIFS('caseload data'!G:G,'caseload data'!$D:$D,"SPO",'caseload data'!$C:$C,'divisional &amp; regional caseload'!$B$92)</f>
        <v>0</v>
      </c>
      <c r="F97" s="94">
        <f>SUMIFS('caseload data'!H:H,'caseload data'!$D:$D,"SPO",'caseload data'!$C:$C,'divisional &amp; regional caseload'!$B$92)</f>
        <v>0</v>
      </c>
      <c r="G97" s="94">
        <f>SUMIFS('caseload data'!I:I,'caseload data'!$D:$D,"SPO",'caseload data'!$C:$C,'divisional &amp; regional caseload'!$B$92)</f>
        <v>0</v>
      </c>
      <c r="H97" s="94">
        <f>SUMIFS('caseload data'!J:J,'caseload data'!$D:$D,"SPO",'caseload data'!$C:$C,'divisional &amp; regional caseload'!$B$92)</f>
        <v>0</v>
      </c>
      <c r="I97" s="94">
        <f>SUMIFS('caseload data'!K:K,'caseload data'!$D:$D,"SPO",'caseload data'!$C:$C,'divisional &amp; regional caseload'!$B$92)</f>
        <v>0</v>
      </c>
      <c r="J97" s="94">
        <f>SUMIFS('caseload data'!L:L,'caseload data'!$D:$D,"SPO",'caseload data'!$C:$C,'divisional &amp; regional caseload'!$B$92)</f>
        <v>0</v>
      </c>
      <c r="K97" s="94">
        <f>SUMIFS('caseload data'!M:M,'caseload data'!$D:$D,"SPO",'caseload data'!$C:$C,'divisional &amp; regional caseload'!$B$92)</f>
        <v>0</v>
      </c>
      <c r="L97" s="94">
        <f>SUMIFS('caseload data'!N:N,'caseload data'!$D:$D,"SPO",'caseload data'!$C:$C,'divisional &amp; regional caseload'!$B$92)</f>
        <v>0</v>
      </c>
      <c r="M97" s="94">
        <f>SUMIFS('caseload data'!O:O,'caseload data'!$D:$D,"SPO",'caseload data'!$C:$C,'divisional &amp; regional caseload'!$B$92)</f>
        <v>0</v>
      </c>
      <c r="N97" s="94">
        <f>SUMIFS('caseload data'!P:P,'caseload data'!$D:$D,"SPO",'caseload data'!$C:$C,'divisional &amp; regional caseload'!$B$92)</f>
        <v>0</v>
      </c>
      <c r="O97" s="94">
        <f>SUMIFS('caseload data'!Q:Q,'caseload data'!$D:$D,"SPO",'caseload data'!$C:$C,'divisional &amp; regional caseload'!$B$92)</f>
        <v>0</v>
      </c>
      <c r="P97" s="94">
        <f>SUMIFS('caseload data'!R:R,'caseload data'!$D:$D,"SPO",'caseload data'!$C:$C,'divisional &amp; regional caseload'!$B$92)</f>
        <v>0</v>
      </c>
      <c r="Q97" s="94">
        <f>SUMIFS('caseload data'!S:S,'caseload data'!$D:$D,"SPO",'caseload data'!$C:$C,'divisional &amp; regional caseload'!$B$92)</f>
        <v>0</v>
      </c>
      <c r="R97" s="94">
        <f>SUMIFS('caseload data'!T:T,'caseload data'!$D:$D,"SPO",'caseload data'!$C:$C,'divisional &amp; regional caseload'!$B$92)</f>
        <v>0</v>
      </c>
      <c r="T97" s="98" t="s">
        <v>954</v>
      </c>
      <c r="U97" s="94">
        <f>SUMIFS('caseload data'!E:E,'caseload data'!$D:$D,"SPO",'caseload data'!$C:$C,'divisional &amp; regional caseload'!$T$64)</f>
        <v>0</v>
      </c>
      <c r="V97" s="94">
        <f>SUMIFS('caseload data'!F:F,'caseload data'!$D:$D,"SPO",'caseload data'!$C:$C,'divisional &amp; regional caseload'!$T$64)</f>
        <v>0</v>
      </c>
      <c r="W97" s="94">
        <f>SUMIFS('caseload data'!G:G,'caseload data'!$D:$D,"SPO",'caseload data'!$C:$C,'divisional &amp; regional caseload'!$T$64)</f>
        <v>0</v>
      </c>
      <c r="X97" s="94">
        <f>SUMIFS('caseload data'!H:H,'caseload data'!$D:$D,"SPO",'caseload data'!$C:$C,'divisional &amp; regional caseload'!$T$64)</f>
        <v>0</v>
      </c>
      <c r="Y97" s="94">
        <f>SUMIFS('caseload data'!I:I,'caseload data'!$D:$D,"SPO",'caseload data'!$C:$C,'divisional &amp; regional caseload'!$T$64)</f>
        <v>0</v>
      </c>
      <c r="Z97" s="94">
        <f>SUMIFS('caseload data'!J:J,'caseload data'!$D:$D,"SPO",'caseload data'!$C:$C,'divisional &amp; regional caseload'!$T$64)</f>
        <v>0</v>
      </c>
      <c r="AA97" s="94">
        <f>SUMIFS('caseload data'!K:K,'caseload data'!$D:$D,"SPO",'caseload data'!$C:$C,'divisional &amp; regional caseload'!$T$64)</f>
        <v>0</v>
      </c>
      <c r="AB97" s="94">
        <f>SUMIFS('caseload data'!L:L,'caseload data'!$D:$D,"SPO",'caseload data'!$C:$C,'divisional &amp; regional caseload'!$T$64)</f>
        <v>0</v>
      </c>
      <c r="AC97" s="94">
        <f>SUMIFS('caseload data'!M:M,'caseload data'!$D:$D,"SPO",'caseload data'!$C:$C,'divisional &amp; regional caseload'!$T$64)</f>
        <v>0</v>
      </c>
      <c r="AD97" s="94">
        <f>SUMIFS('caseload data'!N:N,'caseload data'!$D:$D,"SPO",'caseload data'!$C:$C,'divisional &amp; regional caseload'!$T$64)</f>
        <v>0</v>
      </c>
      <c r="AE97" s="94">
        <f>SUMIFS('caseload data'!O:O,'caseload data'!$D:$D,"SPO",'caseload data'!$C:$C,'divisional &amp; regional caseload'!$T$64)</f>
        <v>0</v>
      </c>
      <c r="AF97" s="94">
        <f>SUMIFS('caseload data'!P:P,'caseload data'!$D:$D,"SPO",'caseload data'!$C:$C,'divisional &amp; regional caseload'!$T$64)</f>
        <v>0</v>
      </c>
      <c r="AG97" s="94">
        <f>SUMIFS('caseload data'!Q:Q,'caseload data'!$D:$D,"SPO",'caseload data'!$C:$C,'divisional &amp; regional caseload'!$T$64)</f>
        <v>0</v>
      </c>
      <c r="AH97" s="94">
        <f>SUMIFS('caseload data'!R:R,'caseload data'!$D:$D,"SPO",'caseload data'!$C:$C,'divisional &amp; regional caseload'!$T$64)</f>
        <v>0</v>
      </c>
      <c r="AI97" s="94">
        <f>SUMIFS('caseload data'!S:S,'caseload data'!$D:$D,"SPO",'caseload data'!$C:$C,'divisional &amp; regional caseload'!$T$64)</f>
        <v>0</v>
      </c>
      <c r="AJ97" s="94">
        <f>SUMIFS('caseload data'!T:T,'caseload data'!$D:$D,"SPO",'caseload data'!$C:$C,'divisional &amp; regional caseload'!$T$64)</f>
        <v>0</v>
      </c>
    </row>
    <row r="99" spans="2:36" ht="31.5" customHeight="1" x14ac:dyDescent="0.15">
      <c r="B99" s="142">
        <f>HLOOKUP($B$5,Region_Table,28,0)</f>
        <v>0</v>
      </c>
      <c r="C99" s="540" t="s">
        <v>1039</v>
      </c>
      <c r="D99" s="541"/>
      <c r="E99" s="541"/>
      <c r="F99" s="541"/>
      <c r="G99" s="541"/>
      <c r="H99" s="541"/>
      <c r="I99" s="541"/>
      <c r="J99" s="541"/>
      <c r="K99" s="541"/>
      <c r="L99" s="541"/>
      <c r="M99" s="551"/>
      <c r="N99" s="551"/>
      <c r="O99" s="552"/>
      <c r="P99" s="543">
        <f>SUMIF('caseload data'!$C:$C,'divisional &amp; regional caseload'!B99,'caseload data'!V:V)</f>
        <v>0</v>
      </c>
      <c r="Q99" s="544"/>
      <c r="R99" s="545"/>
      <c r="T99" s="142">
        <f>HLOOKUP($B$5,Region_Table,29,0)</f>
        <v>0</v>
      </c>
      <c r="U99" s="540" t="s">
        <v>1039</v>
      </c>
      <c r="V99" s="541"/>
      <c r="W99" s="541"/>
      <c r="X99" s="541"/>
      <c r="Y99" s="541"/>
      <c r="Z99" s="541"/>
      <c r="AA99" s="541"/>
      <c r="AB99" s="541"/>
      <c r="AC99" s="541"/>
      <c r="AD99" s="541"/>
      <c r="AE99" s="541"/>
      <c r="AF99" s="541"/>
      <c r="AG99" s="542"/>
      <c r="AH99" s="543">
        <f>SUMIF('caseload data'!$C:$C,'divisional &amp; regional caseload'!T99,'caseload data'!V:V)</f>
        <v>0</v>
      </c>
      <c r="AI99" s="546"/>
      <c r="AJ99" s="547"/>
    </row>
    <row r="100" spans="2:36" x14ac:dyDescent="0.15">
      <c r="B100" s="95"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5" t="s">
        <v>950</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94">
        <f>SUMIFS('caseload data'!E:E,'caseload data'!$D:$D,"PO",'caseload data'!$C:$C,'divisional &amp; regional caseload'!$B$71)</f>
        <v>0</v>
      </c>
      <c r="D101" s="94">
        <f>SUMIFS('caseload data'!F:F,'caseload data'!$D:$D,"PO",'caseload data'!$C:$C,'divisional &amp; regional caseload'!$B$71)</f>
        <v>0</v>
      </c>
      <c r="E101" s="94">
        <f>SUMIFS('caseload data'!G:G,'caseload data'!$D:$D,"PO",'caseload data'!$C:$C,'divisional &amp; regional caseload'!$B$71)</f>
        <v>0</v>
      </c>
      <c r="F101" s="94">
        <f>SUMIFS('caseload data'!H:H,'caseload data'!$D:$D,"PO",'caseload data'!$C:$C,'divisional &amp; regional caseload'!$B$71)</f>
        <v>0</v>
      </c>
      <c r="G101" s="94">
        <f>SUMIFS('caseload data'!I:I,'caseload data'!$D:$D,"PO",'caseload data'!$C:$C,'divisional &amp; regional caseload'!$B$71)</f>
        <v>0</v>
      </c>
      <c r="H101" s="94">
        <f>SUMIFS('caseload data'!J:J,'caseload data'!$D:$D,"PO",'caseload data'!$C:$C,'divisional &amp; regional caseload'!$B$71)</f>
        <v>0</v>
      </c>
      <c r="I101" s="94">
        <f>SUMIFS('caseload data'!K:K,'caseload data'!$D:$D,"PO",'caseload data'!$C:$C,'divisional &amp; regional caseload'!$B$71)</f>
        <v>0</v>
      </c>
      <c r="J101" s="94">
        <f>SUMIFS('caseload data'!L:L,'caseload data'!$D:$D,"PO",'caseload data'!$C:$C,'divisional &amp; regional caseload'!$B$71)</f>
        <v>0</v>
      </c>
      <c r="K101" s="94">
        <f>SUMIFS('caseload data'!M:M,'caseload data'!$D:$D,"PO",'caseload data'!$C:$C,'divisional &amp; regional caseload'!$B$71)</f>
        <v>0</v>
      </c>
      <c r="L101" s="94">
        <f>SUMIFS('caseload data'!N:N,'caseload data'!$D:$D,"PO",'caseload data'!$C:$C,'divisional &amp; regional caseload'!$B$71)</f>
        <v>0</v>
      </c>
      <c r="M101" s="94">
        <f>SUMIFS('caseload data'!O:O,'caseload data'!$D:$D,"PO",'caseload data'!$C:$C,'divisional &amp; regional caseload'!$B$71)</f>
        <v>0</v>
      </c>
      <c r="N101" s="94">
        <f>SUMIFS('caseload data'!P:P,'caseload data'!$D:$D,"PO",'caseload data'!$C:$C,'divisional &amp; regional caseload'!$B$71)</f>
        <v>0</v>
      </c>
      <c r="O101" s="94">
        <f>SUMIFS('caseload data'!Q:Q,'caseload data'!$D:$D,"PO",'caseload data'!$C:$C,'divisional &amp; regional caseload'!$B$71)</f>
        <v>0</v>
      </c>
      <c r="P101" s="94">
        <f>SUMIFS('caseload data'!R:R,'caseload data'!$D:$D,"PO",'caseload data'!$C:$C,'divisional &amp; regional caseload'!$B$71)</f>
        <v>0</v>
      </c>
      <c r="Q101" s="94">
        <f>SUMIFS('caseload data'!S:S,'caseload data'!$D:$D,"PO",'caseload data'!$C:$C,'divisional &amp; regional caseload'!$B$71)</f>
        <v>0</v>
      </c>
      <c r="R101" s="94">
        <f>SUMIFS('caseload data'!T:T,'caseload data'!$D:$D,"PO",'caseload data'!$C:$C,'divisional &amp; regional caseload'!$B$71)</f>
        <v>0</v>
      </c>
      <c r="T101" s="96" t="s">
        <v>947</v>
      </c>
      <c r="U101" s="94">
        <f>SUMIFS('caseload data'!E:E,'caseload data'!$D:$D,"PO",'caseload data'!$C:$C,'divisional &amp; regional caseload'!$T$99)</f>
        <v>0</v>
      </c>
      <c r="V101" s="94">
        <f>SUMIFS('caseload data'!F:F,'caseload data'!$D:$D,"PO",'caseload data'!$C:$C,'divisional &amp; regional caseload'!$T$99)</f>
        <v>0</v>
      </c>
      <c r="W101" s="94">
        <f>SUMIFS('caseload data'!G:G,'caseload data'!$D:$D,"PO",'caseload data'!$C:$C,'divisional &amp; regional caseload'!$T$99)</f>
        <v>0</v>
      </c>
      <c r="X101" s="94">
        <f>SUMIFS('caseload data'!H:H,'caseload data'!$D:$D,"PO",'caseload data'!$C:$C,'divisional &amp; regional caseload'!$T$99)</f>
        <v>0</v>
      </c>
      <c r="Y101" s="94">
        <f>SUMIFS('caseload data'!I:I,'caseload data'!$D:$D,"PO",'caseload data'!$C:$C,'divisional &amp; regional caseload'!$T$99)</f>
        <v>0</v>
      </c>
      <c r="Z101" s="94">
        <f>SUMIFS('caseload data'!J:J,'caseload data'!$D:$D,"PO",'caseload data'!$C:$C,'divisional &amp; regional caseload'!$T$99)</f>
        <v>0</v>
      </c>
      <c r="AA101" s="94">
        <f>SUMIFS('caseload data'!K:K,'caseload data'!$D:$D,"PO",'caseload data'!$C:$C,'divisional &amp; regional caseload'!$T$99)</f>
        <v>0</v>
      </c>
      <c r="AB101" s="94">
        <f>SUMIFS('caseload data'!L:L,'caseload data'!$D:$D,"PO",'caseload data'!$C:$C,'divisional &amp; regional caseload'!$T$99)</f>
        <v>0</v>
      </c>
      <c r="AC101" s="94">
        <f>SUMIFS('caseload data'!M:M,'caseload data'!$D:$D,"PO",'caseload data'!$C:$C,'divisional &amp; regional caseload'!$T$99)</f>
        <v>0</v>
      </c>
      <c r="AD101" s="94">
        <f>SUMIFS('caseload data'!N:N,'caseload data'!$D:$D,"PO",'caseload data'!$C:$C,'divisional &amp; regional caseload'!$T$99)</f>
        <v>0</v>
      </c>
      <c r="AE101" s="94">
        <f>SUMIFS('caseload data'!O:O,'caseload data'!$D:$D,"PO",'caseload data'!$C:$C,'divisional &amp; regional caseload'!$T$99)</f>
        <v>0</v>
      </c>
      <c r="AF101" s="94">
        <f>SUMIFS('caseload data'!P:P,'caseload data'!$D:$D,"PO",'caseload data'!$C:$C,'divisional &amp; regional caseload'!$T$99)</f>
        <v>0</v>
      </c>
      <c r="AG101" s="94">
        <f>SUMIFS('caseload data'!Q:Q,'caseload data'!$D:$D,"PO",'caseload data'!$C:$C,'divisional &amp; regional caseload'!$T$99)</f>
        <v>0</v>
      </c>
      <c r="AH101" s="94">
        <f>SUMIFS('caseload data'!R:R,'caseload data'!$D:$D,"PO",'caseload data'!$C:$C,'divisional &amp; regional caseload'!$T$99)</f>
        <v>0</v>
      </c>
      <c r="AI101" s="94">
        <f>SUMIFS('caseload data'!S:S,'caseload data'!$D:$D,"PO",'caseload data'!$C:$C,'divisional &amp; regional caseload'!$T$99)</f>
        <v>0</v>
      </c>
      <c r="AJ101" s="94">
        <f>SUMIFS('caseload data'!T:T,'caseload data'!$D:$D,"PO",'caseload data'!$C:$C,'divisional &amp; regional caseload'!$T$99)</f>
        <v>0</v>
      </c>
    </row>
    <row r="102" spans="2:36" x14ac:dyDescent="0.15">
      <c r="B102" s="97" t="s">
        <v>952</v>
      </c>
      <c r="C102" s="94">
        <f>SUMIFS('caseload data'!E:E,'caseload data'!$D:$D,"PSO",'caseload data'!$C:$C,'divisional &amp; regional caseload'!$B$71)</f>
        <v>0</v>
      </c>
      <c r="D102" s="94">
        <f>SUMIFS('caseload data'!F:F,'caseload data'!$D:$D,"PSO",'caseload data'!$C:$C,'divisional &amp; regional caseload'!$B$71)</f>
        <v>0</v>
      </c>
      <c r="E102" s="94">
        <f>SUMIFS('caseload data'!G:G,'caseload data'!$D:$D,"PSO",'caseload data'!$C:$C,'divisional &amp; regional caseload'!$B$71)</f>
        <v>0</v>
      </c>
      <c r="F102" s="94">
        <f>SUMIFS('caseload data'!H:H,'caseload data'!$D:$D,"PSO",'caseload data'!$C:$C,'divisional &amp; regional caseload'!$B$71)</f>
        <v>0</v>
      </c>
      <c r="G102" s="94">
        <f>SUMIFS('caseload data'!I:I,'caseload data'!$D:$D,"PSO",'caseload data'!$C:$C,'divisional &amp; regional caseload'!$B$71)</f>
        <v>0</v>
      </c>
      <c r="H102" s="94">
        <f>SUMIFS('caseload data'!J:J,'caseload data'!$D:$D,"PSO",'caseload data'!$C:$C,'divisional &amp; regional caseload'!$B$71)</f>
        <v>0</v>
      </c>
      <c r="I102" s="94">
        <f>SUMIFS('caseload data'!K:K,'caseload data'!$D:$D,"PSO",'caseload data'!$C:$C,'divisional &amp; regional caseload'!$B$71)</f>
        <v>0</v>
      </c>
      <c r="J102" s="94">
        <f>SUMIFS('caseload data'!L:L,'caseload data'!$D:$D,"PSO",'caseload data'!$C:$C,'divisional &amp; regional caseload'!$B$71)</f>
        <v>0</v>
      </c>
      <c r="K102" s="94">
        <f>SUMIFS('caseload data'!M:M,'caseload data'!$D:$D,"PSO",'caseload data'!$C:$C,'divisional &amp; regional caseload'!$B$71)</f>
        <v>0</v>
      </c>
      <c r="L102" s="94">
        <f>SUMIFS('caseload data'!N:N,'caseload data'!$D:$D,"PSO",'caseload data'!$C:$C,'divisional &amp; regional caseload'!$B$71)</f>
        <v>0</v>
      </c>
      <c r="M102" s="94">
        <f>SUMIFS('caseload data'!O:O,'caseload data'!$D:$D,"PSO",'caseload data'!$C:$C,'divisional &amp; regional caseload'!$B$71)</f>
        <v>0</v>
      </c>
      <c r="N102" s="94">
        <f>SUMIFS('caseload data'!P:P,'caseload data'!$D:$D,"PSO",'caseload data'!$C:$C,'divisional &amp; regional caseload'!$B$71)</f>
        <v>0</v>
      </c>
      <c r="O102" s="94">
        <f>SUMIFS('caseload data'!Q:Q,'caseload data'!$D:$D,"PSO",'caseload data'!$C:$C,'divisional &amp; regional caseload'!$B$71)</f>
        <v>0</v>
      </c>
      <c r="P102" s="94">
        <f>SUMIFS('caseload data'!R:R,'caseload data'!$D:$D,"PSO",'caseload data'!$C:$C,'divisional &amp; regional caseload'!$B$71)</f>
        <v>0</v>
      </c>
      <c r="Q102" s="94">
        <f>SUMIFS('caseload data'!S:S,'caseload data'!$D:$D,"PSO",'caseload data'!$C:$C,'divisional &amp; regional caseload'!$B$71)</f>
        <v>0</v>
      </c>
      <c r="R102" s="94">
        <f>SUMIFS('caseload data'!T:T,'caseload data'!$D:$D,"PSO",'caseload data'!$C:$C,'divisional &amp; regional caseload'!$B$71)</f>
        <v>0</v>
      </c>
      <c r="T102" s="97" t="s">
        <v>952</v>
      </c>
      <c r="U102" s="94">
        <f>SUMIFS('caseload data'!E:E,'caseload data'!$D:$D,"PSO",'caseload data'!$C:$C,'divisional &amp; regional caseload'!$T$99)</f>
        <v>0</v>
      </c>
      <c r="V102" s="94">
        <f>SUMIFS('caseload data'!F:F,'caseload data'!$D:$D,"PSO",'caseload data'!$C:$C,'divisional &amp; regional caseload'!$T$99)</f>
        <v>0</v>
      </c>
      <c r="W102" s="94">
        <f>SUMIFS('caseload data'!G:G,'caseload data'!$D:$D,"PSO",'caseload data'!$C:$C,'divisional &amp; regional caseload'!$T$99)</f>
        <v>0</v>
      </c>
      <c r="X102" s="94">
        <f>SUMIFS('caseload data'!H:H,'caseload data'!$D:$D,"PSO",'caseload data'!$C:$C,'divisional &amp; regional caseload'!$T$99)</f>
        <v>0</v>
      </c>
      <c r="Y102" s="94">
        <f>SUMIFS('caseload data'!I:I,'caseload data'!$D:$D,"PSO",'caseload data'!$C:$C,'divisional &amp; regional caseload'!$T$99)</f>
        <v>0</v>
      </c>
      <c r="Z102" s="94">
        <f>SUMIFS('caseload data'!J:J,'caseload data'!$D:$D,"PSO",'caseload data'!$C:$C,'divisional &amp; regional caseload'!$T$99)</f>
        <v>0</v>
      </c>
      <c r="AA102" s="94">
        <f>SUMIFS('caseload data'!K:K,'caseload data'!$D:$D,"PSO",'caseload data'!$C:$C,'divisional &amp; regional caseload'!$T$99)</f>
        <v>0</v>
      </c>
      <c r="AB102" s="94">
        <f>SUMIFS('caseload data'!L:L,'caseload data'!$D:$D,"PSO",'caseload data'!$C:$C,'divisional &amp; regional caseload'!$T$99)</f>
        <v>0</v>
      </c>
      <c r="AC102" s="94">
        <f>SUMIFS('caseload data'!M:M,'caseload data'!$D:$D,"PSO",'caseload data'!$C:$C,'divisional &amp; regional caseload'!$T$99)</f>
        <v>0</v>
      </c>
      <c r="AD102" s="94">
        <f>SUMIFS('caseload data'!N:N,'caseload data'!$D:$D,"PSO",'caseload data'!$C:$C,'divisional &amp; regional caseload'!$T$99)</f>
        <v>0</v>
      </c>
      <c r="AE102" s="94">
        <f>SUMIFS('caseload data'!O:O,'caseload data'!$D:$D,"PSO",'caseload data'!$C:$C,'divisional &amp; regional caseload'!$T$99)</f>
        <v>0</v>
      </c>
      <c r="AF102" s="94">
        <f>SUMIFS('caseload data'!P:P,'caseload data'!$D:$D,"PSO",'caseload data'!$C:$C,'divisional &amp; regional caseload'!$T$99)</f>
        <v>0</v>
      </c>
      <c r="AG102" s="94">
        <f>SUMIFS('caseload data'!Q:Q,'caseload data'!$D:$D,"PSO",'caseload data'!$C:$C,'divisional &amp; regional caseload'!$T$99)</f>
        <v>0</v>
      </c>
      <c r="AH102" s="94">
        <f>SUMIFS('caseload data'!R:R,'caseload data'!$D:$D,"PSO",'caseload data'!$C:$C,'divisional &amp; regional caseload'!$T$99)</f>
        <v>0</v>
      </c>
      <c r="AI102" s="94">
        <f>SUMIFS('caseload data'!S:S,'caseload data'!$D:$D,"PSO",'caseload data'!$C:$C,'divisional &amp; regional caseload'!$T$99)</f>
        <v>0</v>
      </c>
      <c r="AJ102" s="94">
        <f>SUMIFS('caseload data'!T:T,'caseload data'!$D:$D,"PSO",'caseload data'!$C:$C,'divisional &amp; regional caseload'!$T$99)</f>
        <v>0</v>
      </c>
    </row>
    <row r="103" spans="2:36" x14ac:dyDescent="0.15">
      <c r="B103" s="97" t="s">
        <v>953</v>
      </c>
      <c r="C103" s="94">
        <f>SUMIFS('caseload data'!E:E,'caseload data'!$D:$D,"TPO",'caseload data'!$C:$C,'divisional &amp; regional caseload'!$B$71)</f>
        <v>0</v>
      </c>
      <c r="D103" s="94">
        <f>SUMIFS('caseload data'!F:F,'caseload data'!$D:$D,"TPO",'caseload data'!$C:$C,'divisional &amp; regional caseload'!$B$71)</f>
        <v>0</v>
      </c>
      <c r="E103" s="94">
        <f>SUMIFS('caseload data'!G:G,'caseload data'!$D:$D,"TPO",'caseload data'!$C:$C,'divisional &amp; regional caseload'!$B$71)</f>
        <v>0</v>
      </c>
      <c r="F103" s="94">
        <f>SUMIFS('caseload data'!H:H,'caseload data'!$D:$D,"TPO",'caseload data'!$C:$C,'divisional &amp; regional caseload'!$B$71)</f>
        <v>0</v>
      </c>
      <c r="G103" s="94">
        <f>SUMIFS('caseload data'!I:I,'caseload data'!$D:$D,"TPO",'caseload data'!$C:$C,'divisional &amp; regional caseload'!$B$71)</f>
        <v>0</v>
      </c>
      <c r="H103" s="94">
        <f>SUMIFS('caseload data'!J:J,'caseload data'!$D:$D,"TPO",'caseload data'!$C:$C,'divisional &amp; regional caseload'!$B$71)</f>
        <v>0</v>
      </c>
      <c r="I103" s="94">
        <f>SUMIFS('caseload data'!K:K,'caseload data'!$D:$D,"TPO",'caseload data'!$C:$C,'divisional &amp; regional caseload'!$B$71)</f>
        <v>0</v>
      </c>
      <c r="J103" s="94">
        <f>SUMIFS('caseload data'!L:L,'caseload data'!$D:$D,"TPO",'caseload data'!$C:$C,'divisional &amp; regional caseload'!$B$71)</f>
        <v>0</v>
      </c>
      <c r="K103" s="94">
        <f>SUMIFS('caseload data'!M:M,'caseload data'!$D:$D,"TPO",'caseload data'!$C:$C,'divisional &amp; regional caseload'!$B$71)</f>
        <v>0</v>
      </c>
      <c r="L103" s="94">
        <f>SUMIFS('caseload data'!N:N,'caseload data'!$D:$D,"TPO",'caseload data'!$C:$C,'divisional &amp; regional caseload'!$B$71)</f>
        <v>0</v>
      </c>
      <c r="M103" s="94">
        <f>SUMIFS('caseload data'!O:O,'caseload data'!$D:$D,"TPO",'caseload data'!$C:$C,'divisional &amp; regional caseload'!$B$71)</f>
        <v>0</v>
      </c>
      <c r="N103" s="94">
        <f>SUMIFS('caseload data'!P:P,'caseload data'!$D:$D,"TPO",'caseload data'!$C:$C,'divisional &amp; regional caseload'!$B$71)</f>
        <v>0</v>
      </c>
      <c r="O103" s="94">
        <f>SUMIFS('caseload data'!Q:Q,'caseload data'!$D:$D,"TPO",'caseload data'!$C:$C,'divisional &amp; regional caseload'!$B$71)</f>
        <v>0</v>
      </c>
      <c r="P103" s="94">
        <f>SUMIFS('caseload data'!R:R,'caseload data'!$D:$D,"TPO",'caseload data'!$C:$C,'divisional &amp; regional caseload'!$B$71)</f>
        <v>0</v>
      </c>
      <c r="Q103" s="94">
        <f>SUMIFS('caseload data'!S:S,'caseload data'!$D:$D,"TPO",'caseload data'!$C:$C,'divisional &amp; regional caseload'!$B$71)</f>
        <v>0</v>
      </c>
      <c r="R103" s="94">
        <f>SUMIFS('caseload data'!T:T,'caseload data'!$D:$D,"TPO",'caseload data'!$C:$C,'divisional &amp; regional caseload'!$B$71)</f>
        <v>0</v>
      </c>
      <c r="T103" s="97" t="s">
        <v>953</v>
      </c>
      <c r="U103" s="94">
        <f>SUMIFS('caseload data'!E:E,'caseload data'!$D:$D,"TPO",'caseload data'!$C:$C,'divisional &amp; regional caseload'!$T$99)</f>
        <v>0</v>
      </c>
      <c r="V103" s="94">
        <f>SUMIFS('caseload data'!F:F,'caseload data'!$D:$D,"TPO",'caseload data'!$C:$C,'divisional &amp; regional caseload'!$T$99)</f>
        <v>0</v>
      </c>
      <c r="W103" s="94">
        <f>SUMIFS('caseload data'!G:G,'caseload data'!$D:$D,"TPO",'caseload data'!$C:$C,'divisional &amp; regional caseload'!$T$99)</f>
        <v>0</v>
      </c>
      <c r="X103" s="94">
        <f>SUMIFS('caseload data'!H:H,'caseload data'!$D:$D,"TPO",'caseload data'!$C:$C,'divisional &amp; regional caseload'!$T$99)</f>
        <v>0</v>
      </c>
      <c r="Y103" s="94">
        <f>SUMIFS('caseload data'!I:I,'caseload data'!$D:$D,"TPO",'caseload data'!$C:$C,'divisional &amp; regional caseload'!$T$99)</f>
        <v>0</v>
      </c>
      <c r="Z103" s="94">
        <f>SUMIFS('caseload data'!J:J,'caseload data'!$D:$D,"TPO",'caseload data'!$C:$C,'divisional &amp; regional caseload'!$T$99)</f>
        <v>0</v>
      </c>
      <c r="AA103" s="94">
        <f>SUMIFS('caseload data'!K:K,'caseload data'!$D:$D,"TPO",'caseload data'!$C:$C,'divisional &amp; regional caseload'!$T$99)</f>
        <v>0</v>
      </c>
      <c r="AB103" s="94">
        <f>SUMIFS('caseload data'!L:L,'caseload data'!$D:$D,"TPO",'caseload data'!$C:$C,'divisional &amp; regional caseload'!$T$99)</f>
        <v>0</v>
      </c>
      <c r="AC103" s="94">
        <f>SUMIFS('caseload data'!M:M,'caseload data'!$D:$D,"TPO",'caseload data'!$C:$C,'divisional &amp; regional caseload'!$T$99)</f>
        <v>0</v>
      </c>
      <c r="AD103" s="94">
        <f>SUMIFS('caseload data'!N:N,'caseload data'!$D:$D,"TPO",'caseload data'!$C:$C,'divisional &amp; regional caseload'!$T$99)</f>
        <v>0</v>
      </c>
      <c r="AE103" s="94">
        <f>SUMIFS('caseload data'!O:O,'caseload data'!$D:$D,"TPO",'caseload data'!$C:$C,'divisional &amp; regional caseload'!$T$99)</f>
        <v>0</v>
      </c>
      <c r="AF103" s="94">
        <f>SUMIFS('caseload data'!P:P,'caseload data'!$D:$D,"TPO",'caseload data'!$C:$C,'divisional &amp; regional caseload'!$T$99)</f>
        <v>0</v>
      </c>
      <c r="AG103" s="94">
        <f>SUMIFS('caseload data'!Q:Q,'caseload data'!$D:$D,"TPO",'caseload data'!$C:$C,'divisional &amp; regional caseload'!$T$99)</f>
        <v>0</v>
      </c>
      <c r="AH103" s="94">
        <f>SUMIFS('caseload data'!R:R,'caseload data'!$D:$D,"TPO",'caseload data'!$C:$C,'divisional &amp; regional caseload'!$T$99)</f>
        <v>0</v>
      </c>
      <c r="AI103" s="94">
        <f>SUMIFS('caseload data'!S:S,'caseload data'!$D:$D,"TPO",'caseload data'!$C:$C,'divisional &amp; regional caseload'!$T$99)</f>
        <v>0</v>
      </c>
      <c r="AJ103" s="94">
        <f>SUMIFS('caseload data'!T:T,'caseload data'!$D:$D,"TPO",'caseload data'!$C:$C,'divisional &amp; regional caseload'!$T$99)</f>
        <v>0</v>
      </c>
    </row>
    <row r="104" spans="2:36" x14ac:dyDescent="0.15">
      <c r="B104" s="98" t="s">
        <v>954</v>
      </c>
      <c r="C104" s="94">
        <f>SUMIFS('caseload data'!E:E,'caseload data'!$D:$D,"SPO",'caseload data'!$C:$C,'divisional &amp; regional caseload'!$B$71)</f>
        <v>0</v>
      </c>
      <c r="D104" s="94">
        <f>SUMIFS('caseload data'!F:F,'caseload data'!$D:$D,"SPO",'caseload data'!$C:$C,'divisional &amp; regional caseload'!$B$71)</f>
        <v>0</v>
      </c>
      <c r="E104" s="94">
        <f>SUMIFS('caseload data'!G:G,'caseload data'!$D:$D,"SPO",'caseload data'!$C:$C,'divisional &amp; regional caseload'!$B$71)</f>
        <v>0</v>
      </c>
      <c r="F104" s="94">
        <f>SUMIFS('caseload data'!H:H,'caseload data'!$D:$D,"SPO",'caseload data'!$C:$C,'divisional &amp; regional caseload'!$B$71)</f>
        <v>0</v>
      </c>
      <c r="G104" s="94">
        <f>SUMIFS('caseload data'!I:I,'caseload data'!$D:$D,"SPO",'caseload data'!$C:$C,'divisional &amp; regional caseload'!$B$71)</f>
        <v>0</v>
      </c>
      <c r="H104" s="94">
        <f>SUMIFS('caseload data'!J:J,'caseload data'!$D:$D,"SPO",'caseload data'!$C:$C,'divisional &amp; regional caseload'!$B$71)</f>
        <v>0</v>
      </c>
      <c r="I104" s="94">
        <f>SUMIFS('caseload data'!K:K,'caseload data'!$D:$D,"SPO",'caseload data'!$C:$C,'divisional &amp; regional caseload'!$B$71)</f>
        <v>0</v>
      </c>
      <c r="J104" s="94">
        <f>SUMIFS('caseload data'!L:L,'caseload data'!$D:$D,"SPO",'caseload data'!$C:$C,'divisional &amp; regional caseload'!$B$71)</f>
        <v>0</v>
      </c>
      <c r="K104" s="94">
        <f>SUMIFS('caseload data'!M:M,'caseload data'!$D:$D,"SPO",'caseload data'!$C:$C,'divisional &amp; regional caseload'!$B$71)</f>
        <v>0</v>
      </c>
      <c r="L104" s="94">
        <f>SUMIFS('caseload data'!N:N,'caseload data'!$D:$D,"SPO",'caseload data'!$C:$C,'divisional &amp; regional caseload'!$B$71)</f>
        <v>0</v>
      </c>
      <c r="M104" s="94">
        <f>SUMIFS('caseload data'!O:O,'caseload data'!$D:$D,"SPO",'caseload data'!$C:$C,'divisional &amp; regional caseload'!$B$71)</f>
        <v>0</v>
      </c>
      <c r="N104" s="94">
        <f>SUMIFS('caseload data'!P:P,'caseload data'!$D:$D,"SPO",'caseload data'!$C:$C,'divisional &amp; regional caseload'!$B$71)</f>
        <v>0</v>
      </c>
      <c r="O104" s="94">
        <f>SUMIFS('caseload data'!Q:Q,'caseload data'!$D:$D,"SPO",'caseload data'!$C:$C,'divisional &amp; regional caseload'!$B$71)</f>
        <v>0</v>
      </c>
      <c r="P104" s="94">
        <f>SUMIFS('caseload data'!R:R,'caseload data'!$D:$D,"SPO",'caseload data'!$C:$C,'divisional &amp; regional caseload'!$B$71)</f>
        <v>0</v>
      </c>
      <c r="Q104" s="94">
        <f>SUMIFS('caseload data'!S:S,'caseload data'!$D:$D,"SPO",'caseload data'!$C:$C,'divisional &amp; regional caseload'!$B$71)</f>
        <v>0</v>
      </c>
      <c r="R104" s="94">
        <f>SUMIFS('caseload data'!T:T,'caseload data'!$D:$D,"SPO",'caseload data'!$C:$C,'divisional &amp; regional caseload'!$B$71)</f>
        <v>0</v>
      </c>
      <c r="T104" s="98" t="s">
        <v>954</v>
      </c>
      <c r="U104" s="94">
        <f>SUMIFS('caseload data'!E:E,'caseload data'!$D:$D,"SPO",'caseload data'!$C:$C,'divisional &amp; regional caseload'!$T$99)</f>
        <v>0</v>
      </c>
      <c r="V104" s="94">
        <f>SUMIFS('caseload data'!F:F,'caseload data'!$D:$D,"SPO",'caseload data'!$C:$C,'divisional &amp; regional caseload'!$T$99)</f>
        <v>0</v>
      </c>
      <c r="W104" s="94">
        <f>SUMIFS('caseload data'!G:G,'caseload data'!$D:$D,"SPO",'caseload data'!$C:$C,'divisional &amp; regional caseload'!$T$99)</f>
        <v>0</v>
      </c>
      <c r="X104" s="94">
        <f>SUMIFS('caseload data'!H:H,'caseload data'!$D:$D,"SPO",'caseload data'!$C:$C,'divisional &amp; regional caseload'!$T$99)</f>
        <v>0</v>
      </c>
      <c r="Y104" s="94">
        <f>SUMIFS('caseload data'!I:I,'caseload data'!$D:$D,"SPO",'caseload data'!$C:$C,'divisional &amp; regional caseload'!$T$99)</f>
        <v>0</v>
      </c>
      <c r="Z104" s="94">
        <f>SUMIFS('caseload data'!J:J,'caseload data'!$D:$D,"SPO",'caseload data'!$C:$C,'divisional &amp; regional caseload'!$T$99)</f>
        <v>0</v>
      </c>
      <c r="AA104" s="94">
        <f>SUMIFS('caseload data'!K:K,'caseload data'!$D:$D,"SPO",'caseload data'!$C:$C,'divisional &amp; regional caseload'!$T$99)</f>
        <v>0</v>
      </c>
      <c r="AB104" s="94">
        <f>SUMIFS('caseload data'!L:L,'caseload data'!$D:$D,"SPO",'caseload data'!$C:$C,'divisional &amp; regional caseload'!$T$99)</f>
        <v>0</v>
      </c>
      <c r="AC104" s="94">
        <f>SUMIFS('caseload data'!M:M,'caseload data'!$D:$D,"SPO",'caseload data'!$C:$C,'divisional &amp; regional caseload'!$T$99)</f>
        <v>0</v>
      </c>
      <c r="AD104" s="94">
        <f>SUMIFS('caseload data'!N:N,'caseload data'!$D:$D,"SPO",'caseload data'!$C:$C,'divisional &amp; regional caseload'!$T$99)</f>
        <v>0</v>
      </c>
      <c r="AE104" s="94">
        <f>SUMIFS('caseload data'!O:O,'caseload data'!$D:$D,"SPO",'caseload data'!$C:$C,'divisional &amp; regional caseload'!$T$99)</f>
        <v>0</v>
      </c>
      <c r="AF104" s="94">
        <f>SUMIFS('caseload data'!P:P,'caseload data'!$D:$D,"SPO",'caseload data'!$C:$C,'divisional &amp; regional caseload'!$T$99)</f>
        <v>0</v>
      </c>
      <c r="AG104" s="94">
        <f>SUMIFS('caseload data'!Q:Q,'caseload data'!$D:$D,"SPO",'caseload data'!$C:$C,'divisional &amp; regional caseload'!$T$99)</f>
        <v>0</v>
      </c>
      <c r="AH104" s="94">
        <f>SUMIFS('caseload data'!R:R,'caseload data'!$D:$D,"SPO",'caseload data'!$C:$C,'divisional &amp; regional caseload'!$T$99)</f>
        <v>0</v>
      </c>
      <c r="AI104" s="94">
        <f>SUMIFS('caseload data'!S:S,'caseload data'!$D:$D,"SPO",'caseload data'!$C:$C,'divisional &amp; regional caseload'!$T$99)</f>
        <v>0</v>
      </c>
      <c r="AJ104" s="94">
        <f>SUMIFS('caseload data'!T:T,'caseload data'!$D:$D,"SPO",'caseload data'!$C:$C,'divisional &amp; regional caseload'!$T$99)</f>
        <v>0</v>
      </c>
    </row>
  </sheetData>
  <mergeCells count="59">
    <mergeCell ref="A2:AO2"/>
    <mergeCell ref="C8:O8"/>
    <mergeCell ref="P8:R8"/>
    <mergeCell ref="C15:O15"/>
    <mergeCell ref="P15:R15"/>
    <mergeCell ref="AH8:AJ8"/>
    <mergeCell ref="AH15:AJ15"/>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U85:AG85"/>
    <mergeCell ref="AH50:AJ50"/>
    <mergeCell ref="AH99:AJ99"/>
    <mergeCell ref="U92:AG92"/>
    <mergeCell ref="U99:AG99"/>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zoomScale="85" zoomScaleNormal="85" workbookViewId="0">
      <selection activeCell="G4" sqref="G4"/>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512" t="s">
        <v>1042</v>
      </c>
      <c r="B1" s="512"/>
      <c r="C1" s="512"/>
      <c r="D1" s="512"/>
      <c r="E1" s="512"/>
      <c r="F1" s="512"/>
      <c r="G1" s="512"/>
      <c r="H1" s="512"/>
      <c r="I1" s="512"/>
      <c r="J1" s="512"/>
      <c r="K1" s="512"/>
      <c r="L1" s="512"/>
      <c r="M1" s="512"/>
      <c r="N1" s="512"/>
      <c r="O1" s="512"/>
      <c r="P1" s="512"/>
      <c r="Q1" s="512"/>
      <c r="R1" s="512"/>
      <c r="S1" s="512"/>
      <c r="T1" s="512"/>
      <c r="U1" s="512"/>
      <c r="V1" s="512"/>
      <c r="W1" s="512"/>
      <c r="X1" s="512"/>
      <c r="Y1" s="512"/>
      <c r="Z1" s="512"/>
      <c r="AA1" s="512"/>
      <c r="AB1" s="512"/>
      <c r="AC1" s="512"/>
      <c r="AD1" s="512"/>
      <c r="AE1" s="512"/>
      <c r="AF1" s="512"/>
      <c r="AG1" s="512"/>
      <c r="AH1" s="512"/>
      <c r="AI1" s="512"/>
      <c r="AJ1" s="512"/>
      <c r="AK1" s="256"/>
      <c r="AL1" s="256"/>
      <c r="AM1" s="256"/>
      <c r="AN1" s="256"/>
      <c r="AO1" s="256"/>
      <c r="AP1" s="256"/>
      <c r="AQ1" s="256"/>
      <c r="AR1" s="256"/>
      <c r="AS1" s="256"/>
      <c r="AT1" s="256"/>
      <c r="AU1" s="256"/>
      <c r="AV1" s="256"/>
      <c r="AW1" s="256"/>
      <c r="AX1" s="256"/>
    </row>
    <row r="2" spans="1:50" ht="48" customHeight="1" x14ac:dyDescent="0.15">
      <c r="A2" s="460" t="s">
        <v>1362</v>
      </c>
      <c r="B2" s="460"/>
      <c r="C2" s="460"/>
      <c r="D2" s="460"/>
      <c r="E2" s="460"/>
      <c r="F2" s="460"/>
      <c r="G2" s="460"/>
      <c r="H2" s="460"/>
      <c r="I2" s="460"/>
      <c r="J2" s="460"/>
      <c r="K2" s="460"/>
      <c r="L2" s="460"/>
      <c r="M2" s="460"/>
      <c r="N2" s="460"/>
      <c r="O2" s="460"/>
      <c r="P2" s="460"/>
      <c r="Q2" s="460"/>
      <c r="R2" s="460"/>
      <c r="S2" s="460"/>
      <c r="T2" s="460"/>
      <c r="U2" s="460"/>
      <c r="V2" s="460"/>
      <c r="W2" s="460"/>
      <c r="X2" s="460"/>
      <c r="Y2" s="460"/>
      <c r="Z2" s="460"/>
      <c r="AA2" s="460"/>
      <c r="AB2" s="460"/>
      <c r="AC2" s="460"/>
      <c r="AD2" s="460"/>
      <c r="AE2" s="460"/>
      <c r="AF2" s="460"/>
      <c r="AG2" s="460"/>
      <c r="AH2" s="460"/>
      <c r="AI2" s="460"/>
      <c r="AJ2" s="460"/>
      <c r="AK2" s="261"/>
      <c r="AL2" s="261"/>
      <c r="AM2" s="261"/>
      <c r="AN2" s="261"/>
      <c r="AO2" s="261"/>
      <c r="AP2" s="261"/>
      <c r="AQ2" s="261"/>
      <c r="AR2" s="261"/>
      <c r="AS2" s="261"/>
      <c r="AT2" s="261"/>
      <c r="AU2" s="261"/>
      <c r="AV2" s="261"/>
      <c r="AW2" s="261"/>
      <c r="AX2" s="261"/>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885</v>
      </c>
    </row>
    <row r="5" spans="1:50" ht="27" customHeight="1" x14ac:dyDescent="0.15">
      <c r="B5" s="242" t="s">
        <v>17</v>
      </c>
      <c r="P5" s="40"/>
    </row>
    <row r="6" spans="1:50" x14ac:dyDescent="0.15">
      <c r="B6" s="46"/>
    </row>
    <row r="8" spans="1:50" ht="28.5" customHeight="1" x14ac:dyDescent="0.15">
      <c r="B8" s="288" t="str">
        <f>HLOOKUP($B$5,Region_Table,2,0)</f>
        <v>All East Midlands Region</v>
      </c>
      <c r="C8" s="556" t="s">
        <v>1043</v>
      </c>
      <c r="D8" s="557"/>
      <c r="E8" s="557"/>
      <c r="F8" s="557"/>
      <c r="G8" s="557"/>
      <c r="H8" s="557"/>
      <c r="I8" s="557"/>
      <c r="J8" s="557"/>
      <c r="K8" s="557"/>
      <c r="L8" s="557"/>
      <c r="M8" s="558"/>
      <c r="N8" s="558"/>
      <c r="O8" s="559"/>
      <c r="P8" s="543">
        <f>SUMIF('caseload data'!C:C,'divisional &amp; regional caseload%'!B8,'caseload data'!V:V)</f>
        <v>0</v>
      </c>
      <c r="Q8" s="560"/>
      <c r="R8" s="561"/>
      <c r="S8" s="64"/>
      <c r="T8" s="288" t="str">
        <f>HLOOKUP($B$5,Region_Table,3,0)</f>
        <v>Derby City - N53</v>
      </c>
      <c r="U8" s="556" t="s">
        <v>1043</v>
      </c>
      <c r="V8" s="557"/>
      <c r="W8" s="557"/>
      <c r="X8" s="557"/>
      <c r="Y8" s="557"/>
      <c r="Z8" s="557"/>
      <c r="AA8" s="557"/>
      <c r="AB8" s="557"/>
      <c r="AC8" s="557"/>
      <c r="AD8" s="557"/>
      <c r="AE8" s="558"/>
      <c r="AF8" s="558"/>
      <c r="AG8" s="559"/>
      <c r="AH8" s="543">
        <f>SUMIF('caseload data'!C:C,'divisional &amp; regional caseload%'!T8,'caseload data'!V:V)</f>
        <v>0</v>
      </c>
      <c r="AI8" s="560"/>
      <c r="AJ8" s="561"/>
    </row>
    <row r="9" spans="1:50" x14ac:dyDescent="0.15">
      <c r="B9" s="95" t="s">
        <v>951</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951</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167" t="e">
        <f>SUMIFS('caseload data'!E:E,'caseload data'!$C:$C,'divisional &amp; regional caseload%'!$B$8,'caseload data'!$D:$D,"PO")/SUMIF('caseload data'!$C:$C,'divisional &amp; regional caseload%'!$B$8,'caseload data'!E:E)</f>
        <v>#DIV/0!</v>
      </c>
      <c r="D10" s="167" t="e">
        <f>SUMIFS('caseload data'!F:F,'caseload data'!$C:$C,'divisional &amp; regional caseload%'!$B$8,'caseload data'!$D:$D,"PO")/SUMIF('caseload data'!$C:$C,'divisional &amp; regional caseload%'!$B$8,'caseload data'!F:F)</f>
        <v>#DIV/0!</v>
      </c>
      <c r="E10" s="167" t="e">
        <f>SUMIFS('caseload data'!G:G,'caseload data'!$C:$C,'divisional &amp; regional caseload%'!$B$8,'caseload data'!$D:$D,"PO")/SUMIF('caseload data'!$C:$C,'divisional &amp; regional caseload%'!$B$8,'caseload data'!G:G)</f>
        <v>#DIV/0!</v>
      </c>
      <c r="F10" s="167" t="e">
        <f>SUMIFS('caseload data'!H:H,'caseload data'!$C:$C,'divisional &amp; regional caseload%'!$B$8,'caseload data'!$D:$D,"PO")/SUMIF('caseload data'!$C:$C,'divisional &amp; regional caseload%'!$B$8,'caseload data'!H:H)</f>
        <v>#DIV/0!</v>
      </c>
      <c r="G10" s="167" t="e">
        <f>SUMIFS('caseload data'!I:I,'caseload data'!$C:$C,'divisional &amp; regional caseload%'!$B$8,'caseload data'!$D:$D,"PO")/SUMIF('caseload data'!$C:$C,'divisional &amp; regional caseload%'!$B$8,'caseload data'!I:I)</f>
        <v>#DIV/0!</v>
      </c>
      <c r="H10" s="167" t="e">
        <f>SUMIFS('caseload data'!J:J,'caseload data'!$C:$C,'divisional &amp; regional caseload%'!$B$8,'caseload data'!$D:$D,"PO")/SUMIF('caseload data'!$C:$C,'divisional &amp; regional caseload%'!$B$8,'caseload data'!J:J)</f>
        <v>#DIV/0!</v>
      </c>
      <c r="I10" s="167" t="e">
        <f>SUMIFS('caseload data'!K:K,'caseload data'!$C:$C,'divisional &amp; regional caseload%'!$B$8,'caseload data'!$D:$D,"PO")/SUMIF('caseload data'!$C:$C,'divisional &amp; regional caseload%'!$B$8,'caseload data'!K:K)</f>
        <v>#DIV/0!</v>
      </c>
      <c r="J10" s="167" t="e">
        <f>SUMIFS('caseload data'!L:L,'caseload data'!$C:$C,'divisional &amp; regional caseload%'!$B$8,'caseload data'!$D:$D,"PO")/SUMIF('caseload data'!$C:$C,'divisional &amp; regional caseload%'!$B$8,'caseload data'!L:L)</f>
        <v>#DIV/0!</v>
      </c>
      <c r="K10" s="167" t="e">
        <f>SUMIFS('caseload data'!M:M,'caseload data'!$C:$C,'divisional &amp; regional caseload%'!$B$8,'caseload data'!$D:$D,"PO")/SUMIF('caseload data'!$C:$C,'divisional &amp; regional caseload%'!$B$8,'caseload data'!M:M)</f>
        <v>#DIV/0!</v>
      </c>
      <c r="L10" s="167" t="e">
        <f>SUMIFS('caseload data'!N:N,'caseload data'!$C:$C,'divisional &amp; regional caseload%'!$B$8,'caseload data'!$D:$D,"PO")/SUMIF('caseload data'!$C:$C,'divisional &amp; regional caseload%'!$B$8,'caseload data'!N:N)</f>
        <v>#DIV/0!</v>
      </c>
      <c r="M10" s="167" t="e">
        <f>SUMIFS('caseload data'!O:O,'caseload data'!$C:$C,'divisional &amp; regional caseload%'!$B$8,'caseload data'!$D:$D,"PO")/SUMIF('caseload data'!$C:$C,'divisional &amp; regional caseload%'!$B$8,'caseload data'!O:O)</f>
        <v>#DIV/0!</v>
      </c>
      <c r="N10" s="167" t="e">
        <f>SUMIFS('caseload data'!P:P,'caseload data'!$C:$C,'divisional &amp; regional caseload%'!$B$8,'caseload data'!$D:$D,"PO")/SUMIF('caseload data'!$C:$C,'divisional &amp; regional caseload%'!$B$8,'caseload data'!P:P)</f>
        <v>#DIV/0!</v>
      </c>
      <c r="O10" s="167" t="e">
        <f>SUMIFS('caseload data'!Q:Q,'caseload data'!$C:$C,'divisional &amp; regional caseload%'!$B$8,'caseload data'!$D:$D,"PO")/SUMIF('caseload data'!$C:$C,'divisional &amp; regional caseload%'!$B$8,'caseload data'!Q:Q)</f>
        <v>#DIV/0!</v>
      </c>
      <c r="P10" s="167" t="e">
        <f>SUMIFS('caseload data'!R:R,'caseload data'!$C:$C,'divisional &amp; regional caseload%'!$B$8,'caseload data'!$D:$D,"PO")/SUMIF('caseload data'!$C:$C,'divisional &amp; regional caseload%'!$B$8,'caseload data'!R:R)</f>
        <v>#DIV/0!</v>
      </c>
      <c r="Q10" s="167" t="e">
        <f>SUMIFS('caseload data'!S:S,'caseload data'!$C:$C,'divisional &amp; regional caseload%'!$B$8,'caseload data'!$D:$D,"PO")/SUMIF('caseload data'!$C:$C,'divisional &amp; regional caseload%'!$B$8,'caseload data'!S:S)</f>
        <v>#DIV/0!</v>
      </c>
      <c r="R10" s="167" t="e">
        <f>SUMIFS('caseload data'!T:T,'caseload data'!$C:$C,'divisional &amp; regional caseload%'!$B$8,'caseload data'!$D:$D,"PO")/SUMIF('caseload data'!$C:$C,'divisional &amp; regional caseload%'!$B$8,'caseload data'!T:T)</f>
        <v>#DIV/0!</v>
      </c>
      <c r="S10" s="64"/>
      <c r="T10" s="96" t="s">
        <v>947</v>
      </c>
      <c r="U10" s="167" t="e">
        <f>SUMIFS('caseload data'!E:E,'caseload data'!$C:$C,'divisional &amp; regional caseload%'!$T$8,'caseload data'!$D:$D,"PO")/SUMIF('caseload data'!$C:$C,'divisional &amp; regional caseload%'!$T$8,'caseload data'!E:E)</f>
        <v>#DIV/0!</v>
      </c>
      <c r="V10" s="167" t="e">
        <f>SUMIFS('caseload data'!F:F,'caseload data'!$C:$C,'divisional &amp; regional caseload%'!$T$8,'caseload data'!$D:$D,"PO")/SUMIF('caseload data'!$C:$C,'divisional &amp; regional caseload%'!$T$8,'caseload data'!F:F)</f>
        <v>#DIV/0!</v>
      </c>
      <c r="W10" s="167" t="e">
        <f>SUMIFS('caseload data'!G:G,'caseload data'!$C:$C,'divisional &amp; regional caseload%'!$T$8,'caseload data'!$D:$D,"PO")/SUMIF('caseload data'!$C:$C,'divisional &amp; regional caseload%'!$T$8,'caseload data'!G:G)</f>
        <v>#DIV/0!</v>
      </c>
      <c r="X10" s="167" t="e">
        <f>SUMIFS('caseload data'!H:H,'caseload data'!$C:$C,'divisional &amp; regional caseload%'!$T$8,'caseload data'!$D:$D,"PO")/SUMIF('caseload data'!$C:$C,'divisional &amp; regional caseload%'!$T$8,'caseload data'!H:H)</f>
        <v>#DIV/0!</v>
      </c>
      <c r="Y10" s="167" t="e">
        <f>SUMIFS('caseload data'!I:I,'caseload data'!$C:$C,'divisional &amp; regional caseload%'!$T$8,'caseload data'!$D:$D,"PO")/SUMIF('caseload data'!$C:$C,'divisional &amp; regional caseload%'!$T$8,'caseload data'!I:I)</f>
        <v>#DIV/0!</v>
      </c>
      <c r="Z10" s="167" t="e">
        <f>SUMIFS('caseload data'!J:J,'caseload data'!$C:$C,'divisional &amp; regional caseload%'!$T$8,'caseload data'!$D:$D,"PO")/SUMIF('caseload data'!$C:$C,'divisional &amp; regional caseload%'!$T$8,'caseload data'!J:J)</f>
        <v>#DIV/0!</v>
      </c>
      <c r="AA10" s="167" t="e">
        <f>SUMIFS('caseload data'!K:K,'caseload data'!$C:$C,'divisional &amp; regional caseload%'!$T$8,'caseload data'!$D:$D,"PO")/SUMIF('caseload data'!$C:$C,'divisional &amp; regional caseload%'!$T$8,'caseload data'!K:K)</f>
        <v>#DIV/0!</v>
      </c>
      <c r="AB10" s="167" t="e">
        <f>SUMIFS('caseload data'!L:L,'caseload data'!$C:$C,'divisional &amp; regional caseload%'!$T$8,'caseload data'!$D:$D,"PO")/SUMIF('caseload data'!$C:$C,'divisional &amp; regional caseload%'!$T$8,'caseload data'!L:L)</f>
        <v>#DIV/0!</v>
      </c>
      <c r="AC10" s="167" t="e">
        <f>SUMIFS('caseload data'!M:M,'caseload data'!$C:$C,'divisional &amp; regional caseload%'!$T$8,'caseload data'!$D:$D,"PO")/SUMIF('caseload data'!$C:$C,'divisional &amp; regional caseload%'!$T$8,'caseload data'!M:M)</f>
        <v>#DIV/0!</v>
      </c>
      <c r="AD10" s="167" t="e">
        <f>SUMIFS('caseload data'!N:N,'caseload data'!$C:$C,'divisional &amp; regional caseload%'!$T$8,'caseload data'!$D:$D,"PO")/SUMIF('caseload data'!$C:$C,'divisional &amp; regional caseload%'!$T$8,'caseload data'!N:N)</f>
        <v>#DIV/0!</v>
      </c>
      <c r="AE10" s="167" t="e">
        <f>SUMIFS('caseload data'!O:O,'caseload data'!$C:$C,'divisional &amp; regional caseload%'!$T$8,'caseload data'!$D:$D,"PO")/SUMIF('caseload data'!$C:$C,'divisional &amp; regional caseload%'!$T$8,'caseload data'!O:O)</f>
        <v>#DIV/0!</v>
      </c>
      <c r="AF10" s="167" t="e">
        <f>SUMIFS('caseload data'!P:P,'caseload data'!$C:$C,'divisional &amp; regional caseload%'!$T$8,'caseload data'!$D:$D,"PO")/SUMIF('caseload data'!$C:$C,'divisional &amp; regional caseload%'!$T$8,'caseload data'!P:P)</f>
        <v>#DIV/0!</v>
      </c>
      <c r="AG10" s="167" t="e">
        <f>SUMIFS('caseload data'!Q:Q,'caseload data'!$C:$C,'divisional &amp; regional caseload%'!$T$8,'caseload data'!$D:$D,"PO")/SUMIF('caseload data'!$C:$C,'divisional &amp; regional caseload%'!$T$8,'caseload data'!Q:Q)</f>
        <v>#DIV/0!</v>
      </c>
      <c r="AH10" s="167" t="e">
        <f>SUMIFS('caseload data'!R:R,'caseload data'!$C:$C,'divisional &amp; regional caseload%'!$T$8,'caseload data'!$D:$D,"PO")/SUMIF('caseload data'!$C:$C,'divisional &amp; regional caseload%'!$T$8,'caseload data'!R:R)</f>
        <v>#DIV/0!</v>
      </c>
      <c r="AI10" s="167" t="e">
        <f>SUMIFS('caseload data'!S:S,'caseload data'!$C:$C,'divisional &amp; regional caseload%'!$T$8,'caseload data'!$D:$D,"PO")/SUMIF('caseload data'!$C:$C,'divisional &amp; regional caseload%'!$T$8,'caseload data'!S:S)</f>
        <v>#DIV/0!</v>
      </c>
      <c r="AJ10" s="167" t="e">
        <f>SUMIFS('caseload data'!T:T,'caseload data'!$C:$C,'divisional &amp; regional caseload%'!$T$8,'caseload data'!$D:$D,"PO")/SUMIF('caseload data'!$C:$C,'divisional &amp; regional caseload%'!$T$8,'caseload data'!T:T)</f>
        <v>#DIV/0!</v>
      </c>
    </row>
    <row r="11" spans="1:50" x14ac:dyDescent="0.15">
      <c r="B11" s="97" t="s">
        <v>952</v>
      </c>
      <c r="C11" s="167" t="e">
        <f>SUMIFS('caseload data'!E:E,'caseload data'!$C:$C,'divisional &amp; regional caseload%'!$B$8,'caseload data'!$D:$D,"PSO")/SUMIF('caseload data'!$C:$C,'divisional &amp; regional caseload%'!$B$8,'caseload data'!E:E)</f>
        <v>#DIV/0!</v>
      </c>
      <c r="D11" s="167" t="e">
        <f>SUMIFS('caseload data'!F:F,'caseload data'!$C:$C,'divisional &amp; regional caseload%'!$B$8,'caseload data'!$D:$D,"PSO")/SUMIF('caseload data'!$C:$C,'divisional &amp; regional caseload%'!$B$8,'caseload data'!F:F)</f>
        <v>#DIV/0!</v>
      </c>
      <c r="E11" s="167" t="e">
        <f>SUMIFS('caseload data'!G:G,'caseload data'!$C:$C,'divisional &amp; regional caseload%'!$B$8,'caseload data'!$D:$D,"PSO")/SUMIF('caseload data'!$C:$C,'divisional &amp; regional caseload%'!$B$8,'caseload data'!G:G)</f>
        <v>#DIV/0!</v>
      </c>
      <c r="F11" s="167" t="e">
        <f>SUMIFS('caseload data'!H:H,'caseload data'!$C:$C,'divisional &amp; regional caseload%'!$B$8,'caseload data'!$D:$D,"PSO")/SUMIF('caseload data'!$C:$C,'divisional &amp; regional caseload%'!$B$8,'caseload data'!H:H)</f>
        <v>#DIV/0!</v>
      </c>
      <c r="G11" s="167" t="e">
        <f>SUMIFS('caseload data'!I:I,'caseload data'!$C:$C,'divisional &amp; regional caseload%'!$B$8,'caseload data'!$D:$D,"PSO")/SUMIF('caseload data'!$C:$C,'divisional &amp; regional caseload%'!$B$8,'caseload data'!I:I)</f>
        <v>#DIV/0!</v>
      </c>
      <c r="H11" s="167" t="e">
        <f>SUMIFS('caseload data'!J:J,'caseload data'!$C:$C,'divisional &amp; regional caseload%'!$B$8,'caseload data'!$D:$D,"PSO")/SUMIF('caseload data'!$C:$C,'divisional &amp; regional caseload%'!$B$8,'caseload data'!J:J)</f>
        <v>#DIV/0!</v>
      </c>
      <c r="I11" s="167" t="e">
        <f>SUMIFS('caseload data'!K:K,'caseload data'!$C:$C,'divisional &amp; regional caseload%'!$B$8,'caseload data'!$D:$D,"PSO")/SUMIF('caseload data'!$C:$C,'divisional &amp; regional caseload%'!$B$8,'caseload data'!K:K)</f>
        <v>#DIV/0!</v>
      </c>
      <c r="J11" s="167" t="e">
        <f>SUMIFS('caseload data'!L:L,'caseload data'!$C:$C,'divisional &amp; regional caseload%'!$B$8,'caseload data'!$D:$D,"PSO")/SUMIF('caseload data'!$C:$C,'divisional &amp; regional caseload%'!$B$8,'caseload data'!L:L)</f>
        <v>#DIV/0!</v>
      </c>
      <c r="K11" s="167" t="e">
        <f>SUMIFS('caseload data'!M:M,'caseload data'!$C:$C,'divisional &amp; regional caseload%'!$B$8,'caseload data'!$D:$D,"PSO")/SUMIF('caseload data'!$C:$C,'divisional &amp; regional caseload%'!$B$8,'caseload data'!M:M)</f>
        <v>#DIV/0!</v>
      </c>
      <c r="L11" s="167" t="e">
        <f>SUMIFS('caseload data'!N:N,'caseload data'!$C:$C,'divisional &amp; regional caseload%'!$B$8,'caseload data'!$D:$D,"PSO")/SUMIF('caseload data'!$C:$C,'divisional &amp; regional caseload%'!$B$8,'caseload data'!N:N)</f>
        <v>#DIV/0!</v>
      </c>
      <c r="M11" s="167" t="e">
        <f>SUMIFS('caseload data'!O:O,'caseload data'!$C:$C,'divisional &amp; regional caseload%'!$B$8,'caseload data'!$D:$D,"PSO")/SUMIF('caseload data'!$C:$C,'divisional &amp; regional caseload%'!$B$8,'caseload data'!O:O)</f>
        <v>#DIV/0!</v>
      </c>
      <c r="N11" s="167" t="e">
        <f>SUMIFS('caseload data'!P:P,'caseload data'!$C:$C,'divisional &amp; regional caseload%'!$B$8,'caseload data'!$D:$D,"PSO")/SUMIF('caseload data'!$C:$C,'divisional &amp; regional caseload%'!$B$8,'caseload data'!P:P)</f>
        <v>#DIV/0!</v>
      </c>
      <c r="O11" s="167" t="e">
        <f>SUMIFS('caseload data'!Q:Q,'caseload data'!$C:$C,'divisional &amp; regional caseload%'!$B$8,'caseload data'!$D:$D,"PSO")/SUMIF('caseload data'!$C:$C,'divisional &amp; regional caseload%'!$B$8,'caseload data'!Q:Q)</f>
        <v>#DIV/0!</v>
      </c>
      <c r="P11" s="167" t="e">
        <f>SUMIFS('caseload data'!R:R,'caseload data'!$C:$C,'divisional &amp; regional caseload%'!$B$8,'caseload data'!$D:$D,"PSO")/SUMIF('caseload data'!$C:$C,'divisional &amp; regional caseload%'!$B$8,'caseload data'!R:R)</f>
        <v>#DIV/0!</v>
      </c>
      <c r="Q11" s="167" t="e">
        <f>SUMIFS('caseload data'!S:S,'caseload data'!$C:$C,'divisional &amp; regional caseload%'!$B$8,'caseload data'!$D:$D,"PSO")/SUMIF('caseload data'!$C:$C,'divisional &amp; regional caseload%'!$B$8,'caseload data'!S:S)</f>
        <v>#DIV/0!</v>
      </c>
      <c r="R11" s="167" t="e">
        <f>SUMIFS('caseload data'!T:T,'caseload data'!$C:$C,'divisional &amp; regional caseload%'!$B$8,'caseload data'!$D:$D,"PSO")/SUMIF('caseload data'!$C:$C,'divisional &amp; regional caseload%'!$B$8,'caseload data'!T:T)</f>
        <v>#DIV/0!</v>
      </c>
      <c r="S11" s="64"/>
      <c r="T11" s="97" t="s">
        <v>952</v>
      </c>
      <c r="U11" s="167" t="e">
        <f>SUMIFS('caseload data'!E:E,'caseload data'!$C:$C,'divisional &amp; regional caseload%'!$T$8,'caseload data'!$D:$D,"PSO")/SUMIF('caseload data'!$C:$C,'divisional &amp; regional caseload%'!$T$8,'caseload data'!E:E)</f>
        <v>#DIV/0!</v>
      </c>
      <c r="V11" s="167" t="e">
        <f>SUMIFS('caseload data'!F:F,'caseload data'!$C:$C,'divisional &amp; regional caseload%'!$T$8,'caseload data'!$D:$D,"PSO")/SUMIF('caseload data'!$C:$C,'divisional &amp; regional caseload%'!$T$8,'caseload data'!F:F)</f>
        <v>#DIV/0!</v>
      </c>
      <c r="W11" s="167" t="e">
        <f>SUMIFS('caseload data'!G:G,'caseload data'!$C:$C,'divisional &amp; regional caseload%'!$T$8,'caseload data'!$D:$D,"PSO")/SUMIF('caseload data'!$C:$C,'divisional &amp; regional caseload%'!$T$8,'caseload data'!G:G)</f>
        <v>#DIV/0!</v>
      </c>
      <c r="X11" s="167" t="e">
        <f>SUMIFS('caseload data'!H:H,'caseload data'!$C:$C,'divisional &amp; regional caseload%'!$T$8,'caseload data'!$D:$D,"PSO")/SUMIF('caseload data'!$C:$C,'divisional &amp; regional caseload%'!$T$8,'caseload data'!H:H)</f>
        <v>#DIV/0!</v>
      </c>
      <c r="Y11" s="167" t="e">
        <f>SUMIFS('caseload data'!I:I,'caseload data'!$C:$C,'divisional &amp; regional caseload%'!$T$8,'caseload data'!$D:$D,"PSO")/SUMIF('caseload data'!$C:$C,'divisional &amp; regional caseload%'!$T$8,'caseload data'!I:I)</f>
        <v>#DIV/0!</v>
      </c>
      <c r="Z11" s="167" t="e">
        <f>SUMIFS('caseload data'!J:J,'caseload data'!$C:$C,'divisional &amp; regional caseload%'!$T$8,'caseload data'!$D:$D,"PSO")/SUMIF('caseload data'!$C:$C,'divisional &amp; regional caseload%'!$T$8,'caseload data'!J:J)</f>
        <v>#DIV/0!</v>
      </c>
      <c r="AA11" s="167" t="e">
        <f>SUMIFS('caseload data'!K:K,'caseload data'!$C:$C,'divisional &amp; regional caseload%'!$T$8,'caseload data'!$D:$D,"PSO")/SUMIF('caseload data'!$C:$C,'divisional &amp; regional caseload%'!$T$8,'caseload data'!K:K)</f>
        <v>#DIV/0!</v>
      </c>
      <c r="AB11" s="167" t="e">
        <f>SUMIFS('caseload data'!L:L,'caseload data'!$C:$C,'divisional &amp; regional caseload%'!$T$8,'caseload data'!$D:$D,"PSO")/SUMIF('caseload data'!$C:$C,'divisional &amp; regional caseload%'!$T$8,'caseload data'!L:L)</f>
        <v>#DIV/0!</v>
      </c>
      <c r="AC11" s="167" t="e">
        <f>SUMIFS('caseload data'!M:M,'caseload data'!$C:$C,'divisional &amp; regional caseload%'!$T$8,'caseload data'!$D:$D,"PSO")/SUMIF('caseload data'!$C:$C,'divisional &amp; regional caseload%'!$T$8,'caseload data'!M:M)</f>
        <v>#DIV/0!</v>
      </c>
      <c r="AD11" s="167" t="e">
        <f>SUMIFS('caseload data'!N:N,'caseload data'!$C:$C,'divisional &amp; regional caseload%'!$T$8,'caseload data'!$D:$D,"PSO")/SUMIF('caseload data'!$C:$C,'divisional &amp; regional caseload%'!$T$8,'caseload data'!N:N)</f>
        <v>#DIV/0!</v>
      </c>
      <c r="AE11" s="167" t="e">
        <f>SUMIFS('caseload data'!O:O,'caseload data'!$C:$C,'divisional &amp; regional caseload%'!$T$8,'caseload data'!$D:$D,"PSO")/SUMIF('caseload data'!$C:$C,'divisional &amp; regional caseload%'!$T$8,'caseload data'!O:O)</f>
        <v>#DIV/0!</v>
      </c>
      <c r="AF11" s="167" t="e">
        <f>SUMIFS('caseload data'!P:P,'caseload data'!$C:$C,'divisional &amp; regional caseload%'!$T$8,'caseload data'!$D:$D,"PSO")/SUMIF('caseload data'!$C:$C,'divisional &amp; regional caseload%'!$T$8,'caseload data'!P:P)</f>
        <v>#DIV/0!</v>
      </c>
      <c r="AG11" s="167" t="e">
        <f>SUMIFS('caseload data'!Q:Q,'caseload data'!$C:$C,'divisional &amp; regional caseload%'!$T$8,'caseload data'!$D:$D,"PSO")/SUMIF('caseload data'!$C:$C,'divisional &amp; regional caseload%'!$T$8,'caseload data'!Q:Q)</f>
        <v>#DIV/0!</v>
      </c>
      <c r="AH11" s="167" t="e">
        <f>SUMIFS('caseload data'!R:R,'caseload data'!$C:$C,'divisional &amp; regional caseload%'!$T$8,'caseload data'!$D:$D,"PSO")/SUMIF('caseload data'!$C:$C,'divisional &amp; regional caseload%'!$T$8,'caseload data'!R:R)</f>
        <v>#DIV/0!</v>
      </c>
      <c r="AI11" s="167" t="e">
        <f>SUMIFS('caseload data'!S:S,'caseload data'!$C:$C,'divisional &amp; regional caseload%'!$T$8,'caseload data'!$D:$D,"PSO")/SUMIF('caseload data'!$C:$C,'divisional &amp; regional caseload%'!$T$8,'caseload data'!S:S)</f>
        <v>#DIV/0!</v>
      </c>
      <c r="AJ11" s="167" t="e">
        <f>SUMIFS('caseload data'!T:T,'caseload data'!$C:$C,'divisional &amp; regional caseload%'!$T$8,'caseload data'!$D:$D,"PSO")/SUMIF('caseload data'!$C:$C,'divisional &amp; regional caseload%'!$T$8,'caseload data'!T:T)</f>
        <v>#DIV/0!</v>
      </c>
    </row>
    <row r="12" spans="1:50" x14ac:dyDescent="0.15">
      <c r="B12" s="97" t="s">
        <v>953</v>
      </c>
      <c r="C12" s="167" t="e">
        <f>SUMIFS('caseload data'!E:E,'caseload data'!$C:$C,'divisional &amp; regional caseload%'!$B$8,'caseload data'!$D:$D,"TPO")/SUMIF('caseload data'!$C:$C,'divisional &amp; regional caseload%'!$B$8,'caseload data'!E:E)</f>
        <v>#DIV/0!</v>
      </c>
      <c r="D12" s="167" t="e">
        <f>SUMIFS('caseload data'!F:F,'caseload data'!$C:$C,'divisional &amp; regional caseload%'!$B$8,'caseload data'!$D:$D,"TPO")/SUMIF('caseload data'!$C:$C,'divisional &amp; regional caseload%'!$B$8,'caseload data'!F:F)</f>
        <v>#DIV/0!</v>
      </c>
      <c r="E12" s="167" t="e">
        <f>SUMIFS('caseload data'!G:G,'caseload data'!$C:$C,'divisional &amp; regional caseload%'!$B$8,'caseload data'!$D:$D,"TPO")/SUMIF('caseload data'!$C:$C,'divisional &amp; regional caseload%'!$B$8,'caseload data'!G:G)</f>
        <v>#DIV/0!</v>
      </c>
      <c r="F12" s="167" t="e">
        <f>SUMIFS('caseload data'!H:H,'caseload data'!$C:$C,'divisional &amp; regional caseload%'!$B$8,'caseload data'!$D:$D,"TPO")/SUMIF('caseload data'!$C:$C,'divisional &amp; regional caseload%'!$B$8,'caseload data'!H:H)</f>
        <v>#DIV/0!</v>
      </c>
      <c r="G12" s="167" t="e">
        <f>SUMIFS('caseload data'!I:I,'caseload data'!$C:$C,'divisional &amp; regional caseload%'!$B$8,'caseload data'!$D:$D,"TPO")/SUMIF('caseload data'!$C:$C,'divisional &amp; regional caseload%'!$B$8,'caseload data'!I:I)</f>
        <v>#DIV/0!</v>
      </c>
      <c r="H12" s="167" t="e">
        <f>SUMIFS('caseload data'!J:J,'caseload data'!$C:$C,'divisional &amp; regional caseload%'!$B$8,'caseload data'!$D:$D,"TPO")/SUMIF('caseload data'!$C:$C,'divisional &amp; regional caseload%'!$B$8,'caseload data'!J:J)</f>
        <v>#DIV/0!</v>
      </c>
      <c r="I12" s="167" t="e">
        <f>SUMIFS('caseload data'!K:K,'caseload data'!$C:$C,'divisional &amp; regional caseload%'!$B$8,'caseload data'!$D:$D,"TPO")/SUMIF('caseload data'!$C:$C,'divisional &amp; regional caseload%'!$B$8,'caseload data'!K:K)</f>
        <v>#DIV/0!</v>
      </c>
      <c r="J12" s="167" t="e">
        <f>SUMIFS('caseload data'!L:L,'caseload data'!$C:$C,'divisional &amp; regional caseload%'!$B$8,'caseload data'!$D:$D,"TPO")/SUMIF('caseload data'!$C:$C,'divisional &amp; regional caseload%'!$B$8,'caseload data'!L:L)</f>
        <v>#DIV/0!</v>
      </c>
      <c r="K12" s="167" t="e">
        <f>SUMIFS('caseload data'!M:M,'caseload data'!$C:$C,'divisional &amp; regional caseload%'!$B$8,'caseload data'!$D:$D,"TPO")/SUMIF('caseload data'!$C:$C,'divisional &amp; regional caseload%'!$B$8,'caseload data'!M:M)</f>
        <v>#DIV/0!</v>
      </c>
      <c r="L12" s="167" t="e">
        <f>SUMIFS('caseload data'!N:N,'caseload data'!$C:$C,'divisional &amp; regional caseload%'!$B$8,'caseload data'!$D:$D,"TPO")/SUMIF('caseload data'!$C:$C,'divisional &amp; regional caseload%'!$B$8,'caseload data'!N:N)</f>
        <v>#DIV/0!</v>
      </c>
      <c r="M12" s="167" t="e">
        <f>SUMIFS('caseload data'!O:O,'caseload data'!$C:$C,'divisional &amp; regional caseload%'!$B$8,'caseload data'!$D:$D,"TPO")/SUMIF('caseload data'!$C:$C,'divisional &amp; regional caseload%'!$B$8,'caseload data'!O:O)</f>
        <v>#DIV/0!</v>
      </c>
      <c r="N12" s="167" t="e">
        <f>SUMIFS('caseload data'!P:P,'caseload data'!$C:$C,'divisional &amp; regional caseload%'!$B$8,'caseload data'!$D:$D,"TPO")/SUMIF('caseload data'!$C:$C,'divisional &amp; regional caseload%'!$B$8,'caseload data'!P:P)</f>
        <v>#DIV/0!</v>
      </c>
      <c r="O12" s="167" t="e">
        <f>SUMIFS('caseload data'!Q:Q,'caseload data'!$C:$C,'divisional &amp; regional caseload%'!$B$8,'caseload data'!$D:$D,"TPO")/SUMIF('caseload data'!$C:$C,'divisional &amp; regional caseload%'!$B$8,'caseload data'!Q:Q)</f>
        <v>#DIV/0!</v>
      </c>
      <c r="P12" s="167" t="e">
        <f>SUMIFS('caseload data'!R:R,'caseload data'!$C:$C,'divisional &amp; regional caseload%'!$B$8,'caseload data'!$D:$D,"TPO")/SUMIF('caseload data'!$C:$C,'divisional &amp; regional caseload%'!$B$8,'caseload data'!R:R)</f>
        <v>#DIV/0!</v>
      </c>
      <c r="Q12" s="167" t="e">
        <f>SUMIFS('caseload data'!S:S,'caseload data'!$C:$C,'divisional &amp; regional caseload%'!$B$8,'caseload data'!$D:$D,"TPO")/SUMIF('caseload data'!$C:$C,'divisional &amp; regional caseload%'!$B$8,'caseload data'!S:S)</f>
        <v>#DIV/0!</v>
      </c>
      <c r="R12" s="167" t="e">
        <f>SUMIFS('caseload data'!T:T,'caseload data'!$C:$C,'divisional &amp; regional caseload%'!$B$8,'caseload data'!$D:$D,"TPO")/SUMIF('caseload data'!$C:$C,'divisional &amp; regional caseload%'!$B$8,'caseload data'!T:T)</f>
        <v>#DIV/0!</v>
      </c>
      <c r="S12" s="64"/>
      <c r="T12" s="97" t="s">
        <v>953</v>
      </c>
      <c r="U12" s="167" t="e">
        <f>SUMIFS('caseload data'!E:E,'caseload data'!$C:$C,'divisional &amp; regional caseload%'!$T$8,'caseload data'!$D:$D,"TPO")/SUMIF('caseload data'!$C:$C,'divisional &amp; regional caseload%'!$T$8,'caseload data'!E:E)</f>
        <v>#DIV/0!</v>
      </c>
      <c r="V12" s="167" t="e">
        <f>SUMIFS('caseload data'!F:F,'caseload data'!$C:$C,'divisional &amp; regional caseload%'!$T$8,'caseload data'!$D:$D,"TPO")/SUMIF('caseload data'!$C:$C,'divisional &amp; regional caseload%'!$T$8,'caseload data'!F:F)</f>
        <v>#DIV/0!</v>
      </c>
      <c r="W12" s="167" t="e">
        <f>SUMIFS('caseload data'!G:G,'caseload data'!$C:$C,'divisional &amp; regional caseload%'!$T$8,'caseload data'!$D:$D,"TPO")/SUMIF('caseload data'!$C:$C,'divisional &amp; regional caseload%'!$T$8,'caseload data'!G:G)</f>
        <v>#DIV/0!</v>
      </c>
      <c r="X12" s="167" t="e">
        <f>SUMIFS('caseload data'!H:H,'caseload data'!$C:$C,'divisional &amp; regional caseload%'!$T$8,'caseload data'!$D:$D,"TPO")/SUMIF('caseload data'!$C:$C,'divisional &amp; regional caseload%'!$T$8,'caseload data'!H:H)</f>
        <v>#DIV/0!</v>
      </c>
      <c r="Y12" s="167" t="e">
        <f>SUMIFS('caseload data'!I:I,'caseload data'!$C:$C,'divisional &amp; regional caseload%'!$T$8,'caseload data'!$D:$D,"TPO")/SUMIF('caseload data'!$C:$C,'divisional &amp; regional caseload%'!$T$8,'caseload data'!I:I)</f>
        <v>#DIV/0!</v>
      </c>
      <c r="Z12" s="167" t="e">
        <f>SUMIFS('caseload data'!J:J,'caseload data'!$C:$C,'divisional &amp; regional caseload%'!$T$8,'caseload data'!$D:$D,"TPO")/SUMIF('caseload data'!$C:$C,'divisional &amp; regional caseload%'!$T$8,'caseload data'!J:J)</f>
        <v>#DIV/0!</v>
      </c>
      <c r="AA12" s="167" t="e">
        <f>SUMIFS('caseload data'!K:K,'caseload data'!$C:$C,'divisional &amp; regional caseload%'!$T$8,'caseload data'!$D:$D,"TPO")/SUMIF('caseload data'!$C:$C,'divisional &amp; regional caseload%'!$T$8,'caseload data'!K:K)</f>
        <v>#DIV/0!</v>
      </c>
      <c r="AB12" s="167" t="e">
        <f>SUMIFS('caseload data'!L:L,'caseload data'!$C:$C,'divisional &amp; regional caseload%'!$T$8,'caseload data'!$D:$D,"TPO")/SUMIF('caseload data'!$C:$C,'divisional &amp; regional caseload%'!$T$8,'caseload data'!L:L)</f>
        <v>#DIV/0!</v>
      </c>
      <c r="AC12" s="167" t="e">
        <f>SUMIFS('caseload data'!M:M,'caseload data'!$C:$C,'divisional &amp; regional caseload%'!$T$8,'caseload data'!$D:$D,"TPO")/SUMIF('caseload data'!$C:$C,'divisional &amp; regional caseload%'!$T$8,'caseload data'!M:M)</f>
        <v>#DIV/0!</v>
      </c>
      <c r="AD12" s="167" t="e">
        <f>SUMIFS('caseload data'!N:N,'caseload data'!$C:$C,'divisional &amp; regional caseload%'!$T$8,'caseload data'!$D:$D,"TPO")/SUMIF('caseload data'!$C:$C,'divisional &amp; regional caseload%'!$T$8,'caseload data'!N:N)</f>
        <v>#DIV/0!</v>
      </c>
      <c r="AE12" s="167" t="e">
        <f>SUMIFS('caseload data'!O:O,'caseload data'!$C:$C,'divisional &amp; regional caseload%'!$T$8,'caseload data'!$D:$D,"TPO")/SUMIF('caseload data'!$C:$C,'divisional &amp; regional caseload%'!$T$8,'caseload data'!O:O)</f>
        <v>#DIV/0!</v>
      </c>
      <c r="AF12" s="167" t="e">
        <f>SUMIFS('caseload data'!P:P,'caseload data'!$C:$C,'divisional &amp; regional caseload%'!$T$8,'caseload data'!$D:$D,"TPO")/SUMIF('caseload data'!$C:$C,'divisional &amp; regional caseload%'!$T$8,'caseload data'!P:P)</f>
        <v>#DIV/0!</v>
      </c>
      <c r="AG12" s="167" t="e">
        <f>SUMIFS('caseload data'!Q:Q,'caseload data'!$C:$C,'divisional &amp; regional caseload%'!$T$8,'caseload data'!$D:$D,"TPO")/SUMIF('caseload data'!$C:$C,'divisional &amp; regional caseload%'!$T$8,'caseload data'!Q:Q)</f>
        <v>#DIV/0!</v>
      </c>
      <c r="AH12" s="167" t="e">
        <f>SUMIFS('caseload data'!R:R,'caseload data'!$C:$C,'divisional &amp; regional caseload%'!$T$8,'caseload data'!$D:$D,"TPO")/SUMIF('caseload data'!$C:$C,'divisional &amp; regional caseload%'!$T$8,'caseload data'!R:R)</f>
        <v>#DIV/0!</v>
      </c>
      <c r="AI12" s="167" t="e">
        <f>SUMIFS('caseload data'!S:S,'caseload data'!$C:$C,'divisional &amp; regional caseload%'!$T$8,'caseload data'!$D:$D,"TPO")/SUMIF('caseload data'!$C:$C,'divisional &amp; regional caseload%'!$T$8,'caseload data'!S:S)</f>
        <v>#DIV/0!</v>
      </c>
      <c r="AJ12" s="167" t="e">
        <f>SUMIFS('caseload data'!T:T,'caseload data'!$C:$C,'divisional &amp; regional caseload%'!$T$8,'caseload data'!$D:$D,"TPO")/SUMIF('caseload data'!$C:$C,'divisional &amp; regional caseload%'!$T$8,'caseload data'!T:T)</f>
        <v>#DIV/0!</v>
      </c>
    </row>
    <row r="13" spans="1:50" x14ac:dyDescent="0.15">
      <c r="B13" s="98" t="s">
        <v>954</v>
      </c>
      <c r="C13" s="167" t="e">
        <f>SUMIFS('caseload data'!E:E,'caseload data'!$C:$C,'divisional &amp; regional caseload%'!$B$8,'caseload data'!$D:$D,"SPO")/SUMIF('caseload data'!$C:$C,'divisional &amp; regional caseload%'!$B$8,'caseload data'!E:E)</f>
        <v>#DIV/0!</v>
      </c>
      <c r="D13" s="167" t="e">
        <f>SUMIFS('caseload data'!F:F,'caseload data'!$C:$C,'divisional &amp; regional caseload%'!$B$8,'caseload data'!$D:$D,"SPO")/SUMIF('caseload data'!$C:$C,'divisional &amp; regional caseload%'!$B$8,'caseload data'!F:F)</f>
        <v>#DIV/0!</v>
      </c>
      <c r="E13" s="167" t="e">
        <f>SUMIFS('caseload data'!G:G,'caseload data'!$C:$C,'divisional &amp; regional caseload%'!$B$8,'caseload data'!$D:$D,"SPO")/SUMIF('caseload data'!$C:$C,'divisional &amp; regional caseload%'!$B$8,'caseload data'!G:G)</f>
        <v>#DIV/0!</v>
      </c>
      <c r="F13" s="167" t="e">
        <f>SUMIFS('caseload data'!H:H,'caseload data'!$C:$C,'divisional &amp; regional caseload%'!$B$8,'caseload data'!$D:$D,"SPO")/SUMIF('caseload data'!$C:$C,'divisional &amp; regional caseload%'!$B$8,'caseload data'!H:H)</f>
        <v>#DIV/0!</v>
      </c>
      <c r="G13" s="167" t="e">
        <f>SUMIFS('caseload data'!I:I,'caseload data'!$C:$C,'divisional &amp; regional caseload%'!$B$8,'caseload data'!$D:$D,"SPO")/SUMIF('caseload data'!$C:$C,'divisional &amp; regional caseload%'!$B$8,'caseload data'!I:I)</f>
        <v>#DIV/0!</v>
      </c>
      <c r="H13" s="167" t="e">
        <f>SUMIFS('caseload data'!J:J,'caseload data'!$C:$C,'divisional &amp; regional caseload%'!$B$8,'caseload data'!$D:$D,"SPO")/SUMIF('caseload data'!$C:$C,'divisional &amp; regional caseload%'!$B$8,'caseload data'!J:J)</f>
        <v>#DIV/0!</v>
      </c>
      <c r="I13" s="167" t="e">
        <f>SUMIFS('caseload data'!K:K,'caseload data'!$C:$C,'divisional &amp; regional caseload%'!$B$8,'caseload data'!$D:$D,"SPO")/SUMIF('caseload data'!$C:$C,'divisional &amp; regional caseload%'!$B$8,'caseload data'!K:K)</f>
        <v>#DIV/0!</v>
      </c>
      <c r="J13" s="167" t="e">
        <f>SUMIFS('caseload data'!L:L,'caseload data'!$C:$C,'divisional &amp; regional caseload%'!$B$8,'caseload data'!$D:$D,"SPO")/SUMIF('caseload data'!$C:$C,'divisional &amp; regional caseload%'!$B$8,'caseload data'!L:L)</f>
        <v>#DIV/0!</v>
      </c>
      <c r="K13" s="167" t="e">
        <f>SUMIFS('caseload data'!M:M,'caseload data'!$C:$C,'divisional &amp; regional caseload%'!$B$8,'caseload data'!$D:$D,"SPO")/SUMIF('caseload data'!$C:$C,'divisional &amp; regional caseload%'!$B$8,'caseload data'!M:M)</f>
        <v>#DIV/0!</v>
      </c>
      <c r="L13" s="167" t="e">
        <f>SUMIFS('caseload data'!N:N,'caseload data'!$C:$C,'divisional &amp; regional caseload%'!$B$8,'caseload data'!$D:$D,"SPO")/SUMIF('caseload data'!$C:$C,'divisional &amp; regional caseload%'!$B$8,'caseload data'!N:N)</f>
        <v>#DIV/0!</v>
      </c>
      <c r="M13" s="167" t="e">
        <f>SUMIFS('caseload data'!O:O,'caseload data'!$C:$C,'divisional &amp; regional caseload%'!$B$8,'caseload data'!$D:$D,"SPO")/SUMIF('caseload data'!$C:$C,'divisional &amp; regional caseload%'!$B$8,'caseload data'!O:O)</f>
        <v>#DIV/0!</v>
      </c>
      <c r="N13" s="167" t="e">
        <f>SUMIFS('caseload data'!P:P,'caseload data'!$C:$C,'divisional &amp; regional caseload%'!$B$8,'caseload data'!$D:$D,"SPO")/SUMIF('caseload data'!$C:$C,'divisional &amp; regional caseload%'!$B$8,'caseload data'!P:P)</f>
        <v>#DIV/0!</v>
      </c>
      <c r="O13" s="167" t="e">
        <f>SUMIFS('caseload data'!Q:Q,'caseload data'!$C:$C,'divisional &amp; regional caseload%'!$B$8,'caseload data'!$D:$D,"SPO")/SUMIF('caseload data'!$C:$C,'divisional &amp; regional caseload%'!$B$8,'caseload data'!Q:Q)</f>
        <v>#DIV/0!</v>
      </c>
      <c r="P13" s="167" t="e">
        <f>SUMIFS('caseload data'!R:R,'caseload data'!$C:$C,'divisional &amp; regional caseload%'!$B$8,'caseload data'!$D:$D,"SPO")/SUMIF('caseload data'!$C:$C,'divisional &amp; regional caseload%'!$B$8,'caseload data'!R:R)</f>
        <v>#DIV/0!</v>
      </c>
      <c r="Q13" s="167" t="e">
        <f>SUMIFS('caseload data'!S:S,'caseload data'!$C:$C,'divisional &amp; regional caseload%'!$B$8,'caseload data'!$D:$D,"SPO")/SUMIF('caseload data'!$C:$C,'divisional &amp; regional caseload%'!$B$8,'caseload data'!S:S)</f>
        <v>#DIV/0!</v>
      </c>
      <c r="R13" s="167" t="e">
        <f>SUMIFS('caseload data'!T:T,'caseload data'!$C:$C,'divisional &amp; regional caseload%'!$B$8,'caseload data'!$D:$D,"SPO")/SUMIF('caseload data'!$C:$C,'divisional &amp; regional caseload%'!$B$8,'caseload data'!T:T)</f>
        <v>#DIV/0!</v>
      </c>
      <c r="S13" s="64"/>
      <c r="T13" s="98" t="s">
        <v>954</v>
      </c>
      <c r="U13" s="167" t="e">
        <f>SUMIFS('caseload data'!E:E,'caseload data'!$C:$C,'divisional &amp; regional caseload%'!$T$8,'caseload data'!$D:$D,"SPO")/SUMIF('caseload data'!$C:$C,'divisional &amp; regional caseload%'!$T$8,'caseload data'!E:E)</f>
        <v>#DIV/0!</v>
      </c>
      <c r="V13" s="167" t="e">
        <f>SUMIFS('caseload data'!F:F,'caseload data'!$C:$C,'divisional &amp; regional caseload%'!$T$8,'caseload data'!$D:$D,"SPO")/SUMIF('caseload data'!$C:$C,'divisional &amp; regional caseload%'!$T$8,'caseload data'!F:F)</f>
        <v>#DIV/0!</v>
      </c>
      <c r="W13" s="167" t="e">
        <f>SUMIFS('caseload data'!G:G,'caseload data'!$C:$C,'divisional &amp; regional caseload%'!$T$8,'caseload data'!$D:$D,"SPO")/SUMIF('caseload data'!$C:$C,'divisional &amp; regional caseload%'!$T$8,'caseload data'!G:G)</f>
        <v>#DIV/0!</v>
      </c>
      <c r="X13" s="167" t="e">
        <f>SUMIFS('caseload data'!H:H,'caseload data'!$C:$C,'divisional &amp; regional caseload%'!$T$8,'caseload data'!$D:$D,"SPO")/SUMIF('caseload data'!$C:$C,'divisional &amp; regional caseload%'!$T$8,'caseload data'!H:H)</f>
        <v>#DIV/0!</v>
      </c>
      <c r="Y13" s="167" t="e">
        <f>SUMIFS('caseload data'!I:I,'caseload data'!$C:$C,'divisional &amp; regional caseload%'!$T$8,'caseload data'!$D:$D,"SPO")/SUMIF('caseload data'!$C:$C,'divisional &amp; regional caseload%'!$T$8,'caseload data'!I:I)</f>
        <v>#DIV/0!</v>
      </c>
      <c r="Z13" s="167" t="e">
        <f>SUMIFS('caseload data'!J:J,'caseload data'!$C:$C,'divisional &amp; regional caseload%'!$T$8,'caseload data'!$D:$D,"SPO")/SUMIF('caseload data'!$C:$C,'divisional &amp; regional caseload%'!$T$8,'caseload data'!J:J)</f>
        <v>#DIV/0!</v>
      </c>
      <c r="AA13" s="167" t="e">
        <f>SUMIFS('caseload data'!K:K,'caseload data'!$C:$C,'divisional &amp; regional caseload%'!$T$8,'caseload data'!$D:$D,"SPO")/SUMIF('caseload data'!$C:$C,'divisional &amp; regional caseload%'!$T$8,'caseload data'!K:K)</f>
        <v>#DIV/0!</v>
      </c>
      <c r="AB13" s="167" t="e">
        <f>SUMIFS('caseload data'!L:L,'caseload data'!$C:$C,'divisional &amp; regional caseload%'!$T$8,'caseload data'!$D:$D,"SPO")/SUMIF('caseload data'!$C:$C,'divisional &amp; regional caseload%'!$T$8,'caseload data'!L:L)</f>
        <v>#DIV/0!</v>
      </c>
      <c r="AC13" s="167" t="e">
        <f>SUMIFS('caseload data'!M:M,'caseload data'!$C:$C,'divisional &amp; regional caseload%'!$T$8,'caseload data'!$D:$D,"SPO")/SUMIF('caseload data'!$C:$C,'divisional &amp; regional caseload%'!$T$8,'caseload data'!M:M)</f>
        <v>#DIV/0!</v>
      </c>
      <c r="AD13" s="167" t="e">
        <f>SUMIFS('caseload data'!N:N,'caseload data'!$C:$C,'divisional &amp; regional caseload%'!$T$8,'caseload data'!$D:$D,"SPO")/SUMIF('caseload data'!$C:$C,'divisional &amp; regional caseload%'!$T$8,'caseload data'!N:N)</f>
        <v>#DIV/0!</v>
      </c>
      <c r="AE13" s="167" t="e">
        <f>SUMIFS('caseload data'!O:O,'caseload data'!$C:$C,'divisional &amp; regional caseload%'!$T$8,'caseload data'!$D:$D,"SPO")/SUMIF('caseload data'!$C:$C,'divisional &amp; regional caseload%'!$T$8,'caseload data'!O:O)</f>
        <v>#DIV/0!</v>
      </c>
      <c r="AF13" s="167" t="e">
        <f>SUMIFS('caseload data'!P:P,'caseload data'!$C:$C,'divisional &amp; regional caseload%'!$T$8,'caseload data'!$D:$D,"SPO")/SUMIF('caseload data'!$C:$C,'divisional &amp; regional caseload%'!$T$8,'caseload data'!P:P)</f>
        <v>#DIV/0!</v>
      </c>
      <c r="AG13" s="167" t="e">
        <f>SUMIFS('caseload data'!Q:Q,'caseload data'!$C:$C,'divisional &amp; regional caseload%'!$T$8,'caseload data'!$D:$D,"SPO")/SUMIF('caseload data'!$C:$C,'divisional &amp; regional caseload%'!$T$8,'caseload data'!Q:Q)</f>
        <v>#DIV/0!</v>
      </c>
      <c r="AH13" s="167" t="e">
        <f>SUMIFS('caseload data'!R:R,'caseload data'!$C:$C,'divisional &amp; regional caseload%'!$T$8,'caseload data'!$D:$D,"SPO")/SUMIF('caseload data'!$C:$C,'divisional &amp; regional caseload%'!$T$8,'caseload data'!R:R)</f>
        <v>#DIV/0!</v>
      </c>
      <c r="AI13" s="167" t="e">
        <f>SUMIFS('caseload data'!S:S,'caseload data'!$C:$C,'divisional &amp; regional caseload%'!$T$8,'caseload data'!$D:$D,"SPO")/SUMIF('caseload data'!$C:$C,'divisional &amp; regional caseload%'!$T$8,'caseload data'!S:S)</f>
        <v>#DIV/0!</v>
      </c>
      <c r="AJ13" s="167" t="e">
        <f>SUMIFS('caseload data'!T:T,'caseload data'!$C:$C,'divisional &amp; regional caseload%'!$T$8,'caseload data'!$D:$D,"SPO")/SUMIF('caseload data'!$C:$C,'divisional &amp; regional caseload%'!$T$8,'caseload data'!T:T)</f>
        <v>#DIV/0!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288" t="str">
        <f>HLOOKUP($B$5,Region_Table,4,0)</f>
        <v>Derbyshire - N53</v>
      </c>
      <c r="C15" s="556" t="s">
        <v>1043</v>
      </c>
      <c r="D15" s="557"/>
      <c r="E15" s="557"/>
      <c r="F15" s="557"/>
      <c r="G15" s="557"/>
      <c r="H15" s="557"/>
      <c r="I15" s="557"/>
      <c r="J15" s="557"/>
      <c r="K15" s="557"/>
      <c r="L15" s="557"/>
      <c r="M15" s="558"/>
      <c r="N15" s="558"/>
      <c r="O15" s="559"/>
      <c r="P15" s="543">
        <f>SUMIF('caseload data'!$C:$C,'divisional &amp; regional caseload%'!B15,'caseload data'!V:V)</f>
        <v>0</v>
      </c>
      <c r="Q15" s="560"/>
      <c r="R15" s="561"/>
      <c r="S15" s="64"/>
      <c r="T15" s="288" t="str">
        <f>HLOOKUP($B$5,Region_Table,5,0)</f>
        <v>Leicester, Leicestershire and Rutland</v>
      </c>
      <c r="U15" s="556" t="s">
        <v>1043</v>
      </c>
      <c r="V15" s="557"/>
      <c r="W15" s="557"/>
      <c r="X15" s="557"/>
      <c r="Y15" s="557"/>
      <c r="Z15" s="557"/>
      <c r="AA15" s="557"/>
      <c r="AB15" s="557"/>
      <c r="AC15" s="557"/>
      <c r="AD15" s="557"/>
      <c r="AE15" s="558"/>
      <c r="AF15" s="558"/>
      <c r="AG15" s="559"/>
      <c r="AH15" s="543">
        <f>SUMIF('caseload data'!$C:$C,'divisional &amp; regional caseload%'!T15,'caseload data'!V:V)</f>
        <v>0</v>
      </c>
      <c r="AI15" s="560"/>
      <c r="AJ15" s="561"/>
    </row>
    <row r="16" spans="1:50" x14ac:dyDescent="0.15">
      <c r="B16" s="95" t="s">
        <v>951</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951</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167" t="e">
        <f>SUMIFS('caseload data'!E:E,'caseload data'!$C:$C,'divisional &amp; regional caseload%'!$B$15,'caseload data'!$D:$D,"PO")/SUMIF('caseload data'!$C:$C,'divisional &amp; regional caseload%'!$B$15,'caseload data'!E:E)</f>
        <v>#DIV/0!</v>
      </c>
      <c r="D17" s="167" t="e">
        <f>SUMIFS('caseload data'!F:F,'caseload data'!$C:$C,'divisional &amp; regional caseload%'!$B$15,'caseload data'!$D:$D,"PO")/SUMIF('caseload data'!$C:$C,'divisional &amp; regional caseload%'!$B$15,'caseload data'!F:F)</f>
        <v>#DIV/0!</v>
      </c>
      <c r="E17" s="167" t="e">
        <f>SUMIFS('caseload data'!G:G,'caseload data'!$C:$C,'divisional &amp; regional caseload%'!$B$15,'caseload data'!$D:$D,"PO")/SUMIF('caseload data'!$C:$C,'divisional &amp; regional caseload%'!$B$15,'caseload data'!G:G)</f>
        <v>#DIV/0!</v>
      </c>
      <c r="F17" s="167" t="e">
        <f>SUMIFS('caseload data'!H:H,'caseload data'!$C:$C,'divisional &amp; regional caseload%'!$B$15,'caseload data'!$D:$D,"PO")/SUMIF('caseload data'!$C:$C,'divisional &amp; regional caseload%'!$B$15,'caseload data'!H:H)</f>
        <v>#DIV/0!</v>
      </c>
      <c r="G17" s="167" t="e">
        <f>SUMIFS('caseload data'!I:I,'caseload data'!$C:$C,'divisional &amp; regional caseload%'!$B$15,'caseload data'!$D:$D,"PO")/SUMIF('caseload data'!$C:$C,'divisional &amp; regional caseload%'!$B$15,'caseload data'!I:I)</f>
        <v>#DIV/0!</v>
      </c>
      <c r="H17" s="167" t="e">
        <f>SUMIFS('caseload data'!J:J,'caseload data'!$C:$C,'divisional &amp; regional caseload%'!$B$15,'caseload data'!$D:$D,"PO")/SUMIF('caseload data'!$C:$C,'divisional &amp; regional caseload%'!$B$15,'caseload data'!J:J)</f>
        <v>#DIV/0!</v>
      </c>
      <c r="I17" s="167" t="e">
        <f>SUMIFS('caseload data'!K:K,'caseload data'!$C:$C,'divisional &amp; regional caseload%'!$B$15,'caseload data'!$D:$D,"PO")/SUMIF('caseload data'!$C:$C,'divisional &amp; regional caseload%'!$B$15,'caseload data'!K:K)</f>
        <v>#DIV/0!</v>
      </c>
      <c r="J17" s="167" t="e">
        <f>SUMIFS('caseload data'!L:L,'caseload data'!$C:$C,'divisional &amp; regional caseload%'!$B$15,'caseload data'!$D:$D,"PO")/SUMIF('caseload data'!$C:$C,'divisional &amp; regional caseload%'!$B$15,'caseload data'!L:L)</f>
        <v>#DIV/0!</v>
      </c>
      <c r="K17" s="167" t="e">
        <f>SUMIFS('caseload data'!M:M,'caseload data'!$C:$C,'divisional &amp; regional caseload%'!$B$15,'caseload data'!$D:$D,"PO")/SUMIF('caseload data'!$C:$C,'divisional &amp; regional caseload%'!$B$15,'caseload data'!M:M)</f>
        <v>#DIV/0!</v>
      </c>
      <c r="L17" s="167" t="e">
        <f>SUMIFS('caseload data'!N:N,'caseload data'!$C:$C,'divisional &amp; regional caseload%'!$B$15,'caseload data'!$D:$D,"PO")/SUMIF('caseload data'!$C:$C,'divisional &amp; regional caseload%'!$B$15,'caseload data'!N:N)</f>
        <v>#DIV/0!</v>
      </c>
      <c r="M17" s="167" t="e">
        <f>SUMIFS('caseload data'!O:O,'caseload data'!$C:$C,'divisional &amp; regional caseload%'!$B$15,'caseload data'!$D:$D,"PO")/SUMIF('caseload data'!$C:$C,'divisional &amp; regional caseload%'!$B$15,'caseload data'!O:O)</f>
        <v>#DIV/0!</v>
      </c>
      <c r="N17" s="167" t="e">
        <f>SUMIFS('caseload data'!P:P,'caseload data'!$C:$C,'divisional &amp; regional caseload%'!$B$15,'caseload data'!$D:$D,"PO")/SUMIF('caseload data'!$C:$C,'divisional &amp; regional caseload%'!$B$15,'caseload data'!P:P)</f>
        <v>#DIV/0!</v>
      </c>
      <c r="O17" s="167" t="e">
        <f>SUMIFS('caseload data'!Q:Q,'caseload data'!$C:$C,'divisional &amp; regional caseload%'!$B$15,'caseload data'!$D:$D,"PO")/SUMIF('caseload data'!$C:$C,'divisional &amp; regional caseload%'!$B$15,'caseload data'!Q:Q)</f>
        <v>#DIV/0!</v>
      </c>
      <c r="P17" s="167" t="e">
        <f>SUMIFS('caseload data'!R:R,'caseload data'!$C:$C,'divisional &amp; regional caseload%'!$B$15,'caseload data'!$D:$D,"PO")/SUMIF('caseload data'!$C:$C,'divisional &amp; regional caseload%'!$B$15,'caseload data'!R:R)</f>
        <v>#DIV/0!</v>
      </c>
      <c r="Q17" s="167" t="e">
        <f>SUMIFS('caseload data'!S:S,'caseload data'!$C:$C,'divisional &amp; regional caseload%'!$B$15,'caseload data'!$D:$D,"PO")/SUMIF('caseload data'!$C:$C,'divisional &amp; regional caseload%'!$B$15,'caseload data'!S:S)</f>
        <v>#DIV/0!</v>
      </c>
      <c r="R17" s="167" t="e">
        <f>SUMIFS('caseload data'!T:T,'caseload data'!$C:$C,'divisional &amp; regional caseload%'!$B$15,'caseload data'!$D:$D,"PO")/SUMIF('caseload data'!$C:$C,'divisional &amp; regional caseload%'!$B$15,'caseload data'!T:T)</f>
        <v>#DIV/0!</v>
      </c>
      <c r="S17" s="64"/>
      <c r="T17" s="96" t="s">
        <v>947</v>
      </c>
      <c r="U17" s="167" t="e">
        <f>SUMIFS('caseload data'!E:E,'caseload data'!$C:$C,'divisional &amp; regional caseload%'!$T$15,'caseload data'!$D:$D,"PO")/SUMIF('caseload data'!$C:$C,'divisional &amp; regional caseload%'!$T$15,'caseload data'!E:E)</f>
        <v>#DIV/0!</v>
      </c>
      <c r="V17" s="167" t="e">
        <f>SUMIFS('caseload data'!F:F,'caseload data'!$C:$C,'divisional &amp; regional caseload%'!$T$15,'caseload data'!$D:$D,"PO")/SUMIF('caseload data'!$C:$C,'divisional &amp; regional caseload%'!$T$15,'caseload data'!F:F)</f>
        <v>#DIV/0!</v>
      </c>
      <c r="W17" s="167" t="e">
        <f>SUMIFS('caseload data'!G:G,'caseload data'!$C:$C,'divisional &amp; regional caseload%'!$T$15,'caseload data'!$D:$D,"PO")/SUMIF('caseload data'!$C:$C,'divisional &amp; regional caseload%'!$T$15,'caseload data'!G:G)</f>
        <v>#DIV/0!</v>
      </c>
      <c r="X17" s="167" t="e">
        <f>SUMIFS('caseload data'!H:H,'caseload data'!$C:$C,'divisional &amp; regional caseload%'!$T$15,'caseload data'!$D:$D,"PO")/SUMIF('caseload data'!$C:$C,'divisional &amp; regional caseload%'!$T$15,'caseload data'!H:H)</f>
        <v>#DIV/0!</v>
      </c>
      <c r="Y17" s="167" t="e">
        <f>SUMIFS('caseload data'!I:I,'caseload data'!$C:$C,'divisional &amp; regional caseload%'!$T$15,'caseload data'!$D:$D,"PO")/SUMIF('caseload data'!$C:$C,'divisional &amp; regional caseload%'!$T$15,'caseload data'!I:I)</f>
        <v>#DIV/0!</v>
      </c>
      <c r="Z17" s="167" t="e">
        <f>SUMIFS('caseload data'!J:J,'caseload data'!$C:$C,'divisional &amp; regional caseload%'!$T$15,'caseload data'!$D:$D,"PO")/SUMIF('caseload data'!$C:$C,'divisional &amp; regional caseload%'!$T$15,'caseload data'!J:J)</f>
        <v>#DIV/0!</v>
      </c>
      <c r="AA17" s="167" t="e">
        <f>SUMIFS('caseload data'!K:K,'caseload data'!$C:$C,'divisional &amp; regional caseload%'!$T$15,'caseload data'!$D:$D,"PO")/SUMIF('caseload data'!$C:$C,'divisional &amp; regional caseload%'!$T$15,'caseload data'!K:K)</f>
        <v>#DIV/0!</v>
      </c>
      <c r="AB17" s="167" t="e">
        <f>SUMIFS('caseload data'!L:L,'caseload data'!$C:$C,'divisional &amp; regional caseload%'!$T$15,'caseload data'!$D:$D,"PO")/SUMIF('caseload data'!$C:$C,'divisional &amp; regional caseload%'!$T$15,'caseload data'!L:L)</f>
        <v>#DIV/0!</v>
      </c>
      <c r="AC17" s="167" t="e">
        <f>SUMIFS('caseload data'!M:M,'caseload data'!$C:$C,'divisional &amp; regional caseload%'!$T$15,'caseload data'!$D:$D,"PO")/SUMIF('caseload data'!$C:$C,'divisional &amp; regional caseload%'!$T$15,'caseload data'!M:M)</f>
        <v>#DIV/0!</v>
      </c>
      <c r="AD17" s="167" t="e">
        <f>SUMIFS('caseload data'!N:N,'caseload data'!$C:$C,'divisional &amp; regional caseload%'!$T$15,'caseload data'!$D:$D,"PO")/SUMIF('caseload data'!$C:$C,'divisional &amp; regional caseload%'!$T$15,'caseload data'!N:N)</f>
        <v>#DIV/0!</v>
      </c>
      <c r="AE17" s="167" t="e">
        <f>SUMIFS('caseload data'!O:O,'caseload data'!$C:$C,'divisional &amp; regional caseload%'!$T$15,'caseload data'!$D:$D,"PO")/SUMIF('caseload data'!$C:$C,'divisional &amp; regional caseload%'!$T$15,'caseload data'!O:O)</f>
        <v>#DIV/0!</v>
      </c>
      <c r="AF17" s="167" t="e">
        <f>SUMIFS('caseload data'!P:P,'caseload data'!$C:$C,'divisional &amp; regional caseload%'!$T$15,'caseload data'!$D:$D,"PO")/SUMIF('caseload data'!$C:$C,'divisional &amp; regional caseload%'!$T$15,'caseload data'!P:P)</f>
        <v>#DIV/0!</v>
      </c>
      <c r="AG17" s="167" t="e">
        <f>SUMIFS('caseload data'!Q:Q,'caseload data'!$C:$C,'divisional &amp; regional caseload%'!$T$15,'caseload data'!$D:$D,"PO")/SUMIF('caseload data'!$C:$C,'divisional &amp; regional caseload%'!$T$15,'caseload data'!Q:Q)</f>
        <v>#DIV/0!</v>
      </c>
      <c r="AH17" s="167" t="e">
        <f>SUMIFS('caseload data'!R:R,'caseload data'!$C:$C,'divisional &amp; regional caseload%'!$T$15,'caseload data'!$D:$D,"PO")/SUMIF('caseload data'!$C:$C,'divisional &amp; regional caseload%'!$T$15,'caseload data'!R:R)</f>
        <v>#DIV/0!</v>
      </c>
      <c r="AI17" s="167" t="e">
        <f>SUMIFS('caseload data'!S:S,'caseload data'!$C:$C,'divisional &amp; regional caseload%'!$T$15,'caseload data'!$D:$D,"PO")/SUMIF('caseload data'!$C:$C,'divisional &amp; regional caseload%'!$T$15,'caseload data'!S:S)</f>
        <v>#DIV/0!</v>
      </c>
      <c r="AJ17" s="167" t="e">
        <f>SUMIFS('caseload data'!T:T,'caseload data'!$C:$C,'divisional &amp; regional caseload%'!$T$15,'caseload data'!$D:$D,"PO")/SUMIF('caseload data'!$C:$C,'divisional &amp; regional caseload%'!$T$15,'caseload data'!T:T)</f>
        <v>#DIV/0!</v>
      </c>
    </row>
    <row r="18" spans="2:36" x14ac:dyDescent="0.15">
      <c r="B18" s="97" t="s">
        <v>952</v>
      </c>
      <c r="C18" s="167" t="e">
        <f>SUMIFS('caseload data'!E:E,'caseload data'!$C:$C,'divisional &amp; regional caseload%'!$B$15,'caseload data'!$D:$D,"PSO")/SUMIF('caseload data'!$C:$C,'divisional &amp; regional caseload%'!$B$15,'caseload data'!E:E)</f>
        <v>#DIV/0!</v>
      </c>
      <c r="D18" s="167" t="e">
        <f>SUMIFS('caseload data'!F:F,'caseload data'!$C:$C,'divisional &amp; regional caseload%'!$B$15,'caseload data'!$D:$D,"PSO")/SUMIF('caseload data'!$C:$C,'divisional &amp; regional caseload%'!$B$15,'caseload data'!F:F)</f>
        <v>#DIV/0!</v>
      </c>
      <c r="E18" s="167" t="e">
        <f>SUMIFS('caseload data'!G:G,'caseload data'!$C:$C,'divisional &amp; regional caseload%'!$B$15,'caseload data'!$D:$D,"PSO")/SUMIF('caseload data'!$C:$C,'divisional &amp; regional caseload%'!$B$15,'caseload data'!G:G)</f>
        <v>#DIV/0!</v>
      </c>
      <c r="F18" s="167" t="e">
        <f>SUMIFS('caseload data'!H:H,'caseload data'!$C:$C,'divisional &amp; regional caseload%'!$B$15,'caseload data'!$D:$D,"PSO")/SUMIF('caseload data'!$C:$C,'divisional &amp; regional caseload%'!$B$15,'caseload data'!H:H)</f>
        <v>#DIV/0!</v>
      </c>
      <c r="G18" s="167" t="e">
        <f>SUMIFS('caseload data'!I:I,'caseload data'!$C:$C,'divisional &amp; regional caseload%'!$B$15,'caseload data'!$D:$D,"PSO")/SUMIF('caseload data'!$C:$C,'divisional &amp; regional caseload%'!$B$15,'caseload data'!I:I)</f>
        <v>#DIV/0!</v>
      </c>
      <c r="H18" s="167" t="e">
        <f>SUMIFS('caseload data'!J:J,'caseload data'!$C:$C,'divisional &amp; regional caseload%'!$B$15,'caseload data'!$D:$D,"PSO")/SUMIF('caseload data'!$C:$C,'divisional &amp; regional caseload%'!$B$15,'caseload data'!J:J)</f>
        <v>#DIV/0!</v>
      </c>
      <c r="I18" s="167" t="e">
        <f>SUMIFS('caseload data'!K:K,'caseload data'!$C:$C,'divisional &amp; regional caseload%'!$B$15,'caseload data'!$D:$D,"PSO")/SUMIF('caseload data'!$C:$C,'divisional &amp; regional caseload%'!$B$15,'caseload data'!K:K)</f>
        <v>#DIV/0!</v>
      </c>
      <c r="J18" s="167" t="e">
        <f>SUMIFS('caseload data'!L:L,'caseload data'!$C:$C,'divisional &amp; regional caseload%'!$B$15,'caseload data'!$D:$D,"PSO")/SUMIF('caseload data'!$C:$C,'divisional &amp; regional caseload%'!$B$15,'caseload data'!L:L)</f>
        <v>#DIV/0!</v>
      </c>
      <c r="K18" s="167" t="e">
        <f>SUMIFS('caseload data'!M:M,'caseload data'!$C:$C,'divisional &amp; regional caseload%'!$B$15,'caseload data'!$D:$D,"PSO")/SUMIF('caseload data'!$C:$C,'divisional &amp; regional caseload%'!$B$15,'caseload data'!M:M)</f>
        <v>#DIV/0!</v>
      </c>
      <c r="L18" s="167" t="e">
        <f>SUMIFS('caseload data'!N:N,'caseload data'!$C:$C,'divisional &amp; regional caseload%'!$B$15,'caseload data'!$D:$D,"PSO")/SUMIF('caseload data'!$C:$C,'divisional &amp; regional caseload%'!$B$15,'caseload data'!N:N)</f>
        <v>#DIV/0!</v>
      </c>
      <c r="M18" s="167" t="e">
        <f>SUMIFS('caseload data'!O:O,'caseload data'!$C:$C,'divisional &amp; regional caseload%'!$B$15,'caseload data'!$D:$D,"PSO")/SUMIF('caseload data'!$C:$C,'divisional &amp; regional caseload%'!$B$15,'caseload data'!O:O)</f>
        <v>#DIV/0!</v>
      </c>
      <c r="N18" s="167" t="e">
        <f>SUMIFS('caseload data'!P:P,'caseload data'!$C:$C,'divisional &amp; regional caseload%'!$B$15,'caseload data'!$D:$D,"PSO")/SUMIF('caseload data'!$C:$C,'divisional &amp; regional caseload%'!$B$15,'caseload data'!P:P)</f>
        <v>#DIV/0!</v>
      </c>
      <c r="O18" s="167" t="e">
        <f>SUMIFS('caseload data'!Q:Q,'caseload data'!$C:$C,'divisional &amp; regional caseload%'!$B$15,'caseload data'!$D:$D,"PSO")/SUMIF('caseload data'!$C:$C,'divisional &amp; regional caseload%'!$B$15,'caseload data'!Q:Q)</f>
        <v>#DIV/0!</v>
      </c>
      <c r="P18" s="167" t="e">
        <f>SUMIFS('caseload data'!R:R,'caseload data'!$C:$C,'divisional &amp; regional caseload%'!$B$15,'caseload data'!$D:$D,"PSO")/SUMIF('caseload data'!$C:$C,'divisional &amp; regional caseload%'!$B$15,'caseload data'!R:R)</f>
        <v>#DIV/0!</v>
      </c>
      <c r="Q18" s="167" t="e">
        <f>SUMIFS('caseload data'!S:S,'caseload data'!$C:$C,'divisional &amp; regional caseload%'!$B$15,'caseload data'!$D:$D,"PSO")/SUMIF('caseload data'!$C:$C,'divisional &amp; regional caseload%'!$B$15,'caseload data'!S:S)</f>
        <v>#DIV/0!</v>
      </c>
      <c r="R18" s="167" t="e">
        <f>SUMIFS('caseload data'!T:T,'caseload data'!$C:$C,'divisional &amp; regional caseload%'!$B$15,'caseload data'!$D:$D,"PSO")/SUMIF('caseload data'!$C:$C,'divisional &amp; regional caseload%'!$B$15,'caseload data'!T:T)</f>
        <v>#DIV/0!</v>
      </c>
      <c r="S18" s="64"/>
      <c r="T18" s="97" t="s">
        <v>952</v>
      </c>
      <c r="U18" s="167" t="e">
        <f>SUMIFS('caseload data'!E:E,'caseload data'!$C:$C,'divisional &amp; regional caseload%'!$T$15,'caseload data'!$D:$D,"PSO")/SUMIF('caseload data'!$C:$C,'divisional &amp; regional caseload%'!$T$15,'caseload data'!E:E)</f>
        <v>#DIV/0!</v>
      </c>
      <c r="V18" s="167" t="e">
        <f>SUMIFS('caseload data'!F:F,'caseload data'!$C:$C,'divisional &amp; regional caseload%'!$T$15,'caseload data'!$D:$D,"PSO")/SUMIF('caseload data'!$C:$C,'divisional &amp; regional caseload%'!$T$15,'caseload data'!F:F)</f>
        <v>#DIV/0!</v>
      </c>
      <c r="W18" s="167" t="e">
        <f>SUMIFS('caseload data'!G:G,'caseload data'!$C:$C,'divisional &amp; regional caseload%'!$T$15,'caseload data'!$D:$D,"PSO")/SUMIF('caseload data'!$C:$C,'divisional &amp; regional caseload%'!$T$15,'caseload data'!G:G)</f>
        <v>#DIV/0!</v>
      </c>
      <c r="X18" s="167" t="e">
        <f>SUMIFS('caseload data'!H:H,'caseload data'!$C:$C,'divisional &amp; regional caseload%'!$T$15,'caseload data'!$D:$D,"PSO")/SUMIF('caseload data'!$C:$C,'divisional &amp; regional caseload%'!$T$15,'caseload data'!H:H)</f>
        <v>#DIV/0!</v>
      </c>
      <c r="Y18" s="167" t="e">
        <f>SUMIFS('caseload data'!I:I,'caseload data'!$C:$C,'divisional &amp; regional caseload%'!$T$15,'caseload data'!$D:$D,"PSO")/SUMIF('caseload data'!$C:$C,'divisional &amp; regional caseload%'!$T$15,'caseload data'!I:I)</f>
        <v>#DIV/0!</v>
      </c>
      <c r="Z18" s="167" t="e">
        <f>SUMIFS('caseload data'!J:J,'caseload data'!$C:$C,'divisional &amp; regional caseload%'!$T$15,'caseload data'!$D:$D,"PSO")/SUMIF('caseload data'!$C:$C,'divisional &amp; regional caseload%'!$T$15,'caseload data'!J:J)</f>
        <v>#DIV/0!</v>
      </c>
      <c r="AA18" s="167" t="e">
        <f>SUMIFS('caseload data'!K:K,'caseload data'!$C:$C,'divisional &amp; regional caseload%'!$T$15,'caseload data'!$D:$D,"PSO")/SUMIF('caseload data'!$C:$C,'divisional &amp; regional caseload%'!$T$15,'caseload data'!K:K)</f>
        <v>#DIV/0!</v>
      </c>
      <c r="AB18" s="167" t="e">
        <f>SUMIFS('caseload data'!L:L,'caseload data'!$C:$C,'divisional &amp; regional caseload%'!$T$15,'caseload data'!$D:$D,"PSO")/SUMIF('caseload data'!$C:$C,'divisional &amp; regional caseload%'!$T$15,'caseload data'!L:L)</f>
        <v>#DIV/0!</v>
      </c>
      <c r="AC18" s="167" t="e">
        <f>SUMIFS('caseload data'!M:M,'caseload data'!$C:$C,'divisional &amp; regional caseload%'!$T$15,'caseload data'!$D:$D,"PSO")/SUMIF('caseload data'!$C:$C,'divisional &amp; regional caseload%'!$T$15,'caseload data'!M:M)</f>
        <v>#DIV/0!</v>
      </c>
      <c r="AD18" s="167" t="e">
        <f>SUMIFS('caseload data'!N:N,'caseload data'!$C:$C,'divisional &amp; regional caseload%'!$T$15,'caseload data'!$D:$D,"PSO")/SUMIF('caseload data'!$C:$C,'divisional &amp; regional caseload%'!$T$15,'caseload data'!N:N)</f>
        <v>#DIV/0!</v>
      </c>
      <c r="AE18" s="167" t="e">
        <f>SUMIFS('caseload data'!O:O,'caseload data'!$C:$C,'divisional &amp; regional caseload%'!$T$15,'caseload data'!$D:$D,"PSO")/SUMIF('caseload data'!$C:$C,'divisional &amp; regional caseload%'!$T$15,'caseload data'!O:O)</f>
        <v>#DIV/0!</v>
      </c>
      <c r="AF18" s="167" t="e">
        <f>SUMIFS('caseload data'!P:P,'caseload data'!$C:$C,'divisional &amp; regional caseload%'!$T$15,'caseload data'!$D:$D,"PSO")/SUMIF('caseload data'!$C:$C,'divisional &amp; regional caseload%'!$T$15,'caseload data'!P:P)</f>
        <v>#DIV/0!</v>
      </c>
      <c r="AG18" s="167" t="e">
        <f>SUMIFS('caseload data'!Q:Q,'caseload data'!$C:$C,'divisional &amp; regional caseload%'!$T$15,'caseload data'!$D:$D,"PSO")/SUMIF('caseload data'!$C:$C,'divisional &amp; regional caseload%'!$T$15,'caseload data'!Q:Q)</f>
        <v>#DIV/0!</v>
      </c>
      <c r="AH18" s="167" t="e">
        <f>SUMIFS('caseload data'!R:R,'caseload data'!$C:$C,'divisional &amp; regional caseload%'!$T$15,'caseload data'!$D:$D,"PSO")/SUMIF('caseload data'!$C:$C,'divisional &amp; regional caseload%'!$T$15,'caseload data'!R:R)</f>
        <v>#DIV/0!</v>
      </c>
      <c r="AI18" s="167" t="e">
        <f>SUMIFS('caseload data'!S:S,'caseload data'!$C:$C,'divisional &amp; regional caseload%'!$T$15,'caseload data'!$D:$D,"PSO")/SUMIF('caseload data'!$C:$C,'divisional &amp; regional caseload%'!$T$15,'caseload data'!S:S)</f>
        <v>#DIV/0!</v>
      </c>
      <c r="AJ18" s="167" t="e">
        <f>SUMIFS('caseload data'!T:T,'caseload data'!$C:$C,'divisional &amp; regional caseload%'!$T$15,'caseload data'!$D:$D,"PSO")/SUMIF('caseload data'!$C:$C,'divisional &amp; regional caseload%'!$T$15,'caseload data'!T:T)</f>
        <v>#DIV/0!</v>
      </c>
    </row>
    <row r="19" spans="2:36" x14ac:dyDescent="0.15">
      <c r="B19" s="97" t="s">
        <v>953</v>
      </c>
      <c r="C19" s="167" t="e">
        <f>SUMIFS('caseload data'!E:E,'caseload data'!$C:$C,'divisional &amp; regional caseload%'!$B$15,'caseload data'!$D:$D,"TPO")/SUMIF('caseload data'!$C:$C,'divisional &amp; regional caseload%'!$B$15,'caseload data'!E:E)</f>
        <v>#DIV/0!</v>
      </c>
      <c r="D19" s="167" t="e">
        <f>SUMIFS('caseload data'!F:F,'caseload data'!$C:$C,'divisional &amp; regional caseload%'!$B$15,'caseload data'!$D:$D,"TPO")/SUMIF('caseload data'!$C:$C,'divisional &amp; regional caseload%'!$B$15,'caseload data'!F:F)</f>
        <v>#DIV/0!</v>
      </c>
      <c r="E19" s="167" t="e">
        <f>SUMIFS('caseload data'!G:G,'caseload data'!$C:$C,'divisional &amp; regional caseload%'!$B$15,'caseload data'!$D:$D,"TPO")/SUMIF('caseload data'!$C:$C,'divisional &amp; regional caseload%'!$B$15,'caseload data'!G:G)</f>
        <v>#DIV/0!</v>
      </c>
      <c r="F19" s="167" t="e">
        <f>SUMIFS('caseload data'!H:H,'caseload data'!$C:$C,'divisional &amp; regional caseload%'!$B$15,'caseload data'!$D:$D,"TPO")/SUMIF('caseload data'!$C:$C,'divisional &amp; regional caseload%'!$B$15,'caseload data'!H:H)</f>
        <v>#DIV/0!</v>
      </c>
      <c r="G19" s="167" t="e">
        <f>SUMIFS('caseload data'!I:I,'caseload data'!$C:$C,'divisional &amp; regional caseload%'!$B$15,'caseload data'!$D:$D,"TPO")/SUMIF('caseload data'!$C:$C,'divisional &amp; regional caseload%'!$B$15,'caseload data'!I:I)</f>
        <v>#DIV/0!</v>
      </c>
      <c r="H19" s="167" t="e">
        <f>SUMIFS('caseload data'!J:J,'caseload data'!$C:$C,'divisional &amp; regional caseload%'!$B$15,'caseload data'!$D:$D,"TPO")/SUMIF('caseload data'!$C:$C,'divisional &amp; regional caseload%'!$B$15,'caseload data'!J:J)</f>
        <v>#DIV/0!</v>
      </c>
      <c r="I19" s="167" t="e">
        <f>SUMIFS('caseload data'!K:K,'caseload data'!$C:$C,'divisional &amp; regional caseload%'!$B$15,'caseload data'!$D:$D,"TPO")/SUMIF('caseload data'!$C:$C,'divisional &amp; regional caseload%'!$B$15,'caseload data'!K:K)</f>
        <v>#DIV/0!</v>
      </c>
      <c r="J19" s="167" t="e">
        <f>SUMIFS('caseload data'!L:L,'caseload data'!$C:$C,'divisional &amp; regional caseload%'!$B$15,'caseload data'!$D:$D,"TPO")/SUMIF('caseload data'!$C:$C,'divisional &amp; regional caseload%'!$B$15,'caseload data'!L:L)</f>
        <v>#DIV/0!</v>
      </c>
      <c r="K19" s="167" t="e">
        <f>SUMIFS('caseload data'!M:M,'caseload data'!$C:$C,'divisional &amp; regional caseload%'!$B$15,'caseload data'!$D:$D,"TPO")/SUMIF('caseload data'!$C:$C,'divisional &amp; regional caseload%'!$B$15,'caseload data'!M:M)</f>
        <v>#DIV/0!</v>
      </c>
      <c r="L19" s="167" t="e">
        <f>SUMIFS('caseload data'!N:N,'caseload data'!$C:$C,'divisional &amp; regional caseload%'!$B$15,'caseload data'!$D:$D,"TPO")/SUMIF('caseload data'!$C:$C,'divisional &amp; regional caseload%'!$B$15,'caseload data'!N:N)</f>
        <v>#DIV/0!</v>
      </c>
      <c r="M19" s="167" t="e">
        <f>SUMIFS('caseload data'!O:O,'caseload data'!$C:$C,'divisional &amp; regional caseload%'!$B$15,'caseload data'!$D:$D,"TPO")/SUMIF('caseload data'!$C:$C,'divisional &amp; regional caseload%'!$B$15,'caseload data'!O:O)</f>
        <v>#DIV/0!</v>
      </c>
      <c r="N19" s="167" t="e">
        <f>SUMIFS('caseload data'!P:P,'caseload data'!$C:$C,'divisional &amp; regional caseload%'!$B$15,'caseload data'!$D:$D,"TPO")/SUMIF('caseload data'!$C:$C,'divisional &amp; regional caseload%'!$B$15,'caseload data'!P:P)</f>
        <v>#DIV/0!</v>
      </c>
      <c r="O19" s="167" t="e">
        <f>SUMIFS('caseload data'!Q:Q,'caseload data'!$C:$C,'divisional &amp; regional caseload%'!$B$15,'caseload data'!$D:$D,"TPO")/SUMIF('caseload data'!$C:$C,'divisional &amp; regional caseload%'!$B$15,'caseload data'!Q:Q)</f>
        <v>#DIV/0!</v>
      </c>
      <c r="P19" s="167" t="e">
        <f>SUMIFS('caseload data'!R:R,'caseload data'!$C:$C,'divisional &amp; regional caseload%'!$B$15,'caseload data'!$D:$D,"TPO")/SUMIF('caseload data'!$C:$C,'divisional &amp; regional caseload%'!$B$15,'caseload data'!R:R)</f>
        <v>#DIV/0!</v>
      </c>
      <c r="Q19" s="167" t="e">
        <f>SUMIFS('caseload data'!S:S,'caseload data'!$C:$C,'divisional &amp; regional caseload%'!$B$15,'caseload data'!$D:$D,"TPO")/SUMIF('caseload data'!$C:$C,'divisional &amp; regional caseload%'!$B$15,'caseload data'!S:S)</f>
        <v>#DIV/0!</v>
      </c>
      <c r="R19" s="167" t="e">
        <f>SUMIFS('caseload data'!T:T,'caseload data'!$C:$C,'divisional &amp; regional caseload%'!$B$15,'caseload data'!$D:$D,"TPO")/SUMIF('caseload data'!$C:$C,'divisional &amp; regional caseload%'!$B$15,'caseload data'!T:T)</f>
        <v>#DIV/0!</v>
      </c>
      <c r="S19" s="64"/>
      <c r="T19" s="97" t="s">
        <v>953</v>
      </c>
      <c r="U19" s="167" t="e">
        <f>SUMIFS('caseload data'!E:E,'caseload data'!$C:$C,'divisional &amp; regional caseload%'!$T$15,'caseload data'!$D:$D,"TPO")/SUMIF('caseload data'!$C:$C,'divisional &amp; regional caseload%'!$T$15,'caseload data'!E:E)</f>
        <v>#DIV/0!</v>
      </c>
      <c r="V19" s="167" t="e">
        <f>SUMIFS('caseload data'!F:F,'caseload data'!$C:$C,'divisional &amp; regional caseload%'!$T$15,'caseload data'!$D:$D,"TPO")/SUMIF('caseload data'!$C:$C,'divisional &amp; regional caseload%'!$T$15,'caseload data'!F:F)</f>
        <v>#DIV/0!</v>
      </c>
      <c r="W19" s="167" t="e">
        <f>SUMIFS('caseload data'!G:G,'caseload data'!$C:$C,'divisional &amp; regional caseload%'!$T$15,'caseload data'!$D:$D,"TPO")/SUMIF('caseload data'!$C:$C,'divisional &amp; regional caseload%'!$T$15,'caseload data'!G:G)</f>
        <v>#DIV/0!</v>
      </c>
      <c r="X19" s="167" t="e">
        <f>SUMIFS('caseload data'!H:H,'caseload data'!$C:$C,'divisional &amp; regional caseload%'!$T$15,'caseload data'!$D:$D,"TPO")/SUMIF('caseload data'!$C:$C,'divisional &amp; regional caseload%'!$T$15,'caseload data'!H:H)</f>
        <v>#DIV/0!</v>
      </c>
      <c r="Y19" s="167" t="e">
        <f>SUMIFS('caseload data'!I:I,'caseload data'!$C:$C,'divisional &amp; regional caseload%'!$T$15,'caseload data'!$D:$D,"TPO")/SUMIF('caseload data'!$C:$C,'divisional &amp; regional caseload%'!$T$15,'caseload data'!I:I)</f>
        <v>#DIV/0!</v>
      </c>
      <c r="Z19" s="167" t="e">
        <f>SUMIFS('caseload data'!J:J,'caseload data'!$C:$C,'divisional &amp; regional caseload%'!$T$15,'caseload data'!$D:$D,"TPO")/SUMIF('caseload data'!$C:$C,'divisional &amp; regional caseload%'!$T$15,'caseload data'!J:J)</f>
        <v>#DIV/0!</v>
      </c>
      <c r="AA19" s="167" t="e">
        <f>SUMIFS('caseload data'!K:K,'caseload data'!$C:$C,'divisional &amp; regional caseload%'!$T$15,'caseload data'!$D:$D,"TPO")/SUMIF('caseload data'!$C:$C,'divisional &amp; regional caseload%'!$T$15,'caseload data'!K:K)</f>
        <v>#DIV/0!</v>
      </c>
      <c r="AB19" s="167" t="e">
        <f>SUMIFS('caseload data'!L:L,'caseload data'!$C:$C,'divisional &amp; regional caseload%'!$T$15,'caseload data'!$D:$D,"TPO")/SUMIF('caseload data'!$C:$C,'divisional &amp; regional caseload%'!$T$15,'caseload data'!L:L)</f>
        <v>#DIV/0!</v>
      </c>
      <c r="AC19" s="167" t="e">
        <f>SUMIFS('caseload data'!M:M,'caseload data'!$C:$C,'divisional &amp; regional caseload%'!$T$15,'caseload data'!$D:$D,"TPO")/SUMIF('caseload data'!$C:$C,'divisional &amp; regional caseload%'!$T$15,'caseload data'!M:M)</f>
        <v>#DIV/0!</v>
      </c>
      <c r="AD19" s="167" t="e">
        <f>SUMIFS('caseload data'!N:N,'caseload data'!$C:$C,'divisional &amp; regional caseload%'!$T$15,'caseload data'!$D:$D,"TPO")/SUMIF('caseload data'!$C:$C,'divisional &amp; regional caseload%'!$T$15,'caseload data'!N:N)</f>
        <v>#DIV/0!</v>
      </c>
      <c r="AE19" s="167" t="e">
        <f>SUMIFS('caseload data'!O:O,'caseload data'!$C:$C,'divisional &amp; regional caseload%'!$T$15,'caseload data'!$D:$D,"TPO")/SUMIF('caseload data'!$C:$C,'divisional &amp; regional caseload%'!$T$15,'caseload data'!O:O)</f>
        <v>#DIV/0!</v>
      </c>
      <c r="AF19" s="167" t="e">
        <f>SUMIFS('caseload data'!P:P,'caseload data'!$C:$C,'divisional &amp; regional caseload%'!$T$15,'caseload data'!$D:$D,"TPO")/SUMIF('caseload data'!$C:$C,'divisional &amp; regional caseload%'!$T$15,'caseload data'!P:P)</f>
        <v>#DIV/0!</v>
      </c>
      <c r="AG19" s="167" t="e">
        <f>SUMIFS('caseload data'!Q:Q,'caseload data'!$C:$C,'divisional &amp; regional caseload%'!$T$15,'caseload data'!$D:$D,"TPO")/SUMIF('caseload data'!$C:$C,'divisional &amp; regional caseload%'!$T$15,'caseload data'!Q:Q)</f>
        <v>#DIV/0!</v>
      </c>
      <c r="AH19" s="167" t="e">
        <f>SUMIFS('caseload data'!R:R,'caseload data'!$C:$C,'divisional &amp; regional caseload%'!$T$15,'caseload data'!$D:$D,"TPO")/SUMIF('caseload data'!$C:$C,'divisional &amp; regional caseload%'!$T$15,'caseload data'!R:R)</f>
        <v>#DIV/0!</v>
      </c>
      <c r="AI19" s="167" t="e">
        <f>SUMIFS('caseload data'!S:S,'caseload data'!$C:$C,'divisional &amp; regional caseload%'!$T$15,'caseload data'!$D:$D,"TPO")/SUMIF('caseload data'!$C:$C,'divisional &amp; regional caseload%'!$T$15,'caseload data'!S:S)</f>
        <v>#DIV/0!</v>
      </c>
      <c r="AJ19" s="167" t="e">
        <f>SUMIFS('caseload data'!T:T,'caseload data'!$C:$C,'divisional &amp; regional caseload%'!$T$15,'caseload data'!$D:$D,"TPO")/SUMIF('caseload data'!$C:$C,'divisional &amp; regional caseload%'!$T$15,'caseload data'!T:T)</f>
        <v>#DIV/0!</v>
      </c>
    </row>
    <row r="20" spans="2:36" x14ac:dyDescent="0.15">
      <c r="B20" s="98" t="s">
        <v>954</v>
      </c>
      <c r="C20" s="167" t="e">
        <f>SUMIFS('caseload data'!E:E,'caseload data'!$C:$C,'divisional &amp; regional caseload%'!$B$15,'caseload data'!$D:$D,"SPO")/SUMIF('caseload data'!$C:$C,'divisional &amp; regional caseload%'!$B$15,'caseload data'!E:E)</f>
        <v>#DIV/0!</v>
      </c>
      <c r="D20" s="167" t="e">
        <f>SUMIFS('caseload data'!F:F,'caseload data'!$C:$C,'divisional &amp; regional caseload%'!$B$15,'caseload data'!$D:$D,"SPO")/SUMIF('caseload data'!$C:$C,'divisional &amp; regional caseload%'!$B$15,'caseload data'!F:F)</f>
        <v>#DIV/0!</v>
      </c>
      <c r="E20" s="167" t="e">
        <f>SUMIFS('caseload data'!G:G,'caseload data'!$C:$C,'divisional &amp; regional caseload%'!$B$15,'caseload data'!$D:$D,"SPO")/SUMIF('caseload data'!$C:$C,'divisional &amp; regional caseload%'!$B$15,'caseload data'!G:G)</f>
        <v>#DIV/0!</v>
      </c>
      <c r="F20" s="167" t="e">
        <f>SUMIFS('caseload data'!H:H,'caseload data'!$C:$C,'divisional &amp; regional caseload%'!$B$15,'caseload data'!$D:$D,"SPO")/SUMIF('caseload data'!$C:$C,'divisional &amp; regional caseload%'!$B$15,'caseload data'!H:H)</f>
        <v>#DIV/0!</v>
      </c>
      <c r="G20" s="167" t="e">
        <f>SUMIFS('caseload data'!I:I,'caseload data'!$C:$C,'divisional &amp; regional caseload%'!$B$15,'caseload data'!$D:$D,"SPO")/SUMIF('caseload data'!$C:$C,'divisional &amp; regional caseload%'!$B$15,'caseload data'!I:I)</f>
        <v>#DIV/0!</v>
      </c>
      <c r="H20" s="167" t="e">
        <f>SUMIFS('caseload data'!J:J,'caseload data'!$C:$C,'divisional &amp; regional caseload%'!$B$15,'caseload data'!$D:$D,"SPO")/SUMIF('caseload data'!$C:$C,'divisional &amp; regional caseload%'!$B$15,'caseload data'!J:J)</f>
        <v>#DIV/0!</v>
      </c>
      <c r="I20" s="167" t="e">
        <f>SUMIFS('caseload data'!K:K,'caseload data'!$C:$C,'divisional &amp; regional caseload%'!$B$15,'caseload data'!$D:$D,"SPO")/SUMIF('caseload data'!$C:$C,'divisional &amp; regional caseload%'!$B$15,'caseload data'!K:K)</f>
        <v>#DIV/0!</v>
      </c>
      <c r="J20" s="167" t="e">
        <f>SUMIFS('caseload data'!L:L,'caseload data'!$C:$C,'divisional &amp; regional caseload%'!$B$15,'caseload data'!$D:$D,"SPO")/SUMIF('caseload data'!$C:$C,'divisional &amp; regional caseload%'!$B$15,'caseload data'!L:L)</f>
        <v>#DIV/0!</v>
      </c>
      <c r="K20" s="167" t="e">
        <f>SUMIFS('caseload data'!M:M,'caseload data'!$C:$C,'divisional &amp; regional caseload%'!$B$15,'caseload data'!$D:$D,"SPO")/SUMIF('caseload data'!$C:$C,'divisional &amp; regional caseload%'!$B$15,'caseload data'!M:M)</f>
        <v>#DIV/0!</v>
      </c>
      <c r="L20" s="167" t="e">
        <f>SUMIFS('caseload data'!N:N,'caseload data'!$C:$C,'divisional &amp; regional caseload%'!$B$15,'caseload data'!$D:$D,"SPO")/SUMIF('caseload data'!$C:$C,'divisional &amp; regional caseload%'!$B$15,'caseload data'!N:N)</f>
        <v>#DIV/0!</v>
      </c>
      <c r="M20" s="167" t="e">
        <f>SUMIFS('caseload data'!O:O,'caseload data'!$C:$C,'divisional &amp; regional caseload%'!$B$15,'caseload data'!$D:$D,"SPO")/SUMIF('caseload data'!$C:$C,'divisional &amp; regional caseload%'!$B$15,'caseload data'!O:O)</f>
        <v>#DIV/0!</v>
      </c>
      <c r="N20" s="167" t="e">
        <f>SUMIFS('caseload data'!P:P,'caseload data'!$C:$C,'divisional &amp; regional caseload%'!$B$15,'caseload data'!$D:$D,"SPO")/SUMIF('caseload data'!$C:$C,'divisional &amp; regional caseload%'!$B$15,'caseload data'!P:P)</f>
        <v>#DIV/0!</v>
      </c>
      <c r="O20" s="167" t="e">
        <f>SUMIFS('caseload data'!Q:Q,'caseload data'!$C:$C,'divisional &amp; regional caseload%'!$B$15,'caseload data'!$D:$D,"SPO")/SUMIF('caseload data'!$C:$C,'divisional &amp; regional caseload%'!$B$15,'caseload data'!Q:Q)</f>
        <v>#DIV/0!</v>
      </c>
      <c r="P20" s="167" t="e">
        <f>SUMIFS('caseload data'!R:R,'caseload data'!$C:$C,'divisional &amp; regional caseload%'!$B$15,'caseload data'!$D:$D,"SPO")/SUMIF('caseload data'!$C:$C,'divisional &amp; regional caseload%'!$B$15,'caseload data'!R:R)</f>
        <v>#DIV/0!</v>
      </c>
      <c r="Q20" s="167" t="e">
        <f>SUMIFS('caseload data'!S:S,'caseload data'!$C:$C,'divisional &amp; regional caseload%'!$B$15,'caseload data'!$D:$D,"SPO")/SUMIF('caseload data'!$C:$C,'divisional &amp; regional caseload%'!$B$15,'caseload data'!S:S)</f>
        <v>#DIV/0!</v>
      </c>
      <c r="R20" s="167" t="e">
        <f>SUMIFS('caseload data'!T:T,'caseload data'!$C:$C,'divisional &amp; regional caseload%'!$B$15,'caseload data'!$D:$D,"SPO")/SUMIF('caseload data'!$C:$C,'divisional &amp; regional caseload%'!$B$15,'caseload data'!T:T)</f>
        <v>#DIV/0!</v>
      </c>
      <c r="S20" s="64"/>
      <c r="T20" s="98" t="s">
        <v>954</v>
      </c>
      <c r="U20" s="167" t="e">
        <f>SUMIFS('caseload data'!E:E,'caseload data'!$C:$C,'divisional &amp; regional caseload%'!$T$15,'caseload data'!$D:$D,"SPO")/SUMIF('caseload data'!$C:$C,'divisional &amp; regional caseload%'!$T$15,'caseload data'!E:E)</f>
        <v>#DIV/0!</v>
      </c>
      <c r="V20" s="167" t="e">
        <f>SUMIFS('caseload data'!F:F,'caseload data'!$C:$C,'divisional &amp; regional caseload%'!$T$15,'caseload data'!$D:$D,"SPO")/SUMIF('caseload data'!$C:$C,'divisional &amp; regional caseload%'!$T$15,'caseload data'!F:F)</f>
        <v>#DIV/0!</v>
      </c>
      <c r="W20" s="167" t="e">
        <f>SUMIFS('caseload data'!G:G,'caseload data'!$C:$C,'divisional &amp; regional caseload%'!$T$15,'caseload data'!$D:$D,"SPO")/SUMIF('caseload data'!$C:$C,'divisional &amp; regional caseload%'!$T$15,'caseload data'!G:G)</f>
        <v>#DIV/0!</v>
      </c>
      <c r="X20" s="167" t="e">
        <f>SUMIFS('caseload data'!H:H,'caseload data'!$C:$C,'divisional &amp; regional caseload%'!$T$15,'caseload data'!$D:$D,"SPO")/SUMIF('caseload data'!$C:$C,'divisional &amp; regional caseload%'!$T$15,'caseload data'!H:H)</f>
        <v>#DIV/0!</v>
      </c>
      <c r="Y20" s="167" t="e">
        <f>SUMIFS('caseload data'!I:I,'caseload data'!$C:$C,'divisional &amp; regional caseload%'!$T$15,'caseload data'!$D:$D,"SPO")/SUMIF('caseload data'!$C:$C,'divisional &amp; regional caseload%'!$T$15,'caseload data'!I:I)</f>
        <v>#DIV/0!</v>
      </c>
      <c r="Z20" s="167" t="e">
        <f>SUMIFS('caseload data'!J:J,'caseload data'!$C:$C,'divisional &amp; regional caseload%'!$T$15,'caseload data'!$D:$D,"SPO")/SUMIF('caseload data'!$C:$C,'divisional &amp; regional caseload%'!$T$15,'caseload data'!J:J)</f>
        <v>#DIV/0!</v>
      </c>
      <c r="AA20" s="167" t="e">
        <f>SUMIFS('caseload data'!K:K,'caseload data'!$C:$C,'divisional &amp; regional caseload%'!$T$15,'caseload data'!$D:$D,"SPO")/SUMIF('caseload data'!$C:$C,'divisional &amp; regional caseload%'!$T$15,'caseload data'!K:K)</f>
        <v>#DIV/0!</v>
      </c>
      <c r="AB20" s="167" t="e">
        <f>SUMIFS('caseload data'!L:L,'caseload data'!$C:$C,'divisional &amp; regional caseload%'!$T$15,'caseload data'!$D:$D,"SPO")/SUMIF('caseload data'!$C:$C,'divisional &amp; regional caseload%'!$T$15,'caseload data'!L:L)</f>
        <v>#DIV/0!</v>
      </c>
      <c r="AC20" s="167" t="e">
        <f>SUMIFS('caseload data'!M:M,'caseload data'!$C:$C,'divisional &amp; regional caseload%'!$T$15,'caseload data'!$D:$D,"SPO")/SUMIF('caseload data'!$C:$C,'divisional &amp; regional caseload%'!$T$15,'caseload data'!M:M)</f>
        <v>#DIV/0!</v>
      </c>
      <c r="AD20" s="167" t="e">
        <f>SUMIFS('caseload data'!N:N,'caseload data'!$C:$C,'divisional &amp; regional caseload%'!$T$15,'caseload data'!$D:$D,"SPO")/SUMIF('caseload data'!$C:$C,'divisional &amp; regional caseload%'!$T$15,'caseload data'!N:N)</f>
        <v>#DIV/0!</v>
      </c>
      <c r="AE20" s="167" t="e">
        <f>SUMIFS('caseload data'!O:O,'caseload data'!$C:$C,'divisional &amp; regional caseload%'!$T$15,'caseload data'!$D:$D,"SPO")/SUMIF('caseload data'!$C:$C,'divisional &amp; regional caseload%'!$T$15,'caseload data'!O:O)</f>
        <v>#DIV/0!</v>
      </c>
      <c r="AF20" s="167" t="e">
        <f>SUMIFS('caseload data'!P:P,'caseload data'!$C:$C,'divisional &amp; regional caseload%'!$T$15,'caseload data'!$D:$D,"SPO")/SUMIF('caseload data'!$C:$C,'divisional &amp; regional caseload%'!$T$15,'caseload data'!P:P)</f>
        <v>#DIV/0!</v>
      </c>
      <c r="AG20" s="167" t="e">
        <f>SUMIFS('caseload data'!Q:Q,'caseload data'!$C:$C,'divisional &amp; regional caseload%'!$T$15,'caseload data'!$D:$D,"SPO")/SUMIF('caseload data'!$C:$C,'divisional &amp; regional caseload%'!$T$15,'caseload data'!Q:Q)</f>
        <v>#DIV/0!</v>
      </c>
      <c r="AH20" s="167" t="e">
        <f>SUMIFS('caseload data'!R:R,'caseload data'!$C:$C,'divisional &amp; regional caseload%'!$T$15,'caseload data'!$D:$D,"SPO")/SUMIF('caseload data'!$C:$C,'divisional &amp; regional caseload%'!$T$15,'caseload data'!R:R)</f>
        <v>#DIV/0!</v>
      </c>
      <c r="AI20" s="167" t="e">
        <f>SUMIFS('caseload data'!S:S,'caseload data'!$C:$C,'divisional &amp; regional caseload%'!$T$15,'caseload data'!$D:$D,"SPO")/SUMIF('caseload data'!$C:$C,'divisional &amp; regional caseload%'!$T$15,'caseload data'!S:S)</f>
        <v>#DIV/0!</v>
      </c>
      <c r="AJ20" s="167" t="e">
        <f>SUMIFS('caseload data'!T:T,'caseload data'!$C:$C,'divisional &amp; regional caseload%'!$T$15,'caseload data'!$D:$D,"SPO")/SUMIF('caseload data'!$C:$C,'divisional &amp; regional caseload%'!$T$15,'caseload data'!T:T)</f>
        <v>#DIV/0!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288" t="str">
        <f>HLOOKUP($B$5,Region_Table,6,0)</f>
        <v>Lincolnshire East and West - N53</v>
      </c>
      <c r="C22" s="556" t="s">
        <v>1043</v>
      </c>
      <c r="D22" s="557"/>
      <c r="E22" s="557"/>
      <c r="F22" s="557"/>
      <c r="G22" s="557"/>
      <c r="H22" s="557"/>
      <c r="I22" s="557"/>
      <c r="J22" s="557"/>
      <c r="K22" s="557"/>
      <c r="L22" s="557"/>
      <c r="M22" s="558"/>
      <c r="N22" s="558"/>
      <c r="O22" s="559"/>
      <c r="P22" s="543">
        <f>SUMIF('caseload data'!$C:$C,'divisional &amp; regional caseload%'!B22,'caseload data'!V:V)</f>
        <v>0</v>
      </c>
      <c r="Q22" s="560"/>
      <c r="R22" s="561"/>
      <c r="S22" s="64"/>
      <c r="T22" s="288" t="str">
        <f>HLOOKUP($B$5,Region_Table,7,0)</f>
        <v>Nottingham City</v>
      </c>
      <c r="U22" s="556" t="s">
        <v>1043</v>
      </c>
      <c r="V22" s="557"/>
      <c r="W22" s="557"/>
      <c r="X22" s="557"/>
      <c r="Y22" s="557"/>
      <c r="Z22" s="557"/>
      <c r="AA22" s="557"/>
      <c r="AB22" s="557"/>
      <c r="AC22" s="557"/>
      <c r="AD22" s="557"/>
      <c r="AE22" s="558"/>
      <c r="AF22" s="558"/>
      <c r="AG22" s="559"/>
      <c r="AH22" s="543">
        <f>SUMIF('caseload data'!$C:$C,'divisional &amp; regional caseload%'!T22,'caseload data'!V:V)</f>
        <v>0</v>
      </c>
      <c r="AI22" s="560"/>
      <c r="AJ22" s="561"/>
    </row>
    <row r="23" spans="2:36" x14ac:dyDescent="0.15">
      <c r="B23" s="95" t="s">
        <v>951</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951</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167" t="e">
        <f>SUMIFS('caseload data'!E:E,'caseload data'!$C:$C,'divisional &amp; regional caseload%'!$B$22,'caseload data'!$D:$D,"PO")/SUMIF('caseload data'!$C:$C,'divisional &amp; regional caseload%'!$B$22,'caseload data'!E:E)</f>
        <v>#DIV/0!</v>
      </c>
      <c r="D24" s="167" t="e">
        <f>SUMIFS('caseload data'!F:F,'caseload data'!$C:$C,'divisional &amp; regional caseload%'!$B$22,'caseload data'!$D:$D,"PO")/SUMIF('caseload data'!$C:$C,'divisional &amp; regional caseload%'!$B$22,'caseload data'!F:F)</f>
        <v>#DIV/0!</v>
      </c>
      <c r="E24" s="167" t="e">
        <f>SUMIFS('caseload data'!G:G,'caseload data'!$C:$C,'divisional &amp; regional caseload%'!$B$22,'caseload data'!$D:$D,"PO")/SUMIF('caseload data'!$C:$C,'divisional &amp; regional caseload%'!$B$22,'caseload data'!G:G)</f>
        <v>#DIV/0!</v>
      </c>
      <c r="F24" s="167" t="e">
        <f>SUMIFS('caseload data'!H:H,'caseload data'!$C:$C,'divisional &amp; regional caseload%'!$B$22,'caseload data'!$D:$D,"PO")/SUMIF('caseload data'!$C:$C,'divisional &amp; regional caseload%'!$B$22,'caseload data'!H:H)</f>
        <v>#DIV/0!</v>
      </c>
      <c r="G24" s="167" t="e">
        <f>SUMIFS('caseload data'!I:I,'caseload data'!$C:$C,'divisional &amp; regional caseload%'!$B$22,'caseload data'!$D:$D,"PO")/SUMIF('caseload data'!$C:$C,'divisional &amp; regional caseload%'!$B$22,'caseload data'!I:I)</f>
        <v>#DIV/0!</v>
      </c>
      <c r="H24" s="167" t="e">
        <f>SUMIFS('caseload data'!J:J,'caseload data'!$C:$C,'divisional &amp; regional caseload%'!$B$22,'caseload data'!$D:$D,"PO")/SUMIF('caseload data'!$C:$C,'divisional &amp; regional caseload%'!$B$22,'caseload data'!J:J)</f>
        <v>#DIV/0!</v>
      </c>
      <c r="I24" s="167" t="e">
        <f>SUMIFS('caseload data'!K:K,'caseload data'!$C:$C,'divisional &amp; regional caseload%'!$B$22,'caseload data'!$D:$D,"PO")/SUMIF('caseload data'!$C:$C,'divisional &amp; regional caseload%'!$B$22,'caseload data'!K:K)</f>
        <v>#DIV/0!</v>
      </c>
      <c r="J24" s="167" t="e">
        <f>SUMIFS('caseload data'!L:L,'caseload data'!$C:$C,'divisional &amp; regional caseload%'!$B$22,'caseload data'!$D:$D,"PO")/SUMIF('caseload data'!$C:$C,'divisional &amp; regional caseload%'!$B$22,'caseload data'!L:L)</f>
        <v>#DIV/0!</v>
      </c>
      <c r="K24" s="167" t="e">
        <f>SUMIFS('caseload data'!M:M,'caseload data'!$C:$C,'divisional &amp; regional caseload%'!$B$22,'caseload data'!$D:$D,"PO")/SUMIF('caseload data'!$C:$C,'divisional &amp; regional caseload%'!$B$22,'caseload data'!M:M)</f>
        <v>#DIV/0!</v>
      </c>
      <c r="L24" s="167" t="e">
        <f>SUMIFS('caseload data'!N:N,'caseload data'!$C:$C,'divisional &amp; regional caseload%'!$B$22,'caseload data'!$D:$D,"PO")/SUMIF('caseload data'!$C:$C,'divisional &amp; regional caseload%'!$B$22,'caseload data'!N:N)</f>
        <v>#DIV/0!</v>
      </c>
      <c r="M24" s="167" t="e">
        <f>SUMIFS('caseload data'!O:O,'caseload data'!$C:$C,'divisional &amp; regional caseload%'!$B$22,'caseload data'!$D:$D,"PO")/SUMIF('caseload data'!$C:$C,'divisional &amp; regional caseload%'!$B$22,'caseload data'!O:O)</f>
        <v>#DIV/0!</v>
      </c>
      <c r="N24" s="167" t="e">
        <f>SUMIFS('caseload data'!P:P,'caseload data'!$C:$C,'divisional &amp; regional caseload%'!$B$22,'caseload data'!$D:$D,"PO")/SUMIF('caseload data'!$C:$C,'divisional &amp; regional caseload%'!$B$22,'caseload data'!P:P)</f>
        <v>#DIV/0!</v>
      </c>
      <c r="O24" s="167" t="e">
        <f>SUMIFS('caseload data'!Q:Q,'caseload data'!$C:$C,'divisional &amp; regional caseload%'!$B$22,'caseload data'!$D:$D,"PO")/SUMIF('caseload data'!$C:$C,'divisional &amp; regional caseload%'!$B$22,'caseload data'!Q:Q)</f>
        <v>#DIV/0!</v>
      </c>
      <c r="P24" s="167" t="e">
        <f>SUMIFS('caseload data'!R:R,'caseload data'!$C:$C,'divisional &amp; regional caseload%'!$B$22,'caseload data'!$D:$D,"PO")/SUMIF('caseload data'!$C:$C,'divisional &amp; regional caseload%'!$B$22,'caseload data'!R:R)</f>
        <v>#DIV/0!</v>
      </c>
      <c r="Q24" s="167" t="e">
        <f>SUMIFS('caseload data'!S:S,'caseload data'!$C:$C,'divisional &amp; regional caseload%'!$B$22,'caseload data'!$D:$D,"PO")/SUMIF('caseload data'!$C:$C,'divisional &amp; regional caseload%'!$B$22,'caseload data'!S:S)</f>
        <v>#DIV/0!</v>
      </c>
      <c r="R24" s="167" t="e">
        <f>SUMIFS('caseload data'!T:T,'caseload data'!$C:$C,'divisional &amp; regional caseload%'!$B$22,'caseload data'!$D:$D,"PO")/SUMIF('caseload data'!$C:$C,'divisional &amp; regional caseload%'!$B$22,'caseload data'!T:T)</f>
        <v>#DIV/0!</v>
      </c>
      <c r="S24" s="64"/>
      <c r="T24" s="96" t="s">
        <v>947</v>
      </c>
      <c r="U24" s="167" t="str">
        <f>IFERROR(SUMIFS('caseload data'!E:E,'caseload data'!$C:$C,'divisional &amp; regional caseload%'!$T$22,'caseload data'!$D:$D,"PO")/SUMIF('caseload data'!$C:$C,'divisional &amp; regional caseload%'!$T$22,'caseload data'!E:E),"")</f>
        <v/>
      </c>
      <c r="V24" s="167" t="str">
        <f>IFERROR(SUMIFS('caseload data'!F:F,'caseload data'!$C:$C,'divisional &amp; regional caseload%'!$T$22,'caseload data'!$D:$D,"PO")/SUMIF('caseload data'!$C:$C,'divisional &amp; regional caseload%'!$T$22,'caseload data'!F:F),"")</f>
        <v/>
      </c>
      <c r="W24" s="167" t="str">
        <f>IFERROR(SUMIFS('caseload data'!G:G,'caseload data'!$C:$C,'divisional &amp; regional caseload%'!$T$22,'caseload data'!$D:$D,"PO")/SUMIF('caseload data'!$C:$C,'divisional &amp; regional caseload%'!$T$22,'caseload data'!G:G),"")</f>
        <v/>
      </c>
      <c r="X24" s="167" t="str">
        <f>IFERROR(SUMIFS('caseload data'!H:H,'caseload data'!$C:$C,'divisional &amp; regional caseload%'!$T$22,'caseload data'!$D:$D,"PO")/SUMIF('caseload data'!$C:$C,'divisional &amp; regional caseload%'!$T$22,'caseload data'!H:H),"")</f>
        <v/>
      </c>
      <c r="Y24" s="167" t="str">
        <f>IFERROR(SUMIFS('caseload data'!I:I,'caseload data'!$C:$C,'divisional &amp; regional caseload%'!$T$22,'caseload data'!$D:$D,"PO")/SUMIF('caseload data'!$C:$C,'divisional &amp; regional caseload%'!$T$22,'caseload data'!I:I),"")</f>
        <v/>
      </c>
      <c r="Z24" s="167" t="str">
        <f>IFERROR(SUMIFS('caseload data'!J:J,'caseload data'!$C:$C,'divisional &amp; regional caseload%'!$T$22,'caseload data'!$D:$D,"PO")/SUMIF('caseload data'!$C:$C,'divisional &amp; regional caseload%'!$T$22,'caseload data'!J:J),"")</f>
        <v/>
      </c>
      <c r="AA24" s="167" t="str">
        <f>IFERROR(SUMIFS('caseload data'!K:K,'caseload data'!$C:$C,'divisional &amp; regional caseload%'!$T$22,'caseload data'!$D:$D,"PO")/SUMIF('caseload data'!$C:$C,'divisional &amp; regional caseload%'!$T$22,'caseload data'!K:K),"")</f>
        <v/>
      </c>
      <c r="AB24" s="167" t="str">
        <f>IFERROR(SUMIFS('caseload data'!L:L,'caseload data'!$C:$C,'divisional &amp; regional caseload%'!$T$22,'caseload data'!$D:$D,"PO")/SUMIF('caseload data'!$C:$C,'divisional &amp; regional caseload%'!$T$22,'caseload data'!L:L),"")</f>
        <v/>
      </c>
      <c r="AC24" s="167" t="str">
        <f>IFERROR(SUMIFS('caseload data'!M:M,'caseload data'!$C:$C,'divisional &amp; regional caseload%'!$T$22,'caseload data'!$D:$D,"PO")/SUMIF('caseload data'!$C:$C,'divisional &amp; regional caseload%'!$T$22,'caseload data'!M:M),"")</f>
        <v/>
      </c>
      <c r="AD24" s="167" t="str">
        <f>IFERROR(SUMIFS('caseload data'!N:N,'caseload data'!$C:$C,'divisional &amp; regional caseload%'!$T$22,'caseload data'!$D:$D,"PO")/SUMIF('caseload data'!$C:$C,'divisional &amp; regional caseload%'!$T$22,'caseload data'!N:N),"")</f>
        <v/>
      </c>
      <c r="AE24" s="167" t="str">
        <f>IFERROR(SUMIFS('caseload data'!O:O,'caseload data'!$C:$C,'divisional &amp; regional caseload%'!$T$22,'caseload data'!$D:$D,"PO")/SUMIF('caseload data'!$C:$C,'divisional &amp; regional caseload%'!$T$22,'caseload data'!O:O),"")</f>
        <v/>
      </c>
      <c r="AF24" s="167" t="str">
        <f>IFERROR(SUMIFS('caseload data'!P:P,'caseload data'!$C:$C,'divisional &amp; regional caseload%'!$T$22,'caseload data'!$D:$D,"PO")/SUMIF('caseload data'!$C:$C,'divisional &amp; regional caseload%'!$T$22,'caseload data'!P:P),"")</f>
        <v/>
      </c>
      <c r="AG24" s="167" t="str">
        <f>IFERROR(SUMIFS('caseload data'!Q:Q,'caseload data'!$C:$C,'divisional &amp; regional caseload%'!$T$22,'caseload data'!$D:$D,"PO")/SUMIF('caseload data'!$C:$C,'divisional &amp; regional caseload%'!$T$22,'caseload data'!Q:Q),"")</f>
        <v/>
      </c>
      <c r="AH24" s="167" t="str">
        <f>IFERROR(SUMIFS('caseload data'!R:R,'caseload data'!$C:$C,'divisional &amp; regional caseload%'!$T$22,'caseload data'!$D:$D,"PO")/SUMIF('caseload data'!$C:$C,'divisional &amp; regional caseload%'!$T$22,'caseload data'!R:R),"")</f>
        <v/>
      </c>
      <c r="AI24" s="167" t="str">
        <f>IFERROR(SUMIFS('caseload data'!S:S,'caseload data'!$C:$C,'divisional &amp; regional caseload%'!$T$22,'caseload data'!$D:$D,"PO")/SUMIF('caseload data'!$C:$C,'divisional &amp; regional caseload%'!$T$22,'caseload data'!S:S),"")</f>
        <v/>
      </c>
      <c r="AJ24" s="167" t="str">
        <f>IFERROR(SUMIFS('caseload data'!T:T,'caseload data'!$C:$C,'divisional &amp; regional caseload%'!$T$22,'caseload data'!$D:$D,"PO")/SUMIF('caseload data'!$C:$C,'divisional &amp; regional caseload%'!$T$22,'caseload data'!T:T),"")</f>
        <v/>
      </c>
    </row>
    <row r="25" spans="2:36" x14ac:dyDescent="0.15">
      <c r="B25" s="97" t="s">
        <v>952</v>
      </c>
      <c r="C25" s="167" t="e">
        <f>SUMIFS('caseload data'!E:E,'caseload data'!$C:$C,'divisional &amp; regional caseload%'!$B$22,'caseload data'!$D:$D,"PSO")/SUMIF('caseload data'!$C:$C,'divisional &amp; regional caseload%'!$B$22,'caseload data'!E:E)</f>
        <v>#DIV/0!</v>
      </c>
      <c r="D25" s="167" t="e">
        <f>SUMIFS('caseload data'!F:F,'caseload data'!$C:$C,'divisional &amp; regional caseload%'!$B$22,'caseload data'!$D:$D,"PSO")/SUMIF('caseload data'!$C:$C,'divisional &amp; regional caseload%'!$B$22,'caseload data'!F:F)</f>
        <v>#DIV/0!</v>
      </c>
      <c r="E25" s="167" t="e">
        <f>SUMIFS('caseload data'!G:G,'caseload data'!$C:$C,'divisional &amp; regional caseload%'!$B$22,'caseload data'!$D:$D,"PSO")/SUMIF('caseload data'!$C:$C,'divisional &amp; regional caseload%'!$B$22,'caseload data'!G:G)</f>
        <v>#DIV/0!</v>
      </c>
      <c r="F25" s="167" t="e">
        <f>SUMIFS('caseload data'!H:H,'caseload data'!$C:$C,'divisional &amp; regional caseload%'!$B$22,'caseload data'!$D:$D,"PSO")/SUMIF('caseload data'!$C:$C,'divisional &amp; regional caseload%'!$B$22,'caseload data'!H:H)</f>
        <v>#DIV/0!</v>
      </c>
      <c r="G25" s="167" t="e">
        <f>SUMIFS('caseload data'!I:I,'caseload data'!$C:$C,'divisional &amp; regional caseload%'!$B$22,'caseload data'!$D:$D,"PSO")/SUMIF('caseload data'!$C:$C,'divisional &amp; regional caseload%'!$B$22,'caseload data'!I:I)</f>
        <v>#DIV/0!</v>
      </c>
      <c r="H25" s="167" t="e">
        <f>SUMIFS('caseload data'!J:J,'caseload data'!$C:$C,'divisional &amp; regional caseload%'!$B$22,'caseload data'!$D:$D,"PSO")/SUMIF('caseload data'!$C:$C,'divisional &amp; regional caseload%'!$B$22,'caseload data'!J:J)</f>
        <v>#DIV/0!</v>
      </c>
      <c r="I25" s="167" t="e">
        <f>SUMIFS('caseload data'!K:K,'caseload data'!$C:$C,'divisional &amp; regional caseload%'!$B$22,'caseload data'!$D:$D,"PSO")/SUMIF('caseload data'!$C:$C,'divisional &amp; regional caseload%'!$B$22,'caseload data'!K:K)</f>
        <v>#DIV/0!</v>
      </c>
      <c r="J25" s="167" t="e">
        <f>SUMIFS('caseload data'!L:L,'caseload data'!$C:$C,'divisional &amp; regional caseload%'!$B$22,'caseload data'!$D:$D,"PSO")/SUMIF('caseload data'!$C:$C,'divisional &amp; regional caseload%'!$B$22,'caseload data'!L:L)</f>
        <v>#DIV/0!</v>
      </c>
      <c r="K25" s="167" t="e">
        <f>SUMIFS('caseload data'!M:M,'caseload data'!$C:$C,'divisional &amp; regional caseload%'!$B$22,'caseload data'!$D:$D,"PSO")/SUMIF('caseload data'!$C:$C,'divisional &amp; regional caseload%'!$B$22,'caseload data'!M:M)</f>
        <v>#DIV/0!</v>
      </c>
      <c r="L25" s="167" t="e">
        <f>SUMIFS('caseload data'!N:N,'caseload data'!$C:$C,'divisional &amp; regional caseload%'!$B$22,'caseload data'!$D:$D,"PSO")/SUMIF('caseload data'!$C:$C,'divisional &amp; regional caseload%'!$B$22,'caseload data'!N:N)</f>
        <v>#DIV/0!</v>
      </c>
      <c r="M25" s="167" t="e">
        <f>SUMIFS('caseload data'!O:O,'caseload data'!$C:$C,'divisional &amp; regional caseload%'!$B$22,'caseload data'!$D:$D,"PSO")/SUMIF('caseload data'!$C:$C,'divisional &amp; regional caseload%'!$B$22,'caseload data'!O:O)</f>
        <v>#DIV/0!</v>
      </c>
      <c r="N25" s="167" t="e">
        <f>SUMIFS('caseload data'!P:P,'caseload data'!$C:$C,'divisional &amp; regional caseload%'!$B$22,'caseload data'!$D:$D,"PSO")/SUMIF('caseload data'!$C:$C,'divisional &amp; regional caseload%'!$B$22,'caseload data'!P:P)</f>
        <v>#DIV/0!</v>
      </c>
      <c r="O25" s="167" t="e">
        <f>SUMIFS('caseload data'!Q:Q,'caseload data'!$C:$C,'divisional &amp; regional caseload%'!$B$22,'caseload data'!$D:$D,"PSO")/SUMIF('caseload data'!$C:$C,'divisional &amp; regional caseload%'!$B$22,'caseload data'!Q:Q)</f>
        <v>#DIV/0!</v>
      </c>
      <c r="P25" s="167" t="e">
        <f>SUMIFS('caseload data'!R:R,'caseload data'!$C:$C,'divisional &amp; regional caseload%'!$B$22,'caseload data'!$D:$D,"PSO")/SUMIF('caseload data'!$C:$C,'divisional &amp; regional caseload%'!$B$22,'caseload data'!R:R)</f>
        <v>#DIV/0!</v>
      </c>
      <c r="Q25" s="167" t="e">
        <f>SUMIFS('caseload data'!S:S,'caseload data'!$C:$C,'divisional &amp; regional caseload%'!$B$22,'caseload data'!$D:$D,"PSO")/SUMIF('caseload data'!$C:$C,'divisional &amp; regional caseload%'!$B$22,'caseload data'!S:S)</f>
        <v>#DIV/0!</v>
      </c>
      <c r="R25" s="167" t="e">
        <f>SUMIFS('caseload data'!T:T,'caseload data'!$C:$C,'divisional &amp; regional caseload%'!$B$22,'caseload data'!$D:$D,"PSO")/SUMIF('caseload data'!$C:$C,'divisional &amp; regional caseload%'!$B$22,'caseload data'!T:T)</f>
        <v>#DIV/0!</v>
      </c>
      <c r="S25" s="64"/>
      <c r="T25" s="97" t="s">
        <v>952</v>
      </c>
      <c r="U25" s="167" t="str">
        <f>IFERROR(SUMIFS('caseload data'!E:E,'caseload data'!$C:$C,'divisional &amp; regional caseload%'!$T$22,'caseload data'!$D:$D,"PSO")/SUMIF('caseload data'!$C:$C,'divisional &amp; regional caseload%'!$T$22,'caseload data'!E:E),"")</f>
        <v/>
      </c>
      <c r="V25" s="167" t="str">
        <f>IFERROR(SUMIFS('caseload data'!F:F,'caseload data'!$C:$C,'divisional &amp; regional caseload%'!$T$22,'caseload data'!$D:$D,"PSO")/SUMIF('caseload data'!$C:$C,'divisional &amp; regional caseload%'!$T$22,'caseload data'!F:F),"")</f>
        <v/>
      </c>
      <c r="W25" s="167" t="str">
        <f>IFERROR(SUMIFS('caseload data'!G:G,'caseload data'!$C:$C,'divisional &amp; regional caseload%'!$T$22,'caseload data'!$D:$D,"PSO")/SUMIF('caseload data'!$C:$C,'divisional &amp; regional caseload%'!$T$22,'caseload data'!G:G),"")</f>
        <v/>
      </c>
      <c r="X25" s="167" t="str">
        <f>IFERROR(SUMIFS('caseload data'!H:H,'caseload data'!$C:$C,'divisional &amp; regional caseload%'!$T$22,'caseload data'!$D:$D,"PSO")/SUMIF('caseload data'!$C:$C,'divisional &amp; regional caseload%'!$T$22,'caseload data'!H:H),"")</f>
        <v/>
      </c>
      <c r="Y25" s="167" t="str">
        <f>IFERROR(SUMIFS('caseload data'!I:I,'caseload data'!$C:$C,'divisional &amp; regional caseload%'!$T$22,'caseload data'!$D:$D,"PSO")/SUMIF('caseload data'!$C:$C,'divisional &amp; regional caseload%'!$T$22,'caseload data'!I:I),"")</f>
        <v/>
      </c>
      <c r="Z25" s="167" t="str">
        <f>IFERROR(SUMIFS('caseload data'!J:J,'caseload data'!$C:$C,'divisional &amp; regional caseload%'!$T$22,'caseload data'!$D:$D,"PSO")/SUMIF('caseload data'!$C:$C,'divisional &amp; regional caseload%'!$T$22,'caseload data'!J:J),"")</f>
        <v/>
      </c>
      <c r="AA25" s="167" t="str">
        <f>IFERROR(SUMIFS('caseload data'!K:K,'caseload data'!$C:$C,'divisional &amp; regional caseload%'!$T$22,'caseload data'!$D:$D,"PSO")/SUMIF('caseload data'!$C:$C,'divisional &amp; regional caseload%'!$T$22,'caseload data'!K:K),"")</f>
        <v/>
      </c>
      <c r="AB25" s="167" t="str">
        <f>IFERROR(SUMIFS('caseload data'!L:L,'caseload data'!$C:$C,'divisional &amp; regional caseload%'!$T$22,'caseload data'!$D:$D,"PSO")/SUMIF('caseload data'!$C:$C,'divisional &amp; regional caseload%'!$T$22,'caseload data'!L:L),"")</f>
        <v/>
      </c>
      <c r="AC25" s="167" t="str">
        <f>IFERROR(SUMIFS('caseload data'!M:M,'caseload data'!$C:$C,'divisional &amp; regional caseload%'!$T$22,'caseload data'!$D:$D,"PSO")/SUMIF('caseload data'!$C:$C,'divisional &amp; regional caseload%'!$T$22,'caseload data'!M:M),"")</f>
        <v/>
      </c>
      <c r="AD25" s="167" t="str">
        <f>IFERROR(SUMIFS('caseload data'!N:N,'caseload data'!$C:$C,'divisional &amp; regional caseload%'!$T$22,'caseload data'!$D:$D,"PSO")/SUMIF('caseload data'!$C:$C,'divisional &amp; regional caseload%'!$T$22,'caseload data'!N:N),"")</f>
        <v/>
      </c>
      <c r="AE25" s="167" t="str">
        <f>IFERROR(SUMIFS('caseload data'!O:O,'caseload data'!$C:$C,'divisional &amp; regional caseload%'!$T$22,'caseload data'!$D:$D,"PSO")/SUMIF('caseload data'!$C:$C,'divisional &amp; regional caseload%'!$T$22,'caseload data'!O:O),"")</f>
        <v/>
      </c>
      <c r="AF25" s="167" t="str">
        <f>IFERROR(SUMIFS('caseload data'!P:P,'caseload data'!$C:$C,'divisional &amp; regional caseload%'!$T$22,'caseload data'!$D:$D,"PSO")/SUMIF('caseload data'!$C:$C,'divisional &amp; regional caseload%'!$T$22,'caseload data'!P:P),"")</f>
        <v/>
      </c>
      <c r="AG25" s="167" t="str">
        <f>IFERROR(SUMIFS('caseload data'!Q:Q,'caseload data'!$C:$C,'divisional &amp; regional caseload%'!$T$22,'caseload data'!$D:$D,"PSO")/SUMIF('caseload data'!$C:$C,'divisional &amp; regional caseload%'!$T$22,'caseload data'!Q:Q),"")</f>
        <v/>
      </c>
      <c r="AH25" s="167" t="str">
        <f>IFERROR(SUMIFS('caseload data'!R:R,'caseload data'!$C:$C,'divisional &amp; regional caseload%'!$T$22,'caseload data'!$D:$D,"PSO")/SUMIF('caseload data'!$C:$C,'divisional &amp; regional caseload%'!$T$22,'caseload data'!R:R),"")</f>
        <v/>
      </c>
      <c r="AI25" s="167" t="str">
        <f>IFERROR(SUMIFS('caseload data'!S:S,'caseload data'!$C:$C,'divisional &amp; regional caseload%'!$T$22,'caseload data'!$D:$D,"PSO")/SUMIF('caseload data'!$C:$C,'divisional &amp; regional caseload%'!$T$22,'caseload data'!S:S),"")</f>
        <v/>
      </c>
      <c r="AJ25" s="167" t="str">
        <f>IFERROR(SUMIFS('caseload data'!T:T,'caseload data'!$C:$C,'divisional &amp; regional caseload%'!$T$22,'caseload data'!$D:$D,"PSO")/SUMIF('caseload data'!$C:$C,'divisional &amp; regional caseload%'!$T$22,'caseload data'!T:T),"")</f>
        <v/>
      </c>
    </row>
    <row r="26" spans="2:36" x14ac:dyDescent="0.15">
      <c r="B26" s="97" t="s">
        <v>953</v>
      </c>
      <c r="C26" s="167" t="e">
        <f>SUMIFS('caseload data'!E:E,'caseload data'!$C:$C,'divisional &amp; regional caseload%'!$B$22,'caseload data'!$D:$D,"TPO")/SUMIF('caseload data'!$C:$C,'divisional &amp; regional caseload%'!$B$22,'caseload data'!E:E)</f>
        <v>#DIV/0!</v>
      </c>
      <c r="D26" s="167" t="e">
        <f>SUMIFS('caseload data'!F:F,'caseload data'!$C:$C,'divisional &amp; regional caseload%'!$B$22,'caseload data'!$D:$D,"TPO")/SUMIF('caseload data'!$C:$C,'divisional &amp; regional caseload%'!$B$22,'caseload data'!F:F)</f>
        <v>#DIV/0!</v>
      </c>
      <c r="E26" s="167" t="e">
        <f>SUMIFS('caseload data'!G:G,'caseload data'!$C:$C,'divisional &amp; regional caseload%'!$B$22,'caseload data'!$D:$D,"TPO")/SUMIF('caseload data'!$C:$C,'divisional &amp; regional caseload%'!$B$22,'caseload data'!G:G)</f>
        <v>#DIV/0!</v>
      </c>
      <c r="F26" s="167" t="e">
        <f>SUMIFS('caseload data'!H:H,'caseload data'!$C:$C,'divisional &amp; regional caseload%'!$B$22,'caseload data'!$D:$D,"TPO")/SUMIF('caseload data'!$C:$C,'divisional &amp; regional caseload%'!$B$22,'caseload data'!H:H)</f>
        <v>#DIV/0!</v>
      </c>
      <c r="G26" s="167" t="e">
        <f>SUMIFS('caseload data'!I:I,'caseload data'!$C:$C,'divisional &amp; regional caseload%'!$B$22,'caseload data'!$D:$D,"TPO")/SUMIF('caseload data'!$C:$C,'divisional &amp; regional caseload%'!$B$22,'caseload data'!I:I)</f>
        <v>#DIV/0!</v>
      </c>
      <c r="H26" s="167" t="e">
        <f>SUMIFS('caseload data'!J:J,'caseload data'!$C:$C,'divisional &amp; regional caseload%'!$B$22,'caseload data'!$D:$D,"TPO")/SUMIF('caseload data'!$C:$C,'divisional &amp; regional caseload%'!$B$22,'caseload data'!J:J)</f>
        <v>#DIV/0!</v>
      </c>
      <c r="I26" s="167" t="e">
        <f>SUMIFS('caseload data'!K:K,'caseload data'!$C:$C,'divisional &amp; regional caseload%'!$B$22,'caseload data'!$D:$D,"TPO")/SUMIF('caseload data'!$C:$C,'divisional &amp; regional caseload%'!$B$22,'caseload data'!K:K)</f>
        <v>#DIV/0!</v>
      </c>
      <c r="J26" s="167" t="e">
        <f>SUMIFS('caseload data'!L:L,'caseload data'!$C:$C,'divisional &amp; regional caseload%'!$B$22,'caseload data'!$D:$D,"TPO")/SUMIF('caseload data'!$C:$C,'divisional &amp; regional caseload%'!$B$22,'caseload data'!L:L)</f>
        <v>#DIV/0!</v>
      </c>
      <c r="K26" s="167" t="e">
        <f>SUMIFS('caseload data'!M:M,'caseload data'!$C:$C,'divisional &amp; regional caseload%'!$B$22,'caseload data'!$D:$D,"TPO")/SUMIF('caseload data'!$C:$C,'divisional &amp; regional caseload%'!$B$22,'caseload data'!M:M)</f>
        <v>#DIV/0!</v>
      </c>
      <c r="L26" s="167" t="e">
        <f>SUMIFS('caseload data'!N:N,'caseload data'!$C:$C,'divisional &amp; regional caseload%'!$B$22,'caseload data'!$D:$D,"TPO")/SUMIF('caseload data'!$C:$C,'divisional &amp; regional caseload%'!$B$22,'caseload data'!N:N)</f>
        <v>#DIV/0!</v>
      </c>
      <c r="M26" s="167" t="e">
        <f>SUMIFS('caseload data'!O:O,'caseload data'!$C:$C,'divisional &amp; regional caseload%'!$B$22,'caseload data'!$D:$D,"TPO")/SUMIF('caseload data'!$C:$C,'divisional &amp; regional caseload%'!$B$22,'caseload data'!O:O)</f>
        <v>#DIV/0!</v>
      </c>
      <c r="N26" s="167" t="e">
        <f>SUMIFS('caseload data'!P:P,'caseload data'!$C:$C,'divisional &amp; regional caseload%'!$B$22,'caseload data'!$D:$D,"TPO")/SUMIF('caseload data'!$C:$C,'divisional &amp; regional caseload%'!$B$22,'caseload data'!P:P)</f>
        <v>#DIV/0!</v>
      </c>
      <c r="O26" s="167" t="e">
        <f>SUMIFS('caseload data'!Q:Q,'caseload data'!$C:$C,'divisional &amp; regional caseload%'!$B$22,'caseload data'!$D:$D,"TPO")/SUMIF('caseload data'!$C:$C,'divisional &amp; regional caseload%'!$B$22,'caseload data'!Q:Q)</f>
        <v>#DIV/0!</v>
      </c>
      <c r="P26" s="167" t="e">
        <f>SUMIFS('caseload data'!R:R,'caseload data'!$C:$C,'divisional &amp; regional caseload%'!$B$22,'caseload data'!$D:$D,"TPO")/SUMIF('caseload data'!$C:$C,'divisional &amp; regional caseload%'!$B$22,'caseload data'!R:R)</f>
        <v>#DIV/0!</v>
      </c>
      <c r="Q26" s="167" t="e">
        <f>SUMIFS('caseload data'!S:S,'caseload data'!$C:$C,'divisional &amp; regional caseload%'!$B$22,'caseload data'!$D:$D,"TPO")/SUMIF('caseload data'!$C:$C,'divisional &amp; regional caseload%'!$B$22,'caseload data'!S:S)</f>
        <v>#DIV/0!</v>
      </c>
      <c r="R26" s="167" t="e">
        <f>SUMIFS('caseload data'!T:T,'caseload data'!$C:$C,'divisional &amp; regional caseload%'!$B$22,'caseload data'!$D:$D,"TPO")/SUMIF('caseload data'!$C:$C,'divisional &amp; regional caseload%'!$B$22,'caseload data'!T:T)</f>
        <v>#DIV/0!</v>
      </c>
      <c r="S26" s="64"/>
      <c r="T26" s="97" t="s">
        <v>953</v>
      </c>
      <c r="U26" s="167" t="str">
        <f>IFERROR(SUMIFS('caseload data'!E:E,'caseload data'!$C:$C,'divisional &amp; regional caseload%'!$T$22,'caseload data'!$D:$D,"TPO")/SUMIF('caseload data'!$C:$C,'divisional &amp; regional caseload%'!$T$22,'caseload data'!E:E),"")</f>
        <v/>
      </c>
      <c r="V26" s="167" t="str">
        <f>IFERROR(SUMIFS('caseload data'!F:F,'caseload data'!$C:$C,'divisional &amp; regional caseload%'!$T$22,'caseload data'!$D:$D,"TPO")/SUMIF('caseload data'!$C:$C,'divisional &amp; regional caseload%'!$T$22,'caseload data'!F:F),"")</f>
        <v/>
      </c>
      <c r="W26" s="167" t="str">
        <f>IFERROR(SUMIFS('caseload data'!G:G,'caseload data'!$C:$C,'divisional &amp; regional caseload%'!$T$22,'caseload data'!$D:$D,"TPO")/SUMIF('caseload data'!$C:$C,'divisional &amp; regional caseload%'!$T$22,'caseload data'!G:G),"")</f>
        <v/>
      </c>
      <c r="X26" s="167" t="str">
        <f>IFERROR(SUMIFS('caseload data'!H:H,'caseload data'!$C:$C,'divisional &amp; regional caseload%'!$T$22,'caseload data'!$D:$D,"TPO")/SUMIF('caseload data'!$C:$C,'divisional &amp; regional caseload%'!$T$22,'caseload data'!H:H),"")</f>
        <v/>
      </c>
      <c r="Y26" s="167" t="str">
        <f>IFERROR(SUMIFS('caseload data'!I:I,'caseload data'!$C:$C,'divisional &amp; regional caseload%'!$T$22,'caseload data'!$D:$D,"TPO")/SUMIF('caseload data'!$C:$C,'divisional &amp; regional caseload%'!$T$22,'caseload data'!I:I),"")</f>
        <v/>
      </c>
      <c r="Z26" s="167" t="str">
        <f>IFERROR(SUMIFS('caseload data'!J:J,'caseload data'!$C:$C,'divisional &amp; regional caseload%'!$T$22,'caseload data'!$D:$D,"TPO")/SUMIF('caseload data'!$C:$C,'divisional &amp; regional caseload%'!$T$22,'caseload data'!J:J),"")</f>
        <v/>
      </c>
      <c r="AA26" s="167" t="str">
        <f>IFERROR(SUMIFS('caseload data'!K:K,'caseload data'!$C:$C,'divisional &amp; regional caseload%'!$T$22,'caseload data'!$D:$D,"TPO")/SUMIF('caseload data'!$C:$C,'divisional &amp; regional caseload%'!$T$22,'caseload data'!K:K),"")</f>
        <v/>
      </c>
      <c r="AB26" s="167" t="str">
        <f>IFERROR(SUMIFS('caseload data'!L:L,'caseload data'!$C:$C,'divisional &amp; regional caseload%'!$T$22,'caseload data'!$D:$D,"TPO")/SUMIF('caseload data'!$C:$C,'divisional &amp; regional caseload%'!$T$22,'caseload data'!L:L),"")</f>
        <v/>
      </c>
      <c r="AC26" s="167" t="str">
        <f>IFERROR(SUMIFS('caseload data'!M:M,'caseload data'!$C:$C,'divisional &amp; regional caseload%'!$T$22,'caseload data'!$D:$D,"TPO")/SUMIF('caseload data'!$C:$C,'divisional &amp; regional caseload%'!$T$22,'caseload data'!M:M),"")</f>
        <v/>
      </c>
      <c r="AD26" s="167" t="str">
        <f>IFERROR(SUMIFS('caseload data'!N:N,'caseload data'!$C:$C,'divisional &amp; regional caseload%'!$T$22,'caseload data'!$D:$D,"TPO")/SUMIF('caseload data'!$C:$C,'divisional &amp; regional caseload%'!$T$22,'caseload data'!N:N),"")</f>
        <v/>
      </c>
      <c r="AE26" s="167" t="str">
        <f>IFERROR(SUMIFS('caseload data'!O:O,'caseload data'!$C:$C,'divisional &amp; regional caseload%'!$T$22,'caseload data'!$D:$D,"TPO")/SUMIF('caseload data'!$C:$C,'divisional &amp; regional caseload%'!$T$22,'caseload data'!O:O),"")</f>
        <v/>
      </c>
      <c r="AF26" s="167" t="str">
        <f>IFERROR(SUMIFS('caseload data'!P:P,'caseload data'!$C:$C,'divisional &amp; regional caseload%'!$T$22,'caseload data'!$D:$D,"TPO")/SUMIF('caseload data'!$C:$C,'divisional &amp; regional caseload%'!$T$22,'caseload data'!P:P),"")</f>
        <v/>
      </c>
      <c r="AG26" s="167" t="str">
        <f>IFERROR(SUMIFS('caseload data'!Q:Q,'caseload data'!$C:$C,'divisional &amp; regional caseload%'!$T$22,'caseload data'!$D:$D,"TPO")/SUMIF('caseload data'!$C:$C,'divisional &amp; regional caseload%'!$T$22,'caseload data'!Q:Q),"")</f>
        <v/>
      </c>
      <c r="AH26" s="167" t="str">
        <f>IFERROR(SUMIFS('caseload data'!R:R,'caseload data'!$C:$C,'divisional &amp; regional caseload%'!$T$22,'caseload data'!$D:$D,"TPO")/SUMIF('caseload data'!$C:$C,'divisional &amp; regional caseload%'!$T$22,'caseload data'!R:R),"")</f>
        <v/>
      </c>
      <c r="AI26" s="167" t="str">
        <f>IFERROR(SUMIFS('caseload data'!S:S,'caseload data'!$C:$C,'divisional &amp; regional caseload%'!$T$22,'caseload data'!$D:$D,"TPO")/SUMIF('caseload data'!$C:$C,'divisional &amp; regional caseload%'!$T$22,'caseload data'!S:S),"")</f>
        <v/>
      </c>
      <c r="AJ26" s="167" t="str">
        <f>IFERROR(SUMIFS('caseload data'!T:T,'caseload data'!$C:$C,'divisional &amp; regional caseload%'!$T$22,'caseload data'!$D:$D,"TPO")/SUMIF('caseload data'!$C:$C,'divisional &amp; regional caseload%'!$T$22,'caseload data'!T:T),"")</f>
        <v/>
      </c>
    </row>
    <row r="27" spans="2:36" x14ac:dyDescent="0.15">
      <c r="B27" s="98" t="s">
        <v>954</v>
      </c>
      <c r="C27" s="167" t="e">
        <f>SUMIFS('caseload data'!E:E,'caseload data'!$C:$C,'divisional &amp; regional caseload%'!$B$22,'caseload data'!$D:$D,"SPO")/SUMIF('caseload data'!$C:$C,'divisional &amp; regional caseload%'!$B$22,'caseload data'!E:E)</f>
        <v>#DIV/0!</v>
      </c>
      <c r="D27" s="167" t="e">
        <f>SUMIFS('caseload data'!F:F,'caseload data'!$C:$C,'divisional &amp; regional caseload%'!$B$22,'caseload data'!$D:$D,"SPO")/SUMIF('caseload data'!$C:$C,'divisional &amp; regional caseload%'!$B$22,'caseload data'!F:F)</f>
        <v>#DIV/0!</v>
      </c>
      <c r="E27" s="167" t="e">
        <f>SUMIFS('caseload data'!G:G,'caseload data'!$C:$C,'divisional &amp; regional caseload%'!$B$22,'caseload data'!$D:$D,"SPO")/SUMIF('caseload data'!$C:$C,'divisional &amp; regional caseload%'!$B$22,'caseload data'!G:G)</f>
        <v>#DIV/0!</v>
      </c>
      <c r="F27" s="167" t="e">
        <f>SUMIFS('caseload data'!H:H,'caseload data'!$C:$C,'divisional &amp; regional caseload%'!$B$22,'caseload data'!$D:$D,"SPO")/SUMIF('caseload data'!$C:$C,'divisional &amp; regional caseload%'!$B$22,'caseload data'!H:H)</f>
        <v>#DIV/0!</v>
      </c>
      <c r="G27" s="167" t="e">
        <f>SUMIFS('caseload data'!I:I,'caseload data'!$C:$C,'divisional &amp; regional caseload%'!$B$22,'caseload data'!$D:$D,"SPO")/SUMIF('caseload data'!$C:$C,'divisional &amp; regional caseload%'!$B$22,'caseload data'!I:I)</f>
        <v>#DIV/0!</v>
      </c>
      <c r="H27" s="167" t="e">
        <f>SUMIFS('caseload data'!J:J,'caseload data'!$C:$C,'divisional &amp; regional caseload%'!$B$22,'caseload data'!$D:$D,"SPO")/SUMIF('caseload data'!$C:$C,'divisional &amp; regional caseload%'!$B$22,'caseload data'!J:J)</f>
        <v>#DIV/0!</v>
      </c>
      <c r="I27" s="167" t="e">
        <f>SUMIFS('caseload data'!K:K,'caseload data'!$C:$C,'divisional &amp; regional caseload%'!$B$22,'caseload data'!$D:$D,"SPO")/SUMIF('caseload data'!$C:$C,'divisional &amp; regional caseload%'!$B$22,'caseload data'!K:K)</f>
        <v>#DIV/0!</v>
      </c>
      <c r="J27" s="167" t="e">
        <f>SUMIFS('caseload data'!L:L,'caseload data'!$C:$C,'divisional &amp; regional caseload%'!$B$22,'caseload data'!$D:$D,"SPO")/SUMIF('caseload data'!$C:$C,'divisional &amp; regional caseload%'!$B$22,'caseload data'!L:L)</f>
        <v>#DIV/0!</v>
      </c>
      <c r="K27" s="167" t="e">
        <f>SUMIFS('caseload data'!M:M,'caseload data'!$C:$C,'divisional &amp; regional caseload%'!$B$22,'caseload data'!$D:$D,"SPO")/SUMIF('caseload data'!$C:$C,'divisional &amp; regional caseload%'!$B$22,'caseload data'!M:M)</f>
        <v>#DIV/0!</v>
      </c>
      <c r="L27" s="167" t="e">
        <f>SUMIFS('caseload data'!N:N,'caseload data'!$C:$C,'divisional &amp; regional caseload%'!$B$22,'caseload data'!$D:$D,"SPO")/SUMIF('caseload data'!$C:$C,'divisional &amp; regional caseload%'!$B$22,'caseload data'!N:N)</f>
        <v>#DIV/0!</v>
      </c>
      <c r="M27" s="167" t="e">
        <f>SUMIFS('caseload data'!O:O,'caseload data'!$C:$C,'divisional &amp; regional caseload%'!$B$22,'caseload data'!$D:$D,"SPO")/SUMIF('caseload data'!$C:$C,'divisional &amp; regional caseload%'!$B$22,'caseload data'!O:O)</f>
        <v>#DIV/0!</v>
      </c>
      <c r="N27" s="167" t="e">
        <f>SUMIFS('caseload data'!P:P,'caseload data'!$C:$C,'divisional &amp; regional caseload%'!$B$22,'caseload data'!$D:$D,"SPO")/SUMIF('caseload data'!$C:$C,'divisional &amp; regional caseload%'!$B$22,'caseload data'!P:P)</f>
        <v>#DIV/0!</v>
      </c>
      <c r="O27" s="167" t="e">
        <f>SUMIFS('caseload data'!Q:Q,'caseload data'!$C:$C,'divisional &amp; regional caseload%'!$B$22,'caseload data'!$D:$D,"SPO")/SUMIF('caseload data'!$C:$C,'divisional &amp; regional caseload%'!$B$22,'caseload data'!Q:Q)</f>
        <v>#DIV/0!</v>
      </c>
      <c r="P27" s="167" t="e">
        <f>SUMIFS('caseload data'!R:R,'caseload data'!$C:$C,'divisional &amp; regional caseload%'!$B$22,'caseload data'!$D:$D,"SPO")/SUMIF('caseload data'!$C:$C,'divisional &amp; regional caseload%'!$B$22,'caseload data'!R:R)</f>
        <v>#DIV/0!</v>
      </c>
      <c r="Q27" s="167" t="e">
        <f>SUMIFS('caseload data'!S:S,'caseload data'!$C:$C,'divisional &amp; regional caseload%'!$B$22,'caseload data'!$D:$D,"SPO")/SUMIF('caseload data'!$C:$C,'divisional &amp; regional caseload%'!$B$22,'caseload data'!S:S)</f>
        <v>#DIV/0!</v>
      </c>
      <c r="R27" s="167" t="e">
        <f>SUMIFS('caseload data'!T:T,'caseload data'!$C:$C,'divisional &amp; regional caseload%'!$B$22,'caseload data'!$D:$D,"SPO")/SUMIF('caseload data'!$C:$C,'divisional &amp; regional caseload%'!$B$22,'caseload data'!T:T)</f>
        <v>#DIV/0!</v>
      </c>
      <c r="S27" s="64"/>
      <c r="T27" s="98" t="s">
        <v>954</v>
      </c>
      <c r="U27" s="167" t="str">
        <f>IFERROR(SUMIFS('caseload data'!E:E,'caseload data'!$C:$C,'divisional &amp; regional caseload%'!$T$22,'caseload data'!$D:$D,"SPO")/SUMIF('caseload data'!$C:$C,'divisional &amp; regional caseload%'!$T$22,'caseload data'!E:E),"")</f>
        <v/>
      </c>
      <c r="V27" s="167" t="str">
        <f>IFERROR(SUMIFS('caseload data'!F:F,'caseload data'!$C:$C,'divisional &amp; regional caseload%'!$T$22,'caseload data'!$D:$D,"SPO")/SUMIF('caseload data'!$C:$C,'divisional &amp; regional caseload%'!$T$22,'caseload data'!F:F),"")</f>
        <v/>
      </c>
      <c r="W27" s="167" t="str">
        <f>IFERROR(SUMIFS('caseload data'!G:G,'caseload data'!$C:$C,'divisional &amp; regional caseload%'!$T$22,'caseload data'!$D:$D,"SPO")/SUMIF('caseload data'!$C:$C,'divisional &amp; regional caseload%'!$T$22,'caseload data'!G:G),"")</f>
        <v/>
      </c>
      <c r="X27" s="167" t="str">
        <f>IFERROR(SUMIFS('caseload data'!H:H,'caseload data'!$C:$C,'divisional &amp; regional caseload%'!$T$22,'caseload data'!$D:$D,"SPO")/SUMIF('caseload data'!$C:$C,'divisional &amp; regional caseload%'!$T$22,'caseload data'!H:H),"")</f>
        <v/>
      </c>
      <c r="Y27" s="167" t="str">
        <f>IFERROR(SUMIFS('caseload data'!I:I,'caseload data'!$C:$C,'divisional &amp; regional caseload%'!$T$22,'caseload data'!$D:$D,"SPO")/SUMIF('caseload data'!$C:$C,'divisional &amp; regional caseload%'!$T$22,'caseload data'!I:I),"")</f>
        <v/>
      </c>
      <c r="Z27" s="167" t="str">
        <f>IFERROR(SUMIFS('caseload data'!J:J,'caseload data'!$C:$C,'divisional &amp; regional caseload%'!$T$22,'caseload data'!$D:$D,"SPO")/SUMIF('caseload data'!$C:$C,'divisional &amp; regional caseload%'!$T$22,'caseload data'!J:J),"")</f>
        <v/>
      </c>
      <c r="AA27" s="167" t="str">
        <f>IFERROR(SUMIFS('caseload data'!K:K,'caseload data'!$C:$C,'divisional &amp; regional caseload%'!$T$22,'caseload data'!$D:$D,"SPO")/SUMIF('caseload data'!$C:$C,'divisional &amp; regional caseload%'!$T$22,'caseload data'!K:K),"")</f>
        <v/>
      </c>
      <c r="AB27" s="167" t="str">
        <f>IFERROR(SUMIFS('caseload data'!L:L,'caseload data'!$C:$C,'divisional &amp; regional caseload%'!$T$22,'caseload data'!$D:$D,"SPO")/SUMIF('caseload data'!$C:$C,'divisional &amp; regional caseload%'!$T$22,'caseload data'!L:L),"")</f>
        <v/>
      </c>
      <c r="AC27" s="167" t="str">
        <f>IFERROR(SUMIFS('caseload data'!M:M,'caseload data'!$C:$C,'divisional &amp; regional caseload%'!$T$22,'caseload data'!$D:$D,"SPO")/SUMIF('caseload data'!$C:$C,'divisional &amp; regional caseload%'!$T$22,'caseload data'!M:M),"")</f>
        <v/>
      </c>
      <c r="AD27" s="167" t="str">
        <f>IFERROR(SUMIFS('caseload data'!N:N,'caseload data'!$C:$C,'divisional &amp; regional caseload%'!$T$22,'caseload data'!$D:$D,"SPO")/SUMIF('caseload data'!$C:$C,'divisional &amp; regional caseload%'!$T$22,'caseload data'!N:N),"")</f>
        <v/>
      </c>
      <c r="AE27" s="167" t="str">
        <f>IFERROR(SUMIFS('caseload data'!O:O,'caseload data'!$C:$C,'divisional &amp; regional caseload%'!$T$22,'caseload data'!$D:$D,"SPO")/SUMIF('caseload data'!$C:$C,'divisional &amp; regional caseload%'!$T$22,'caseload data'!O:O),"")</f>
        <v/>
      </c>
      <c r="AF27" s="167" t="str">
        <f>IFERROR(SUMIFS('caseload data'!P:P,'caseload data'!$C:$C,'divisional &amp; regional caseload%'!$T$22,'caseload data'!$D:$D,"SPO")/SUMIF('caseload data'!$C:$C,'divisional &amp; regional caseload%'!$T$22,'caseload data'!P:P),"")</f>
        <v/>
      </c>
      <c r="AG27" s="167" t="str">
        <f>IFERROR(SUMIFS('caseload data'!Q:Q,'caseload data'!$C:$C,'divisional &amp; regional caseload%'!$T$22,'caseload data'!$D:$D,"SPO")/SUMIF('caseload data'!$C:$C,'divisional &amp; regional caseload%'!$T$22,'caseload data'!Q:Q),"")</f>
        <v/>
      </c>
      <c r="AH27" s="167" t="str">
        <f>IFERROR(SUMIFS('caseload data'!R:R,'caseload data'!$C:$C,'divisional &amp; regional caseload%'!$T$22,'caseload data'!$D:$D,"SPO")/SUMIF('caseload data'!$C:$C,'divisional &amp; regional caseload%'!$T$22,'caseload data'!R:R),"")</f>
        <v/>
      </c>
      <c r="AI27" s="167" t="str">
        <f>IFERROR(SUMIFS('caseload data'!S:S,'caseload data'!$C:$C,'divisional &amp; regional caseload%'!$T$22,'caseload data'!$D:$D,"SPO")/SUMIF('caseload data'!$C:$C,'divisional &amp; regional caseload%'!$T$22,'caseload data'!S:S),"")</f>
        <v/>
      </c>
      <c r="AJ27" s="167" t="str">
        <f>IFERROR(SUMIFS('caseload data'!T:T,'caseload data'!$C:$C,'divisional &amp; regional caseload%'!$T$22,'caseload data'!$D:$D,"SPO")/SUMIF('caseload data'!$C:$C,'divisional &amp; regional caseload%'!$T$22,'caseload data'!T:T),"")</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288" t="str">
        <f>HLOOKUP($B$5,Region_Table,8,0)</f>
        <v>Nottinghamshire - N53</v>
      </c>
      <c r="C29" s="556" t="s">
        <v>1043</v>
      </c>
      <c r="D29" s="557"/>
      <c r="E29" s="557"/>
      <c r="F29" s="557"/>
      <c r="G29" s="557"/>
      <c r="H29" s="557"/>
      <c r="I29" s="557"/>
      <c r="J29" s="557"/>
      <c r="K29" s="557"/>
      <c r="L29" s="557"/>
      <c r="M29" s="558"/>
      <c r="N29" s="558"/>
      <c r="O29" s="559"/>
      <c r="P29" s="543">
        <f>SUMIF('caseload data'!$C:$C,'divisional &amp; regional caseload%'!B29,'caseload data'!V:V)</f>
        <v>0</v>
      </c>
      <c r="Q29" s="560"/>
      <c r="R29" s="561"/>
      <c r="S29" s="64"/>
      <c r="T29" s="288" t="str">
        <f>HLOOKUP($B$5,Region_Table,9,0)</f>
        <v>Unpaid Work and Attendance Centres - N53</v>
      </c>
      <c r="U29" s="556" t="s">
        <v>1043</v>
      </c>
      <c r="V29" s="557"/>
      <c r="W29" s="557"/>
      <c r="X29" s="557"/>
      <c r="Y29" s="557"/>
      <c r="Z29" s="557"/>
      <c r="AA29" s="557"/>
      <c r="AB29" s="557"/>
      <c r="AC29" s="557"/>
      <c r="AD29" s="557"/>
      <c r="AE29" s="558"/>
      <c r="AF29" s="558"/>
      <c r="AG29" s="559"/>
      <c r="AH29" s="543">
        <f>SUMIF('caseload data'!$C:$C,'divisional &amp; regional caseload%'!T29,'caseload data'!V:V)</f>
        <v>0</v>
      </c>
      <c r="AI29" s="560"/>
      <c r="AJ29" s="561"/>
    </row>
    <row r="30" spans="2:36" x14ac:dyDescent="0.15">
      <c r="B30" s="95" t="s">
        <v>951</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951</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167" t="str">
        <f>IFERROR(SUMIFS('caseload data'!E:E,'caseload data'!$C:$C,'divisional &amp; regional caseload%'!$B$29,'caseload data'!$D:$D,"PO")/SUMIF('caseload data'!$C:$C,'divisional &amp; regional caseload%'!$B$29,'caseload data'!E:E),"")</f>
        <v/>
      </c>
      <c r="D31" s="167" t="str">
        <f>IFERROR(SUMIFS('caseload data'!F:F,'caseload data'!$C:$C,'divisional &amp; regional caseload%'!$B$29,'caseload data'!$D:$D,"PO")/SUMIF('caseload data'!$C:$C,'divisional &amp; regional caseload%'!$B$29,'caseload data'!F:F),"")</f>
        <v/>
      </c>
      <c r="E31" s="167" t="str">
        <f>IFERROR(SUMIFS('caseload data'!G:G,'caseload data'!$C:$C,'divisional &amp; regional caseload%'!$B$29,'caseload data'!$D:$D,"PO")/SUMIF('caseload data'!$C:$C,'divisional &amp; regional caseload%'!$B$29,'caseload data'!G:G),"")</f>
        <v/>
      </c>
      <c r="F31" s="167" t="str">
        <f>IFERROR(SUMIFS('caseload data'!H:H,'caseload data'!$C:$C,'divisional &amp; regional caseload%'!$B$29,'caseload data'!$D:$D,"PO")/SUMIF('caseload data'!$C:$C,'divisional &amp; regional caseload%'!$B$29,'caseload data'!H:H),"")</f>
        <v/>
      </c>
      <c r="G31" s="167" t="str">
        <f>IFERROR(SUMIFS('caseload data'!I:I,'caseload data'!$C:$C,'divisional &amp; regional caseload%'!$B$29,'caseload data'!$D:$D,"PO")/SUMIF('caseload data'!$C:$C,'divisional &amp; regional caseload%'!$B$29,'caseload data'!I:I),"")</f>
        <v/>
      </c>
      <c r="H31" s="167" t="str">
        <f>IFERROR(SUMIFS('caseload data'!J:J,'caseload data'!$C:$C,'divisional &amp; regional caseload%'!$B$29,'caseload data'!$D:$D,"PO")/SUMIF('caseload data'!$C:$C,'divisional &amp; regional caseload%'!$B$29,'caseload data'!J:J),"")</f>
        <v/>
      </c>
      <c r="I31" s="167" t="str">
        <f>IFERROR(SUMIFS('caseload data'!K:K,'caseload data'!$C:$C,'divisional &amp; regional caseload%'!$B$29,'caseload data'!$D:$D,"PO")/SUMIF('caseload data'!$C:$C,'divisional &amp; regional caseload%'!$B$29,'caseload data'!K:K),"")</f>
        <v/>
      </c>
      <c r="J31" s="167" t="str">
        <f>IFERROR(SUMIFS('caseload data'!L:L,'caseload data'!$C:$C,'divisional &amp; regional caseload%'!$B$29,'caseload data'!$D:$D,"PO")/SUMIF('caseload data'!$C:$C,'divisional &amp; regional caseload%'!$B$29,'caseload data'!L:L),"")</f>
        <v/>
      </c>
      <c r="K31" s="167" t="str">
        <f>IFERROR(SUMIFS('caseload data'!M:M,'caseload data'!$C:$C,'divisional &amp; regional caseload%'!$B$29,'caseload data'!$D:$D,"PO")/SUMIF('caseload data'!$C:$C,'divisional &amp; regional caseload%'!$B$29,'caseload data'!M:M),"")</f>
        <v/>
      </c>
      <c r="L31" s="167" t="str">
        <f>IFERROR(SUMIFS('caseload data'!N:N,'caseload data'!$C:$C,'divisional &amp; regional caseload%'!$B$29,'caseload data'!$D:$D,"PO")/SUMIF('caseload data'!$C:$C,'divisional &amp; regional caseload%'!$B$29,'caseload data'!N:N),"")</f>
        <v/>
      </c>
      <c r="M31" s="167" t="str">
        <f>IFERROR(SUMIFS('caseload data'!O:O,'caseload data'!$C:$C,'divisional &amp; regional caseload%'!$B$29,'caseload data'!$D:$D,"PO")/SUMIF('caseload data'!$C:$C,'divisional &amp; regional caseload%'!$B$29,'caseload data'!O:O),"")</f>
        <v/>
      </c>
      <c r="N31" s="167" t="str">
        <f>IFERROR(SUMIFS('caseload data'!P:P,'caseload data'!$C:$C,'divisional &amp; regional caseload%'!$B$29,'caseload data'!$D:$D,"PO")/SUMIF('caseload data'!$C:$C,'divisional &amp; regional caseload%'!$B$29,'caseload data'!P:P),"")</f>
        <v/>
      </c>
      <c r="O31" s="167" t="str">
        <f>IFERROR(SUMIFS('caseload data'!Q:Q,'caseload data'!$C:$C,'divisional &amp; regional caseload%'!$B$29,'caseload data'!$D:$D,"PO")/SUMIF('caseload data'!$C:$C,'divisional &amp; regional caseload%'!$B$29,'caseload data'!Q:Q),"")</f>
        <v/>
      </c>
      <c r="P31" s="167" t="str">
        <f>IFERROR(SUMIFS('caseload data'!R:R,'caseload data'!$C:$C,'divisional &amp; regional caseload%'!$B$29,'caseload data'!$D:$D,"PO")/SUMIF('caseload data'!$C:$C,'divisional &amp; regional caseload%'!$B$29,'caseload data'!R:R),"")</f>
        <v/>
      </c>
      <c r="Q31" s="167" t="str">
        <f>IFERROR(SUMIFS('caseload data'!S:S,'caseload data'!$C:$C,'divisional &amp; regional caseload%'!$B$29,'caseload data'!$D:$D,"PO")/SUMIF('caseload data'!$C:$C,'divisional &amp; regional caseload%'!$B$29,'caseload data'!S:S),"")</f>
        <v/>
      </c>
      <c r="R31" s="167" t="str">
        <f>IFERROR(SUMIFS('caseload data'!T:T,'caseload data'!$C:$C,'divisional &amp; regional caseload%'!$B$29,'caseload data'!$D:$D,"PO")/SUMIF('caseload data'!$C:$C,'divisional &amp; regional caseload%'!$B$29,'caseload data'!T:T),"")</f>
        <v/>
      </c>
      <c r="S31" s="64"/>
      <c r="T31" s="96" t="s">
        <v>947</v>
      </c>
      <c r="U31" s="167" t="str">
        <f>IFERROR(SUMIFS('caseload data'!E:E,'caseload data'!$C:$C,'divisional &amp; regional caseload%'!$T$29,'caseload data'!$D:$D,"PO")/SUMIF('caseload data'!$C:$C,'divisional &amp; regional caseload%'!$T$29,'caseload data'!E:E),"")</f>
        <v/>
      </c>
      <c r="V31" s="167" t="str">
        <f>IFERROR(SUMIFS('caseload data'!F:F,'caseload data'!$C:$C,'divisional &amp; regional caseload%'!$T$29,'caseload data'!$D:$D,"PO")/SUMIF('caseload data'!$C:$C,'divisional &amp; regional caseload%'!$T$29,'caseload data'!F:F),"")</f>
        <v/>
      </c>
      <c r="W31" s="167" t="str">
        <f>IFERROR(SUMIFS('caseload data'!G:G,'caseload data'!$C:$C,'divisional &amp; regional caseload%'!$T$29,'caseload data'!$D:$D,"PO")/SUMIF('caseload data'!$C:$C,'divisional &amp; regional caseload%'!$T$29,'caseload data'!G:G),"")</f>
        <v/>
      </c>
      <c r="X31" s="167" t="str">
        <f>IFERROR(SUMIFS('caseload data'!H:H,'caseload data'!$C:$C,'divisional &amp; regional caseload%'!$T$29,'caseload data'!$D:$D,"PO")/SUMIF('caseload data'!$C:$C,'divisional &amp; regional caseload%'!$T$29,'caseload data'!H:H),"")</f>
        <v/>
      </c>
      <c r="Y31" s="167" t="str">
        <f>IFERROR(SUMIFS('caseload data'!I:I,'caseload data'!$C:$C,'divisional &amp; regional caseload%'!$T$29,'caseload data'!$D:$D,"PO")/SUMIF('caseload data'!$C:$C,'divisional &amp; regional caseload%'!$T$29,'caseload data'!I:I),"")</f>
        <v/>
      </c>
      <c r="Z31" s="167" t="str">
        <f>IFERROR(SUMIFS('caseload data'!J:J,'caseload data'!$C:$C,'divisional &amp; regional caseload%'!$T$29,'caseload data'!$D:$D,"PO")/SUMIF('caseload data'!$C:$C,'divisional &amp; regional caseload%'!$T$29,'caseload data'!J:J),"")</f>
        <v/>
      </c>
      <c r="AA31" s="167" t="str">
        <f>IFERROR(SUMIFS('caseload data'!K:K,'caseload data'!$C:$C,'divisional &amp; regional caseload%'!$T$29,'caseload data'!$D:$D,"PO")/SUMIF('caseload data'!$C:$C,'divisional &amp; regional caseload%'!$T$29,'caseload data'!K:K),"")</f>
        <v/>
      </c>
      <c r="AB31" s="167" t="str">
        <f>IFERROR(SUMIFS('caseload data'!L:L,'caseload data'!$C:$C,'divisional &amp; regional caseload%'!$T$29,'caseload data'!$D:$D,"PO")/SUMIF('caseload data'!$C:$C,'divisional &amp; regional caseload%'!$T$29,'caseload data'!L:L),"")</f>
        <v/>
      </c>
      <c r="AC31" s="167" t="str">
        <f>IFERROR(SUMIFS('caseload data'!M:M,'caseload data'!$C:$C,'divisional &amp; regional caseload%'!$T$29,'caseload data'!$D:$D,"PO")/SUMIF('caseload data'!$C:$C,'divisional &amp; regional caseload%'!$T$29,'caseload data'!M:M),"")</f>
        <v/>
      </c>
      <c r="AD31" s="167" t="str">
        <f>IFERROR(SUMIFS('caseload data'!N:N,'caseload data'!$C:$C,'divisional &amp; regional caseload%'!$T$29,'caseload data'!$D:$D,"PO")/SUMIF('caseload data'!$C:$C,'divisional &amp; regional caseload%'!$T$29,'caseload data'!N:N),"")</f>
        <v/>
      </c>
      <c r="AE31" s="167" t="str">
        <f>IFERROR(SUMIFS('caseload data'!O:O,'caseload data'!$C:$C,'divisional &amp; regional caseload%'!$T$29,'caseload data'!$D:$D,"PO")/SUMIF('caseload data'!$C:$C,'divisional &amp; regional caseload%'!$T$29,'caseload data'!O:O),"")</f>
        <v/>
      </c>
      <c r="AF31" s="167" t="str">
        <f>IFERROR(SUMIFS('caseload data'!P:P,'caseload data'!$C:$C,'divisional &amp; regional caseload%'!$T$29,'caseload data'!$D:$D,"PO")/SUMIF('caseload data'!$C:$C,'divisional &amp; regional caseload%'!$T$29,'caseload data'!P:P),"")</f>
        <v/>
      </c>
      <c r="AG31" s="167" t="str">
        <f>IFERROR(SUMIFS('caseload data'!Q:Q,'caseload data'!$C:$C,'divisional &amp; regional caseload%'!$T$29,'caseload data'!$D:$D,"PO")/SUMIF('caseload data'!$C:$C,'divisional &amp; regional caseload%'!$T$29,'caseload data'!Q:Q),"")</f>
        <v/>
      </c>
      <c r="AH31" s="167" t="str">
        <f>IFERROR(SUMIFS('caseload data'!R:R,'caseload data'!$C:$C,'divisional &amp; regional caseload%'!$T$29,'caseload data'!$D:$D,"PO")/SUMIF('caseload data'!$C:$C,'divisional &amp; regional caseload%'!$T$29,'caseload data'!R:R),"")</f>
        <v/>
      </c>
      <c r="AI31" s="167" t="str">
        <f>IFERROR(SUMIFS('caseload data'!S:S,'caseload data'!$C:$C,'divisional &amp; regional caseload%'!$T$29,'caseload data'!$D:$D,"PO")/SUMIF('caseload data'!$C:$C,'divisional &amp; regional caseload%'!$T$29,'caseload data'!S:S),"")</f>
        <v/>
      </c>
      <c r="AJ31" s="167" t="str">
        <f>IFERROR(SUMIFS('caseload data'!T:T,'caseload data'!$C:$C,'divisional &amp; regional caseload%'!$T$29,'caseload data'!$D:$D,"PO")/SUMIF('caseload data'!$C:$C,'divisional &amp; regional caseload%'!$T$29,'caseload data'!T:T),"")</f>
        <v/>
      </c>
    </row>
    <row r="32" spans="2:36" x14ac:dyDescent="0.15">
      <c r="B32" s="97" t="s">
        <v>952</v>
      </c>
      <c r="C32" s="167" t="str">
        <f>IFERROR(SUMIFS('caseload data'!E:E,'caseload data'!$C:$C,'divisional &amp; regional caseload%'!$B$29,'caseload data'!$D:$D,"PSO")/SUMIF('caseload data'!$C:$C,'divisional &amp; regional caseload%'!$B$29,'caseload data'!E:E),"")</f>
        <v/>
      </c>
      <c r="D32" s="167" t="str">
        <f>IFERROR(SUMIFS('caseload data'!F:F,'caseload data'!$C:$C,'divisional &amp; regional caseload%'!$B$29,'caseload data'!$D:$D,"PSO")/SUMIF('caseload data'!$C:$C,'divisional &amp; regional caseload%'!$B$29,'caseload data'!F:F),"")</f>
        <v/>
      </c>
      <c r="E32" s="167" t="str">
        <f>IFERROR(SUMIFS('caseload data'!G:G,'caseload data'!$C:$C,'divisional &amp; regional caseload%'!$B$29,'caseload data'!$D:$D,"PSO")/SUMIF('caseload data'!$C:$C,'divisional &amp; regional caseload%'!$B$29,'caseload data'!G:G),"")</f>
        <v/>
      </c>
      <c r="F32" s="167" t="str">
        <f>IFERROR(SUMIFS('caseload data'!H:H,'caseload data'!$C:$C,'divisional &amp; regional caseload%'!$B$29,'caseload data'!$D:$D,"PSO")/SUMIF('caseload data'!$C:$C,'divisional &amp; regional caseload%'!$B$29,'caseload data'!H:H),"")</f>
        <v/>
      </c>
      <c r="G32" s="167" t="str">
        <f>IFERROR(SUMIFS('caseload data'!I:I,'caseload data'!$C:$C,'divisional &amp; regional caseload%'!$B$29,'caseload data'!$D:$D,"PSO")/SUMIF('caseload data'!$C:$C,'divisional &amp; regional caseload%'!$B$29,'caseload data'!I:I),"")</f>
        <v/>
      </c>
      <c r="H32" s="167" t="str">
        <f>IFERROR(SUMIFS('caseload data'!J:J,'caseload data'!$C:$C,'divisional &amp; regional caseload%'!$B$29,'caseload data'!$D:$D,"PSO")/SUMIF('caseload data'!$C:$C,'divisional &amp; regional caseload%'!$B$29,'caseload data'!J:J),"")</f>
        <v/>
      </c>
      <c r="I32" s="167" t="str">
        <f>IFERROR(SUMIFS('caseload data'!K:K,'caseload data'!$C:$C,'divisional &amp; regional caseload%'!$B$29,'caseload data'!$D:$D,"PSO")/SUMIF('caseload data'!$C:$C,'divisional &amp; regional caseload%'!$B$29,'caseload data'!K:K),"")</f>
        <v/>
      </c>
      <c r="J32" s="167" t="str">
        <f>IFERROR(SUMIFS('caseload data'!L:L,'caseload data'!$C:$C,'divisional &amp; regional caseload%'!$B$29,'caseload data'!$D:$D,"PSO")/SUMIF('caseload data'!$C:$C,'divisional &amp; regional caseload%'!$B$29,'caseload data'!L:L),"")</f>
        <v/>
      </c>
      <c r="K32" s="167" t="str">
        <f>IFERROR(SUMIFS('caseload data'!M:M,'caseload data'!$C:$C,'divisional &amp; regional caseload%'!$B$29,'caseload data'!$D:$D,"PSO")/SUMIF('caseload data'!$C:$C,'divisional &amp; regional caseload%'!$B$29,'caseload data'!M:M),"")</f>
        <v/>
      </c>
      <c r="L32" s="167" t="str">
        <f>IFERROR(SUMIFS('caseload data'!N:N,'caseload data'!$C:$C,'divisional &amp; regional caseload%'!$B$29,'caseload data'!$D:$D,"PSO")/SUMIF('caseload data'!$C:$C,'divisional &amp; regional caseload%'!$B$29,'caseload data'!N:N),"")</f>
        <v/>
      </c>
      <c r="M32" s="167" t="str">
        <f>IFERROR(SUMIFS('caseload data'!O:O,'caseload data'!$C:$C,'divisional &amp; regional caseload%'!$B$29,'caseload data'!$D:$D,"PSO")/SUMIF('caseload data'!$C:$C,'divisional &amp; regional caseload%'!$B$29,'caseload data'!O:O),"")</f>
        <v/>
      </c>
      <c r="N32" s="167" t="str">
        <f>IFERROR(SUMIFS('caseload data'!P:P,'caseload data'!$C:$C,'divisional &amp; regional caseload%'!$B$29,'caseload data'!$D:$D,"PSO")/SUMIF('caseload data'!$C:$C,'divisional &amp; regional caseload%'!$B$29,'caseload data'!P:P),"")</f>
        <v/>
      </c>
      <c r="O32" s="167" t="str">
        <f>IFERROR(SUMIFS('caseload data'!Q:Q,'caseload data'!$C:$C,'divisional &amp; regional caseload%'!$B$29,'caseload data'!$D:$D,"PSO")/SUMIF('caseload data'!$C:$C,'divisional &amp; regional caseload%'!$B$29,'caseload data'!Q:Q),"")</f>
        <v/>
      </c>
      <c r="P32" s="167" t="str">
        <f>IFERROR(SUMIFS('caseload data'!R:R,'caseload data'!$C:$C,'divisional &amp; regional caseload%'!$B$29,'caseload data'!$D:$D,"PSO")/SUMIF('caseload data'!$C:$C,'divisional &amp; regional caseload%'!$B$29,'caseload data'!R:R),"")</f>
        <v/>
      </c>
      <c r="Q32" s="167" t="str">
        <f>IFERROR(SUMIFS('caseload data'!S:S,'caseload data'!$C:$C,'divisional &amp; regional caseload%'!$B$29,'caseload data'!$D:$D,"PSO")/SUMIF('caseload data'!$C:$C,'divisional &amp; regional caseload%'!$B$29,'caseload data'!S:S),"")</f>
        <v/>
      </c>
      <c r="R32" s="167" t="str">
        <f>IFERROR(SUMIFS('caseload data'!T:T,'caseload data'!$C:$C,'divisional &amp; regional caseload%'!$B$29,'caseload data'!$D:$D,"PSO")/SUMIF('caseload data'!$C:$C,'divisional &amp; regional caseload%'!$B$29,'caseload data'!T:T),"")</f>
        <v/>
      </c>
      <c r="S32" s="64"/>
      <c r="T32" s="97" t="s">
        <v>952</v>
      </c>
      <c r="U32" s="167" t="str">
        <f>IFERROR(SUMIFS('caseload data'!E:E,'caseload data'!$C:$C,'divisional &amp; regional caseload%'!$T$29,'caseload data'!$D:$D,"PSO")/SUMIF('caseload data'!$C:$C,'divisional &amp; regional caseload%'!$T$29,'caseload data'!E:E),"")</f>
        <v/>
      </c>
      <c r="V32" s="167" t="str">
        <f>IFERROR(SUMIFS('caseload data'!F:F,'caseload data'!$C:$C,'divisional &amp; regional caseload%'!$T$29,'caseload data'!$D:$D,"PSO")/SUMIF('caseload data'!$C:$C,'divisional &amp; regional caseload%'!$T$29,'caseload data'!F:F),"")</f>
        <v/>
      </c>
      <c r="W32" s="167" t="str">
        <f>IFERROR(SUMIFS('caseload data'!G:G,'caseload data'!$C:$C,'divisional &amp; regional caseload%'!$T$29,'caseload data'!$D:$D,"PSO")/SUMIF('caseload data'!$C:$C,'divisional &amp; regional caseload%'!$T$29,'caseload data'!G:G),"")</f>
        <v/>
      </c>
      <c r="X32" s="167" t="str">
        <f>IFERROR(SUMIFS('caseload data'!H:H,'caseload data'!$C:$C,'divisional &amp; regional caseload%'!$T$29,'caseload data'!$D:$D,"PSO")/SUMIF('caseload data'!$C:$C,'divisional &amp; regional caseload%'!$T$29,'caseload data'!H:H),"")</f>
        <v/>
      </c>
      <c r="Y32" s="167" t="str">
        <f>IFERROR(SUMIFS('caseload data'!I:I,'caseload data'!$C:$C,'divisional &amp; regional caseload%'!$T$29,'caseload data'!$D:$D,"PSO")/SUMIF('caseload data'!$C:$C,'divisional &amp; regional caseload%'!$T$29,'caseload data'!I:I),"")</f>
        <v/>
      </c>
      <c r="Z32" s="167" t="str">
        <f>IFERROR(SUMIFS('caseload data'!J:J,'caseload data'!$C:$C,'divisional &amp; regional caseload%'!$T$29,'caseload data'!$D:$D,"PSO")/SUMIF('caseload data'!$C:$C,'divisional &amp; regional caseload%'!$T$29,'caseload data'!J:J),"")</f>
        <v/>
      </c>
      <c r="AA32" s="167" t="str">
        <f>IFERROR(SUMIFS('caseload data'!K:K,'caseload data'!$C:$C,'divisional &amp; regional caseload%'!$T$29,'caseload data'!$D:$D,"PSO")/SUMIF('caseload data'!$C:$C,'divisional &amp; regional caseload%'!$T$29,'caseload data'!K:K),"")</f>
        <v/>
      </c>
      <c r="AB32" s="167" t="str">
        <f>IFERROR(SUMIFS('caseload data'!L:L,'caseload data'!$C:$C,'divisional &amp; regional caseload%'!$T$29,'caseload data'!$D:$D,"PSO")/SUMIF('caseload data'!$C:$C,'divisional &amp; regional caseload%'!$T$29,'caseload data'!L:L),"")</f>
        <v/>
      </c>
      <c r="AC32" s="167" t="str">
        <f>IFERROR(SUMIFS('caseload data'!M:M,'caseload data'!$C:$C,'divisional &amp; regional caseload%'!$T$29,'caseload data'!$D:$D,"PSO")/SUMIF('caseload data'!$C:$C,'divisional &amp; regional caseload%'!$T$29,'caseload data'!M:M),"")</f>
        <v/>
      </c>
      <c r="AD32" s="167" t="str">
        <f>IFERROR(SUMIFS('caseload data'!N:N,'caseload data'!$C:$C,'divisional &amp; regional caseload%'!$T$29,'caseload data'!$D:$D,"PSO")/SUMIF('caseload data'!$C:$C,'divisional &amp; regional caseload%'!$T$29,'caseload data'!N:N),"")</f>
        <v/>
      </c>
      <c r="AE32" s="167" t="str">
        <f>IFERROR(SUMIFS('caseload data'!O:O,'caseload data'!$C:$C,'divisional &amp; regional caseload%'!$T$29,'caseload data'!$D:$D,"PSO")/SUMIF('caseload data'!$C:$C,'divisional &amp; regional caseload%'!$T$29,'caseload data'!O:O),"")</f>
        <v/>
      </c>
      <c r="AF32" s="167" t="str">
        <f>IFERROR(SUMIFS('caseload data'!P:P,'caseload data'!$C:$C,'divisional &amp; regional caseload%'!$T$29,'caseload data'!$D:$D,"PSO")/SUMIF('caseload data'!$C:$C,'divisional &amp; regional caseload%'!$T$29,'caseload data'!P:P),"")</f>
        <v/>
      </c>
      <c r="AG32" s="167" t="str">
        <f>IFERROR(SUMIFS('caseload data'!Q:Q,'caseload data'!$C:$C,'divisional &amp; regional caseload%'!$T$29,'caseload data'!$D:$D,"PSO")/SUMIF('caseload data'!$C:$C,'divisional &amp; regional caseload%'!$T$29,'caseload data'!Q:Q),"")</f>
        <v/>
      </c>
      <c r="AH32" s="167" t="str">
        <f>IFERROR(SUMIFS('caseload data'!R:R,'caseload data'!$C:$C,'divisional &amp; regional caseload%'!$T$29,'caseload data'!$D:$D,"PSO")/SUMIF('caseload data'!$C:$C,'divisional &amp; regional caseload%'!$T$29,'caseload data'!R:R),"")</f>
        <v/>
      </c>
      <c r="AI32" s="167" t="str">
        <f>IFERROR(SUMIFS('caseload data'!S:S,'caseload data'!$C:$C,'divisional &amp; regional caseload%'!$T$29,'caseload data'!$D:$D,"PSO")/SUMIF('caseload data'!$C:$C,'divisional &amp; regional caseload%'!$T$29,'caseload data'!S:S),"")</f>
        <v/>
      </c>
      <c r="AJ32" s="167" t="str">
        <f>IFERROR(SUMIFS('caseload data'!T:T,'caseload data'!$C:$C,'divisional &amp; regional caseload%'!$T$29,'caseload data'!$D:$D,"PSO")/SUMIF('caseload data'!$C:$C,'divisional &amp; regional caseload%'!$T$29,'caseload data'!T:T),"")</f>
        <v/>
      </c>
    </row>
    <row r="33" spans="2:36" x14ac:dyDescent="0.15">
      <c r="B33" s="97" t="s">
        <v>953</v>
      </c>
      <c r="C33" s="167" t="str">
        <f>IFERROR(SUMIFS('caseload data'!E:E,'caseload data'!$C:$C,'divisional &amp; regional caseload%'!$B$29,'caseload data'!$D:$D,"TPO")/SUMIF('caseload data'!$C:$C,'divisional &amp; regional caseload%'!$B$29,'caseload data'!E:E),"")</f>
        <v/>
      </c>
      <c r="D33" s="167" t="str">
        <f>IFERROR(SUMIFS('caseload data'!F:F,'caseload data'!$C:$C,'divisional &amp; regional caseload%'!$B$29,'caseload data'!$D:$D,"TPO")/SUMIF('caseload data'!$C:$C,'divisional &amp; regional caseload%'!$B$29,'caseload data'!F:F),"")</f>
        <v/>
      </c>
      <c r="E33" s="167" t="str">
        <f>IFERROR(SUMIFS('caseload data'!G:G,'caseload data'!$C:$C,'divisional &amp; regional caseload%'!$B$29,'caseload data'!$D:$D,"TPO")/SUMIF('caseload data'!$C:$C,'divisional &amp; regional caseload%'!$B$29,'caseload data'!G:G),"")</f>
        <v/>
      </c>
      <c r="F33" s="167" t="str">
        <f>IFERROR(SUMIFS('caseload data'!H:H,'caseload data'!$C:$C,'divisional &amp; regional caseload%'!$B$29,'caseload data'!$D:$D,"TPO")/SUMIF('caseload data'!$C:$C,'divisional &amp; regional caseload%'!$B$29,'caseload data'!H:H),"")</f>
        <v/>
      </c>
      <c r="G33" s="167" t="str">
        <f>IFERROR(SUMIFS('caseload data'!I:I,'caseload data'!$C:$C,'divisional &amp; regional caseload%'!$B$29,'caseload data'!$D:$D,"TPO")/SUMIF('caseload data'!$C:$C,'divisional &amp; regional caseload%'!$B$29,'caseload data'!I:I),"")</f>
        <v/>
      </c>
      <c r="H33" s="167" t="str">
        <f>IFERROR(SUMIFS('caseload data'!J:J,'caseload data'!$C:$C,'divisional &amp; regional caseload%'!$B$29,'caseload data'!$D:$D,"TPO")/SUMIF('caseload data'!$C:$C,'divisional &amp; regional caseload%'!$B$29,'caseload data'!J:J),"")</f>
        <v/>
      </c>
      <c r="I33" s="167" t="str">
        <f>IFERROR(SUMIFS('caseload data'!K:K,'caseload data'!$C:$C,'divisional &amp; regional caseload%'!$B$29,'caseload data'!$D:$D,"TPO")/SUMIF('caseload data'!$C:$C,'divisional &amp; regional caseload%'!$B$29,'caseload data'!K:K),"")</f>
        <v/>
      </c>
      <c r="J33" s="167" t="str">
        <f>IFERROR(SUMIFS('caseload data'!L:L,'caseload data'!$C:$C,'divisional &amp; regional caseload%'!$B$29,'caseload data'!$D:$D,"TPO")/SUMIF('caseload data'!$C:$C,'divisional &amp; regional caseload%'!$B$29,'caseload data'!L:L),"")</f>
        <v/>
      </c>
      <c r="K33" s="167" t="str">
        <f>IFERROR(SUMIFS('caseload data'!M:M,'caseload data'!$C:$C,'divisional &amp; regional caseload%'!$B$29,'caseload data'!$D:$D,"TPO")/SUMIF('caseload data'!$C:$C,'divisional &amp; regional caseload%'!$B$29,'caseload data'!M:M),"")</f>
        <v/>
      </c>
      <c r="L33" s="167" t="str">
        <f>IFERROR(SUMIFS('caseload data'!N:N,'caseload data'!$C:$C,'divisional &amp; regional caseload%'!$B$29,'caseload data'!$D:$D,"TPO")/SUMIF('caseload data'!$C:$C,'divisional &amp; regional caseload%'!$B$29,'caseload data'!N:N),"")</f>
        <v/>
      </c>
      <c r="M33" s="167" t="str">
        <f>IFERROR(SUMIFS('caseload data'!O:O,'caseload data'!$C:$C,'divisional &amp; regional caseload%'!$B$29,'caseload data'!$D:$D,"TPO")/SUMIF('caseload data'!$C:$C,'divisional &amp; regional caseload%'!$B$29,'caseload data'!O:O),"")</f>
        <v/>
      </c>
      <c r="N33" s="167" t="str">
        <f>IFERROR(SUMIFS('caseload data'!P:P,'caseload data'!$C:$C,'divisional &amp; regional caseload%'!$B$29,'caseload data'!$D:$D,"TPO")/SUMIF('caseload data'!$C:$C,'divisional &amp; regional caseload%'!$B$29,'caseload data'!P:P),"")</f>
        <v/>
      </c>
      <c r="O33" s="167" t="str">
        <f>IFERROR(SUMIFS('caseload data'!Q:Q,'caseload data'!$C:$C,'divisional &amp; regional caseload%'!$B$29,'caseload data'!$D:$D,"TPO")/SUMIF('caseload data'!$C:$C,'divisional &amp; regional caseload%'!$B$29,'caseload data'!Q:Q),"")</f>
        <v/>
      </c>
      <c r="P33" s="167" t="str">
        <f>IFERROR(SUMIFS('caseload data'!R:R,'caseload data'!$C:$C,'divisional &amp; regional caseload%'!$B$29,'caseload data'!$D:$D,"TPO")/SUMIF('caseload data'!$C:$C,'divisional &amp; regional caseload%'!$B$29,'caseload data'!R:R),"")</f>
        <v/>
      </c>
      <c r="Q33" s="167" t="str">
        <f>IFERROR(SUMIFS('caseload data'!S:S,'caseload data'!$C:$C,'divisional &amp; regional caseload%'!$B$29,'caseload data'!$D:$D,"TPO")/SUMIF('caseload data'!$C:$C,'divisional &amp; regional caseload%'!$B$29,'caseload data'!S:S),"")</f>
        <v/>
      </c>
      <c r="R33" s="167" t="str">
        <f>IFERROR(SUMIFS('caseload data'!T:T,'caseload data'!$C:$C,'divisional &amp; regional caseload%'!$B$29,'caseload data'!$D:$D,"TPO")/SUMIF('caseload data'!$C:$C,'divisional &amp; regional caseload%'!$B$29,'caseload data'!T:T),"")</f>
        <v/>
      </c>
      <c r="S33" s="64"/>
      <c r="T33" s="97" t="s">
        <v>953</v>
      </c>
      <c r="U33" s="167" t="str">
        <f>IFERROR(SUMIFS('caseload data'!E:E,'caseload data'!$C:$C,'divisional &amp; regional caseload%'!$T$29,'caseload data'!$D:$D,"TPO")/SUMIF('caseload data'!$C:$C,'divisional &amp; regional caseload%'!$T$29,'caseload data'!E:E),"")</f>
        <v/>
      </c>
      <c r="V33" s="167" t="str">
        <f>IFERROR(SUMIFS('caseload data'!F:F,'caseload data'!$C:$C,'divisional &amp; regional caseload%'!$T$29,'caseload data'!$D:$D,"TPO")/SUMIF('caseload data'!$C:$C,'divisional &amp; regional caseload%'!$T$29,'caseload data'!F:F),"")</f>
        <v/>
      </c>
      <c r="W33" s="167" t="str">
        <f>IFERROR(SUMIFS('caseload data'!G:G,'caseload data'!$C:$C,'divisional &amp; regional caseload%'!$T$29,'caseload data'!$D:$D,"TPO")/SUMIF('caseload data'!$C:$C,'divisional &amp; regional caseload%'!$T$29,'caseload data'!G:G),"")</f>
        <v/>
      </c>
      <c r="X33" s="167" t="str">
        <f>IFERROR(SUMIFS('caseload data'!H:H,'caseload data'!$C:$C,'divisional &amp; regional caseload%'!$T$29,'caseload data'!$D:$D,"TPO")/SUMIF('caseload data'!$C:$C,'divisional &amp; regional caseload%'!$T$29,'caseload data'!H:H),"")</f>
        <v/>
      </c>
      <c r="Y33" s="167" t="str">
        <f>IFERROR(SUMIFS('caseload data'!I:I,'caseload data'!$C:$C,'divisional &amp; regional caseload%'!$T$29,'caseload data'!$D:$D,"TPO")/SUMIF('caseload data'!$C:$C,'divisional &amp; regional caseload%'!$T$29,'caseload data'!I:I),"")</f>
        <v/>
      </c>
      <c r="Z33" s="167" t="str">
        <f>IFERROR(SUMIFS('caseload data'!J:J,'caseload data'!$C:$C,'divisional &amp; regional caseload%'!$T$29,'caseload data'!$D:$D,"TPO")/SUMIF('caseload data'!$C:$C,'divisional &amp; regional caseload%'!$T$29,'caseload data'!J:J),"")</f>
        <v/>
      </c>
      <c r="AA33" s="167" t="str">
        <f>IFERROR(SUMIFS('caseload data'!K:K,'caseload data'!$C:$C,'divisional &amp; regional caseload%'!$T$29,'caseload data'!$D:$D,"TPO")/SUMIF('caseload data'!$C:$C,'divisional &amp; regional caseload%'!$T$29,'caseload data'!K:K),"")</f>
        <v/>
      </c>
      <c r="AB33" s="167" t="str">
        <f>IFERROR(SUMIFS('caseload data'!L:L,'caseload data'!$C:$C,'divisional &amp; regional caseload%'!$T$29,'caseload data'!$D:$D,"TPO")/SUMIF('caseload data'!$C:$C,'divisional &amp; regional caseload%'!$T$29,'caseload data'!L:L),"")</f>
        <v/>
      </c>
      <c r="AC33" s="167" t="str">
        <f>IFERROR(SUMIFS('caseload data'!M:M,'caseload data'!$C:$C,'divisional &amp; regional caseload%'!$T$29,'caseload data'!$D:$D,"TPO")/SUMIF('caseload data'!$C:$C,'divisional &amp; regional caseload%'!$T$29,'caseload data'!M:M),"")</f>
        <v/>
      </c>
      <c r="AD33" s="167" t="str">
        <f>IFERROR(SUMIFS('caseload data'!N:N,'caseload data'!$C:$C,'divisional &amp; regional caseload%'!$T$29,'caseload data'!$D:$D,"TPO")/SUMIF('caseload data'!$C:$C,'divisional &amp; regional caseload%'!$T$29,'caseload data'!N:N),"")</f>
        <v/>
      </c>
      <c r="AE33" s="167" t="str">
        <f>IFERROR(SUMIFS('caseload data'!O:O,'caseload data'!$C:$C,'divisional &amp; regional caseload%'!$T$29,'caseload data'!$D:$D,"TPO")/SUMIF('caseload data'!$C:$C,'divisional &amp; regional caseload%'!$T$29,'caseload data'!O:O),"")</f>
        <v/>
      </c>
      <c r="AF33" s="167" t="str">
        <f>IFERROR(SUMIFS('caseload data'!P:P,'caseload data'!$C:$C,'divisional &amp; regional caseload%'!$T$29,'caseload data'!$D:$D,"TPO")/SUMIF('caseload data'!$C:$C,'divisional &amp; regional caseload%'!$T$29,'caseload data'!P:P),"")</f>
        <v/>
      </c>
      <c r="AG33" s="167" t="str">
        <f>IFERROR(SUMIFS('caseload data'!Q:Q,'caseload data'!$C:$C,'divisional &amp; regional caseload%'!$T$29,'caseload data'!$D:$D,"TPO")/SUMIF('caseload data'!$C:$C,'divisional &amp; regional caseload%'!$T$29,'caseload data'!Q:Q),"")</f>
        <v/>
      </c>
      <c r="AH33" s="167" t="str">
        <f>IFERROR(SUMIFS('caseload data'!R:R,'caseload data'!$C:$C,'divisional &amp; regional caseload%'!$T$29,'caseload data'!$D:$D,"TPO")/SUMIF('caseload data'!$C:$C,'divisional &amp; regional caseload%'!$T$29,'caseload data'!R:R),"")</f>
        <v/>
      </c>
      <c r="AI33" s="167" t="str">
        <f>IFERROR(SUMIFS('caseload data'!S:S,'caseload data'!$C:$C,'divisional &amp; regional caseload%'!$T$29,'caseload data'!$D:$D,"TPO")/SUMIF('caseload data'!$C:$C,'divisional &amp; regional caseload%'!$T$29,'caseload data'!S:S),"")</f>
        <v/>
      </c>
      <c r="AJ33" s="167" t="str">
        <f>IFERROR(SUMIFS('caseload data'!T:T,'caseload data'!$C:$C,'divisional &amp; regional caseload%'!$T$29,'caseload data'!$D:$D,"TPO")/SUMIF('caseload data'!$C:$C,'divisional &amp; regional caseload%'!$T$29,'caseload data'!T:T),"")</f>
        <v/>
      </c>
    </row>
    <row r="34" spans="2:36" x14ac:dyDescent="0.15">
      <c r="B34" s="98" t="s">
        <v>954</v>
      </c>
      <c r="C34" s="167" t="str">
        <f>IFERROR(SUMIFS('caseload data'!E:E,'caseload data'!$C:$C,'divisional &amp; regional caseload%'!$B$29,'caseload data'!$D:$D,"SPO")/SUMIF('caseload data'!$C:$C,'divisional &amp; regional caseload%'!$B$29,'caseload data'!E:E),"")</f>
        <v/>
      </c>
      <c r="D34" s="167" t="str">
        <f>IFERROR(SUMIFS('caseload data'!F:F,'caseload data'!$C:$C,'divisional &amp; regional caseload%'!$B$29,'caseload data'!$D:$D,"SPO")/SUMIF('caseload data'!$C:$C,'divisional &amp; regional caseload%'!$B$29,'caseload data'!F:F),"")</f>
        <v/>
      </c>
      <c r="E34" s="167" t="str">
        <f>IFERROR(SUMIFS('caseload data'!G:G,'caseload data'!$C:$C,'divisional &amp; regional caseload%'!$B$29,'caseload data'!$D:$D,"SPO")/SUMIF('caseload data'!$C:$C,'divisional &amp; regional caseload%'!$B$29,'caseload data'!G:G),"")</f>
        <v/>
      </c>
      <c r="F34" s="167" t="str">
        <f>IFERROR(SUMIFS('caseload data'!H:H,'caseload data'!$C:$C,'divisional &amp; regional caseload%'!$B$29,'caseload data'!$D:$D,"SPO")/SUMIF('caseload data'!$C:$C,'divisional &amp; regional caseload%'!$B$29,'caseload data'!H:H),"")</f>
        <v/>
      </c>
      <c r="G34" s="167" t="str">
        <f>IFERROR(SUMIFS('caseload data'!I:I,'caseload data'!$C:$C,'divisional &amp; regional caseload%'!$B$29,'caseload data'!$D:$D,"SPO")/SUMIF('caseload data'!$C:$C,'divisional &amp; regional caseload%'!$B$29,'caseload data'!I:I),"")</f>
        <v/>
      </c>
      <c r="H34" s="167" t="str">
        <f>IFERROR(SUMIFS('caseload data'!J:J,'caseload data'!$C:$C,'divisional &amp; regional caseload%'!$B$29,'caseload data'!$D:$D,"SPO")/SUMIF('caseload data'!$C:$C,'divisional &amp; regional caseload%'!$B$29,'caseload data'!J:J),"")</f>
        <v/>
      </c>
      <c r="I34" s="167" t="str">
        <f>IFERROR(SUMIFS('caseload data'!K:K,'caseload data'!$C:$C,'divisional &amp; regional caseload%'!$B$29,'caseload data'!$D:$D,"SPO")/SUMIF('caseload data'!$C:$C,'divisional &amp; regional caseload%'!$B$29,'caseload data'!K:K),"")</f>
        <v/>
      </c>
      <c r="J34" s="167" t="str">
        <f>IFERROR(SUMIFS('caseload data'!L:L,'caseload data'!$C:$C,'divisional &amp; regional caseload%'!$B$29,'caseload data'!$D:$D,"SPO")/SUMIF('caseload data'!$C:$C,'divisional &amp; regional caseload%'!$B$29,'caseload data'!L:L),"")</f>
        <v/>
      </c>
      <c r="K34" s="167" t="str">
        <f>IFERROR(SUMIFS('caseload data'!M:M,'caseload data'!$C:$C,'divisional &amp; regional caseload%'!$B$29,'caseload data'!$D:$D,"SPO")/SUMIF('caseload data'!$C:$C,'divisional &amp; regional caseload%'!$B$29,'caseload data'!M:M),"")</f>
        <v/>
      </c>
      <c r="L34" s="167" t="str">
        <f>IFERROR(SUMIFS('caseload data'!N:N,'caseload data'!$C:$C,'divisional &amp; regional caseload%'!$B$29,'caseload data'!$D:$D,"SPO")/SUMIF('caseload data'!$C:$C,'divisional &amp; regional caseload%'!$B$29,'caseload data'!N:N),"")</f>
        <v/>
      </c>
      <c r="M34" s="167" t="str">
        <f>IFERROR(SUMIFS('caseload data'!O:O,'caseload data'!$C:$C,'divisional &amp; regional caseload%'!$B$29,'caseload data'!$D:$D,"SPO")/SUMIF('caseload data'!$C:$C,'divisional &amp; regional caseload%'!$B$29,'caseload data'!O:O),"")</f>
        <v/>
      </c>
      <c r="N34" s="167" t="str">
        <f>IFERROR(SUMIFS('caseload data'!P:P,'caseload data'!$C:$C,'divisional &amp; regional caseload%'!$B$29,'caseload data'!$D:$D,"SPO")/SUMIF('caseload data'!$C:$C,'divisional &amp; regional caseload%'!$B$29,'caseload data'!P:P),"")</f>
        <v/>
      </c>
      <c r="O34" s="167" t="str">
        <f>IFERROR(SUMIFS('caseload data'!Q:Q,'caseload data'!$C:$C,'divisional &amp; regional caseload%'!$B$29,'caseload data'!$D:$D,"SPO")/SUMIF('caseload data'!$C:$C,'divisional &amp; regional caseload%'!$B$29,'caseload data'!Q:Q),"")</f>
        <v/>
      </c>
      <c r="P34" s="167" t="str">
        <f>IFERROR(SUMIFS('caseload data'!R:R,'caseload data'!$C:$C,'divisional &amp; regional caseload%'!$B$29,'caseload data'!$D:$D,"SPO")/SUMIF('caseload data'!$C:$C,'divisional &amp; regional caseload%'!$B$29,'caseload data'!R:R),"")</f>
        <v/>
      </c>
      <c r="Q34" s="167" t="str">
        <f>IFERROR(SUMIFS('caseload data'!S:S,'caseload data'!$C:$C,'divisional &amp; regional caseload%'!$B$29,'caseload data'!$D:$D,"SPO")/SUMIF('caseload data'!$C:$C,'divisional &amp; regional caseload%'!$B$29,'caseload data'!S:S),"")</f>
        <v/>
      </c>
      <c r="R34" s="167" t="str">
        <f>IFERROR(SUMIFS('caseload data'!T:T,'caseload data'!$C:$C,'divisional &amp; regional caseload%'!$B$29,'caseload data'!$D:$D,"SPO")/SUMIF('caseload data'!$C:$C,'divisional &amp; regional caseload%'!$B$29,'caseload data'!T:T),"")</f>
        <v/>
      </c>
      <c r="S34" s="64"/>
      <c r="T34" s="98" t="s">
        <v>954</v>
      </c>
      <c r="U34" s="167" t="str">
        <f>IFERROR(SUMIFS('caseload data'!E:E,'caseload data'!$C:$C,'divisional &amp; regional caseload%'!$T$29,'caseload data'!$D:$D,"SPO")/SUMIF('caseload data'!$C:$C,'divisional &amp; regional caseload%'!$T$29,'caseload data'!E:E),"")</f>
        <v/>
      </c>
      <c r="V34" s="167" t="str">
        <f>IFERROR(SUMIFS('caseload data'!F:F,'caseload data'!$C:$C,'divisional &amp; regional caseload%'!$T$29,'caseload data'!$D:$D,"SPO")/SUMIF('caseload data'!$C:$C,'divisional &amp; regional caseload%'!$T$29,'caseload data'!F:F),"")</f>
        <v/>
      </c>
      <c r="W34" s="167" t="str">
        <f>IFERROR(SUMIFS('caseload data'!G:G,'caseload data'!$C:$C,'divisional &amp; regional caseload%'!$T$29,'caseload data'!$D:$D,"SPO")/SUMIF('caseload data'!$C:$C,'divisional &amp; regional caseload%'!$T$29,'caseload data'!G:G),"")</f>
        <v/>
      </c>
      <c r="X34" s="167" t="str">
        <f>IFERROR(SUMIFS('caseload data'!H:H,'caseload data'!$C:$C,'divisional &amp; regional caseload%'!$T$29,'caseload data'!$D:$D,"SPO")/SUMIF('caseload data'!$C:$C,'divisional &amp; regional caseload%'!$T$29,'caseload data'!H:H),"")</f>
        <v/>
      </c>
      <c r="Y34" s="167" t="str">
        <f>IFERROR(SUMIFS('caseload data'!I:I,'caseload data'!$C:$C,'divisional &amp; regional caseload%'!$T$29,'caseload data'!$D:$D,"SPO")/SUMIF('caseload data'!$C:$C,'divisional &amp; regional caseload%'!$T$29,'caseload data'!I:I),"")</f>
        <v/>
      </c>
      <c r="Z34" s="167" t="str">
        <f>IFERROR(SUMIFS('caseload data'!J:J,'caseload data'!$C:$C,'divisional &amp; regional caseload%'!$T$29,'caseload data'!$D:$D,"SPO")/SUMIF('caseload data'!$C:$C,'divisional &amp; regional caseload%'!$T$29,'caseload data'!J:J),"")</f>
        <v/>
      </c>
      <c r="AA34" s="167" t="str">
        <f>IFERROR(SUMIFS('caseload data'!K:K,'caseload data'!$C:$C,'divisional &amp; regional caseload%'!$T$29,'caseload data'!$D:$D,"SPO")/SUMIF('caseload data'!$C:$C,'divisional &amp; regional caseload%'!$T$29,'caseload data'!K:K),"")</f>
        <v/>
      </c>
      <c r="AB34" s="167" t="str">
        <f>IFERROR(SUMIFS('caseload data'!L:L,'caseload data'!$C:$C,'divisional &amp; regional caseload%'!$T$29,'caseload data'!$D:$D,"SPO")/SUMIF('caseload data'!$C:$C,'divisional &amp; regional caseload%'!$T$29,'caseload data'!L:L),"")</f>
        <v/>
      </c>
      <c r="AC34" s="167" t="str">
        <f>IFERROR(SUMIFS('caseload data'!M:M,'caseload data'!$C:$C,'divisional &amp; regional caseload%'!$T$29,'caseload data'!$D:$D,"SPO")/SUMIF('caseload data'!$C:$C,'divisional &amp; regional caseload%'!$T$29,'caseload data'!M:M),"")</f>
        <v/>
      </c>
      <c r="AD34" s="167" t="str">
        <f>IFERROR(SUMIFS('caseload data'!N:N,'caseload data'!$C:$C,'divisional &amp; regional caseload%'!$T$29,'caseload data'!$D:$D,"SPO")/SUMIF('caseload data'!$C:$C,'divisional &amp; regional caseload%'!$T$29,'caseload data'!N:N),"")</f>
        <v/>
      </c>
      <c r="AE34" s="167" t="str">
        <f>IFERROR(SUMIFS('caseload data'!O:O,'caseload data'!$C:$C,'divisional &amp; regional caseload%'!$T$29,'caseload data'!$D:$D,"SPO")/SUMIF('caseload data'!$C:$C,'divisional &amp; regional caseload%'!$T$29,'caseload data'!O:O),"")</f>
        <v/>
      </c>
      <c r="AF34" s="167" t="str">
        <f>IFERROR(SUMIFS('caseload data'!P:P,'caseload data'!$C:$C,'divisional &amp; regional caseload%'!$T$29,'caseload data'!$D:$D,"SPO")/SUMIF('caseload data'!$C:$C,'divisional &amp; regional caseload%'!$T$29,'caseload data'!P:P),"")</f>
        <v/>
      </c>
      <c r="AG34" s="167" t="str">
        <f>IFERROR(SUMIFS('caseload data'!Q:Q,'caseload data'!$C:$C,'divisional &amp; regional caseload%'!$T$29,'caseload data'!$D:$D,"SPO")/SUMIF('caseload data'!$C:$C,'divisional &amp; regional caseload%'!$T$29,'caseload data'!Q:Q),"")</f>
        <v/>
      </c>
      <c r="AH34" s="167" t="str">
        <f>IFERROR(SUMIFS('caseload data'!R:R,'caseload data'!$C:$C,'divisional &amp; regional caseload%'!$T$29,'caseload data'!$D:$D,"SPO")/SUMIF('caseload data'!$C:$C,'divisional &amp; regional caseload%'!$T$29,'caseload data'!R:R),"")</f>
        <v/>
      </c>
      <c r="AI34" s="167" t="str">
        <f>IFERROR(SUMIFS('caseload data'!S:S,'caseload data'!$C:$C,'divisional &amp; regional caseload%'!$T$29,'caseload data'!$D:$D,"SPO")/SUMIF('caseload data'!$C:$C,'divisional &amp; regional caseload%'!$T$29,'caseload data'!S:S),"")</f>
        <v/>
      </c>
      <c r="AJ34" s="167" t="str">
        <f>IFERROR(SUMIFS('caseload data'!T:T,'caseload data'!$C:$C,'divisional &amp; regional caseload%'!$T$29,'caseload data'!$D:$D,"SPO")/SUMIF('caseload data'!$C:$C,'divisional &amp; regional caseload%'!$T$29,'caseload data'!T:T),"")</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288">
        <f>HLOOKUP($B$5,Region_Table,10,0)</f>
        <v>0</v>
      </c>
      <c r="C36" s="556" t="s">
        <v>1043</v>
      </c>
      <c r="D36" s="557"/>
      <c r="E36" s="557"/>
      <c r="F36" s="557"/>
      <c r="G36" s="557"/>
      <c r="H36" s="557"/>
      <c r="I36" s="557"/>
      <c r="J36" s="557"/>
      <c r="K36" s="557"/>
      <c r="L36" s="557"/>
      <c r="M36" s="558"/>
      <c r="N36" s="558"/>
      <c r="O36" s="559"/>
      <c r="P36" s="543">
        <f>SUMIF('caseload data'!$C:$C,'divisional &amp; regional caseload%'!B36,'caseload data'!V:V)</f>
        <v>0</v>
      </c>
      <c r="Q36" s="560"/>
      <c r="R36" s="561"/>
      <c r="S36" s="64"/>
      <c r="T36" s="288">
        <f>HLOOKUP($B$5,Region_Table,11,0)</f>
        <v>0</v>
      </c>
      <c r="U36" s="556" t="s">
        <v>1043</v>
      </c>
      <c r="V36" s="557"/>
      <c r="W36" s="557"/>
      <c r="X36" s="557"/>
      <c r="Y36" s="557"/>
      <c r="Z36" s="557"/>
      <c r="AA36" s="557"/>
      <c r="AB36" s="557"/>
      <c r="AC36" s="557"/>
      <c r="AD36" s="557"/>
      <c r="AE36" s="558"/>
      <c r="AF36" s="558"/>
      <c r="AG36" s="559"/>
      <c r="AH36" s="543">
        <f>SUMIF('caseload data'!$C:$C,'divisional &amp; regional caseload%'!T36,'caseload data'!V:V)</f>
        <v>0</v>
      </c>
      <c r="AI36" s="560"/>
      <c r="AJ36" s="561"/>
    </row>
    <row r="37" spans="2:36" x14ac:dyDescent="0.15">
      <c r="B37" s="95" t="s">
        <v>951</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951</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167" t="str">
        <f>IFERROR(SUMIFS('caseload data'!E:E,'caseload data'!$C:$C,'divisional &amp; regional caseload%'!$B$36,'caseload data'!$D:$D,"PO")/SUMIF('caseload data'!$C:$C,'divisional &amp; regional caseload%'!$B$36,'caseload data'!E:E),"")</f>
        <v/>
      </c>
      <c r="D38" s="167" t="str">
        <f>IFERROR(SUMIFS('caseload data'!F:F,'caseload data'!$C:$C,'divisional &amp; regional caseload%'!$B$36,'caseload data'!$D:$D,"PO")/SUMIF('caseload data'!$C:$C,'divisional &amp; regional caseload%'!$B$36,'caseload data'!F:F),"")</f>
        <v/>
      </c>
      <c r="E38" s="167" t="str">
        <f>IFERROR(SUMIFS('caseload data'!G:G,'caseload data'!$C:$C,'divisional &amp; regional caseload%'!$B$36,'caseload data'!$D:$D,"PO")/SUMIF('caseload data'!$C:$C,'divisional &amp; regional caseload%'!$B$36,'caseload data'!G:G),"")</f>
        <v/>
      </c>
      <c r="F38" s="167" t="str">
        <f>IFERROR(SUMIFS('caseload data'!H:H,'caseload data'!$C:$C,'divisional &amp; regional caseload%'!$B$36,'caseload data'!$D:$D,"PO")/SUMIF('caseload data'!$C:$C,'divisional &amp; regional caseload%'!$B$36,'caseload data'!H:H),"")</f>
        <v/>
      </c>
      <c r="G38" s="167" t="str">
        <f>IFERROR(SUMIFS('caseload data'!I:I,'caseload data'!$C:$C,'divisional &amp; regional caseload%'!$B$36,'caseload data'!$D:$D,"PO")/SUMIF('caseload data'!$C:$C,'divisional &amp; regional caseload%'!$B$36,'caseload data'!I:I),"")</f>
        <v/>
      </c>
      <c r="H38" s="167" t="str">
        <f>IFERROR(SUMIFS('caseload data'!J:J,'caseload data'!$C:$C,'divisional &amp; regional caseload%'!$B$36,'caseload data'!$D:$D,"PO")/SUMIF('caseload data'!$C:$C,'divisional &amp; regional caseload%'!$B$36,'caseload data'!J:J),"")</f>
        <v/>
      </c>
      <c r="I38" s="167" t="str">
        <f>IFERROR(SUMIFS('caseload data'!K:K,'caseload data'!$C:$C,'divisional &amp; regional caseload%'!$B$36,'caseload data'!$D:$D,"PO")/SUMIF('caseload data'!$C:$C,'divisional &amp; regional caseload%'!$B$36,'caseload data'!K:K),"")</f>
        <v/>
      </c>
      <c r="J38" s="167" t="str">
        <f>IFERROR(SUMIFS('caseload data'!L:L,'caseload data'!$C:$C,'divisional &amp; regional caseload%'!$B$36,'caseload data'!$D:$D,"PO")/SUMIF('caseload data'!$C:$C,'divisional &amp; regional caseload%'!$B$36,'caseload data'!L:L),"")</f>
        <v/>
      </c>
      <c r="K38" s="167" t="str">
        <f>IFERROR(SUMIFS('caseload data'!M:M,'caseload data'!$C:$C,'divisional &amp; regional caseload%'!$B$36,'caseload data'!$D:$D,"PO")/SUMIF('caseload data'!$C:$C,'divisional &amp; regional caseload%'!$B$36,'caseload data'!M:M),"")</f>
        <v/>
      </c>
      <c r="L38" s="167" t="str">
        <f>IFERROR(SUMIFS('caseload data'!N:N,'caseload data'!$C:$C,'divisional &amp; regional caseload%'!$B$36,'caseload data'!$D:$D,"PO")/SUMIF('caseload data'!$C:$C,'divisional &amp; regional caseload%'!$B$36,'caseload data'!N:N),"")</f>
        <v/>
      </c>
      <c r="M38" s="167" t="str">
        <f>IFERROR(SUMIFS('caseload data'!O:O,'caseload data'!$C:$C,'divisional &amp; regional caseload%'!$B$36,'caseload data'!$D:$D,"PO")/SUMIF('caseload data'!$C:$C,'divisional &amp; regional caseload%'!$B$36,'caseload data'!O:O),"")</f>
        <v/>
      </c>
      <c r="N38" s="167" t="str">
        <f>IFERROR(SUMIFS('caseload data'!P:P,'caseload data'!$C:$C,'divisional &amp; regional caseload%'!$B$36,'caseload data'!$D:$D,"PO")/SUMIF('caseload data'!$C:$C,'divisional &amp; regional caseload%'!$B$36,'caseload data'!P:P),"")</f>
        <v/>
      </c>
      <c r="O38" s="167" t="str">
        <f>IFERROR(SUMIFS('caseload data'!Q:Q,'caseload data'!$C:$C,'divisional &amp; regional caseload%'!$B$36,'caseload data'!$D:$D,"PO")/SUMIF('caseload data'!$C:$C,'divisional &amp; regional caseload%'!$B$36,'caseload data'!Q:Q),"")</f>
        <v/>
      </c>
      <c r="P38" s="167" t="str">
        <f>IFERROR(SUMIFS('caseload data'!R:R,'caseload data'!$C:$C,'divisional &amp; regional caseload%'!$B$36,'caseload data'!$D:$D,"PO")/SUMIF('caseload data'!$C:$C,'divisional &amp; regional caseload%'!$B$36,'caseload data'!R:R),"")</f>
        <v/>
      </c>
      <c r="Q38" s="167" t="str">
        <f>IFERROR(SUMIFS('caseload data'!S:S,'caseload data'!$C:$C,'divisional &amp; regional caseload%'!$B$36,'caseload data'!$D:$D,"PO")/SUMIF('caseload data'!$C:$C,'divisional &amp; regional caseload%'!$B$36,'caseload data'!S:S),"")</f>
        <v/>
      </c>
      <c r="R38" s="167" t="str">
        <f>IFERROR(SUMIFS('caseload data'!T:T,'caseload data'!$C:$C,'divisional &amp; regional caseload%'!$B$36,'caseload data'!$D:$D,"PO")/SUMIF('caseload data'!$C:$C,'divisional &amp; regional caseload%'!$B$36,'caseload data'!T:T),"")</f>
        <v/>
      </c>
      <c r="S38" s="64"/>
      <c r="T38" s="96" t="s">
        <v>947</v>
      </c>
      <c r="U38" s="167" t="str">
        <f>IFERROR(SUMIFS('caseload data'!E:E,'caseload data'!$C:$C,'divisional &amp; regional caseload%'!$T$36,'caseload data'!$D:$D,"PO")/SUMIF('caseload data'!$C:$C,'divisional &amp; regional caseload%'!$T$36,'caseload data'!E:E),"")</f>
        <v/>
      </c>
      <c r="V38" s="167" t="str">
        <f>IFERROR(SUMIFS('caseload data'!F:F,'caseload data'!$C:$C,'divisional &amp; regional caseload%'!$T$36,'caseload data'!$D:$D,"PO")/SUMIF('caseload data'!$C:$C,'divisional &amp; regional caseload%'!$T$36,'caseload data'!F:F),"")</f>
        <v/>
      </c>
      <c r="W38" s="167" t="str">
        <f>IFERROR(SUMIFS('caseload data'!G:G,'caseload data'!$C:$C,'divisional &amp; regional caseload%'!$T$36,'caseload data'!$D:$D,"PO")/SUMIF('caseload data'!$C:$C,'divisional &amp; regional caseload%'!$T$36,'caseload data'!G:G),"")</f>
        <v/>
      </c>
      <c r="X38" s="167" t="str">
        <f>IFERROR(SUMIFS('caseload data'!H:H,'caseload data'!$C:$C,'divisional &amp; regional caseload%'!$T$36,'caseload data'!$D:$D,"PO")/SUMIF('caseload data'!$C:$C,'divisional &amp; regional caseload%'!$T$36,'caseload data'!H:H),"")</f>
        <v/>
      </c>
      <c r="Y38" s="167" t="str">
        <f>IFERROR(SUMIFS('caseload data'!I:I,'caseload data'!$C:$C,'divisional &amp; regional caseload%'!$T$36,'caseload data'!$D:$D,"PO")/SUMIF('caseload data'!$C:$C,'divisional &amp; regional caseload%'!$T$36,'caseload data'!I:I),"")</f>
        <v/>
      </c>
      <c r="Z38" s="167" t="str">
        <f>IFERROR(SUMIFS('caseload data'!J:J,'caseload data'!$C:$C,'divisional &amp; regional caseload%'!$T$36,'caseload data'!$D:$D,"PO")/SUMIF('caseload data'!$C:$C,'divisional &amp; regional caseload%'!$T$36,'caseload data'!J:J),"")</f>
        <v/>
      </c>
      <c r="AA38" s="167" t="str">
        <f>IFERROR(SUMIFS('caseload data'!K:K,'caseload data'!$C:$C,'divisional &amp; regional caseload%'!$T$36,'caseload data'!$D:$D,"PO")/SUMIF('caseload data'!$C:$C,'divisional &amp; regional caseload%'!$T$36,'caseload data'!K:K),"")</f>
        <v/>
      </c>
      <c r="AB38" s="167" t="str">
        <f>IFERROR(SUMIFS('caseload data'!L:L,'caseload data'!$C:$C,'divisional &amp; regional caseload%'!$T$36,'caseload data'!$D:$D,"PO")/SUMIF('caseload data'!$C:$C,'divisional &amp; regional caseload%'!$T$36,'caseload data'!L:L),"")</f>
        <v/>
      </c>
      <c r="AC38" s="167" t="str">
        <f>IFERROR(SUMIFS('caseload data'!M:M,'caseload data'!$C:$C,'divisional &amp; regional caseload%'!$T$36,'caseload data'!$D:$D,"PO")/SUMIF('caseload data'!$C:$C,'divisional &amp; regional caseload%'!$T$36,'caseload data'!M:M),"")</f>
        <v/>
      </c>
      <c r="AD38" s="167" t="str">
        <f>IFERROR(SUMIFS('caseload data'!N:N,'caseload data'!$C:$C,'divisional &amp; regional caseload%'!$T$36,'caseload data'!$D:$D,"PO")/SUMIF('caseload data'!$C:$C,'divisional &amp; regional caseload%'!$T$36,'caseload data'!N:N),"")</f>
        <v/>
      </c>
      <c r="AE38" s="167" t="str">
        <f>IFERROR(SUMIFS('caseload data'!O:O,'caseload data'!$C:$C,'divisional &amp; regional caseload%'!$T$36,'caseload data'!$D:$D,"PO")/SUMIF('caseload data'!$C:$C,'divisional &amp; regional caseload%'!$T$36,'caseload data'!O:O),"")</f>
        <v/>
      </c>
      <c r="AF38" s="167" t="str">
        <f>IFERROR(SUMIFS('caseload data'!P:P,'caseload data'!$C:$C,'divisional &amp; regional caseload%'!$T$36,'caseload data'!$D:$D,"PO")/SUMIF('caseload data'!$C:$C,'divisional &amp; regional caseload%'!$T$36,'caseload data'!P:P),"")</f>
        <v/>
      </c>
      <c r="AG38" s="167" t="str">
        <f>IFERROR(SUMIFS('caseload data'!Q:Q,'caseload data'!$C:$C,'divisional &amp; regional caseload%'!$T$36,'caseload data'!$D:$D,"PO")/SUMIF('caseload data'!$C:$C,'divisional &amp; regional caseload%'!$T$36,'caseload data'!Q:Q),"")</f>
        <v/>
      </c>
      <c r="AH38" s="167" t="str">
        <f>IFERROR(SUMIFS('caseload data'!R:R,'caseload data'!$C:$C,'divisional &amp; regional caseload%'!$T$36,'caseload data'!$D:$D,"PO")/SUMIF('caseload data'!$C:$C,'divisional &amp; regional caseload%'!$T$36,'caseload data'!R:R),"")</f>
        <v/>
      </c>
      <c r="AI38" s="167" t="str">
        <f>IFERROR(SUMIFS('caseload data'!S:S,'caseload data'!$C:$C,'divisional &amp; regional caseload%'!$T$36,'caseload data'!$D:$D,"PO")/SUMIF('caseload data'!$C:$C,'divisional &amp; regional caseload%'!$T$36,'caseload data'!S:S),"")</f>
        <v/>
      </c>
      <c r="AJ38" s="167" t="str">
        <f>IFERROR(SUMIFS('caseload data'!T:T,'caseload data'!$C:$C,'divisional &amp; regional caseload%'!$T$36,'caseload data'!$D:$D,"PO")/SUMIF('caseload data'!$C:$C,'divisional &amp; regional caseload%'!$T$36,'caseload data'!T:T),"")</f>
        <v/>
      </c>
    </row>
    <row r="39" spans="2:36" x14ac:dyDescent="0.15">
      <c r="B39" s="97" t="s">
        <v>952</v>
      </c>
      <c r="C39" s="167" t="str">
        <f>IFERROR(SUMIFS('caseload data'!E:E,'caseload data'!$C:$C,'divisional &amp; regional caseload%'!$B$36,'caseload data'!$D:$D,"PSO")/SUMIF('caseload data'!$C:$C,'divisional &amp; regional caseload%'!$B$36,'caseload data'!E:E),"")</f>
        <v/>
      </c>
      <c r="D39" s="167" t="str">
        <f>IFERROR(SUMIFS('caseload data'!F:F,'caseload data'!$C:$C,'divisional &amp; regional caseload%'!$B$36,'caseload data'!$D:$D,"PSO")/SUMIF('caseload data'!$C:$C,'divisional &amp; regional caseload%'!$B$36,'caseload data'!F:F),"")</f>
        <v/>
      </c>
      <c r="E39" s="167" t="str">
        <f>IFERROR(SUMIFS('caseload data'!G:G,'caseload data'!$C:$C,'divisional &amp; regional caseload%'!$B$36,'caseload data'!$D:$D,"PSO")/SUMIF('caseload data'!$C:$C,'divisional &amp; regional caseload%'!$B$36,'caseload data'!G:G),"")</f>
        <v/>
      </c>
      <c r="F39" s="167" t="str">
        <f>IFERROR(SUMIFS('caseload data'!H:H,'caseload data'!$C:$C,'divisional &amp; regional caseload%'!$B$36,'caseload data'!$D:$D,"PSO")/SUMIF('caseload data'!$C:$C,'divisional &amp; regional caseload%'!$B$36,'caseload data'!H:H),"")</f>
        <v/>
      </c>
      <c r="G39" s="167" t="str">
        <f>IFERROR(SUMIFS('caseload data'!I:I,'caseload data'!$C:$C,'divisional &amp; regional caseload%'!$B$36,'caseload data'!$D:$D,"PSO")/SUMIF('caseload data'!$C:$C,'divisional &amp; regional caseload%'!$B$36,'caseload data'!I:I),"")</f>
        <v/>
      </c>
      <c r="H39" s="167" t="str">
        <f>IFERROR(SUMIFS('caseload data'!J:J,'caseload data'!$C:$C,'divisional &amp; regional caseload%'!$B$36,'caseload data'!$D:$D,"PSO")/SUMIF('caseload data'!$C:$C,'divisional &amp; regional caseload%'!$B$36,'caseload data'!J:J),"")</f>
        <v/>
      </c>
      <c r="I39" s="167" t="str">
        <f>IFERROR(SUMIFS('caseload data'!K:K,'caseload data'!$C:$C,'divisional &amp; regional caseload%'!$B$36,'caseload data'!$D:$D,"PSO")/SUMIF('caseload data'!$C:$C,'divisional &amp; regional caseload%'!$B$36,'caseload data'!K:K),"")</f>
        <v/>
      </c>
      <c r="J39" s="167" t="str">
        <f>IFERROR(SUMIFS('caseload data'!L:L,'caseload data'!$C:$C,'divisional &amp; regional caseload%'!$B$36,'caseload data'!$D:$D,"PSO")/SUMIF('caseload data'!$C:$C,'divisional &amp; regional caseload%'!$B$36,'caseload data'!L:L),"")</f>
        <v/>
      </c>
      <c r="K39" s="167" t="str">
        <f>IFERROR(SUMIFS('caseload data'!M:M,'caseload data'!$C:$C,'divisional &amp; regional caseload%'!$B$36,'caseload data'!$D:$D,"PSO")/SUMIF('caseload data'!$C:$C,'divisional &amp; regional caseload%'!$B$36,'caseload data'!M:M),"")</f>
        <v/>
      </c>
      <c r="L39" s="167" t="str">
        <f>IFERROR(SUMIFS('caseload data'!N:N,'caseload data'!$C:$C,'divisional &amp; regional caseload%'!$B$36,'caseload data'!$D:$D,"PSO")/SUMIF('caseload data'!$C:$C,'divisional &amp; regional caseload%'!$B$36,'caseload data'!N:N),"")</f>
        <v/>
      </c>
      <c r="M39" s="167" t="str">
        <f>IFERROR(SUMIFS('caseload data'!O:O,'caseload data'!$C:$C,'divisional &amp; regional caseload%'!$B$36,'caseload data'!$D:$D,"PSO")/SUMIF('caseload data'!$C:$C,'divisional &amp; regional caseload%'!$B$36,'caseload data'!O:O),"")</f>
        <v/>
      </c>
      <c r="N39" s="167" t="str">
        <f>IFERROR(SUMIFS('caseload data'!P:P,'caseload data'!$C:$C,'divisional &amp; regional caseload%'!$B$36,'caseload data'!$D:$D,"PSO")/SUMIF('caseload data'!$C:$C,'divisional &amp; regional caseload%'!$B$36,'caseload data'!P:P),"")</f>
        <v/>
      </c>
      <c r="O39" s="167" t="str">
        <f>IFERROR(SUMIFS('caseload data'!Q:Q,'caseload data'!$C:$C,'divisional &amp; regional caseload%'!$B$36,'caseload data'!$D:$D,"PSO")/SUMIF('caseload data'!$C:$C,'divisional &amp; regional caseload%'!$B$36,'caseload data'!Q:Q),"")</f>
        <v/>
      </c>
      <c r="P39" s="167" t="str">
        <f>IFERROR(SUMIFS('caseload data'!R:R,'caseload data'!$C:$C,'divisional &amp; regional caseload%'!$B$36,'caseload data'!$D:$D,"PSO")/SUMIF('caseload data'!$C:$C,'divisional &amp; regional caseload%'!$B$36,'caseload data'!R:R),"")</f>
        <v/>
      </c>
      <c r="Q39" s="167" t="str">
        <f>IFERROR(SUMIFS('caseload data'!S:S,'caseload data'!$C:$C,'divisional &amp; regional caseload%'!$B$36,'caseload data'!$D:$D,"PSO")/SUMIF('caseload data'!$C:$C,'divisional &amp; regional caseload%'!$B$36,'caseload data'!S:S),"")</f>
        <v/>
      </c>
      <c r="R39" s="167" t="str">
        <f>IFERROR(SUMIFS('caseload data'!T:T,'caseload data'!$C:$C,'divisional &amp; regional caseload%'!$B$36,'caseload data'!$D:$D,"PSO")/SUMIF('caseload data'!$C:$C,'divisional &amp; regional caseload%'!$B$36,'caseload data'!T:T),"")</f>
        <v/>
      </c>
      <c r="S39" s="64"/>
      <c r="T39" s="97" t="s">
        <v>952</v>
      </c>
      <c r="U39" s="167" t="str">
        <f>IFERROR(SUMIFS('caseload data'!E:E,'caseload data'!$C:$C,'divisional &amp; regional caseload%'!$T$36,'caseload data'!$D:$D,"PSO")/SUMIF('caseload data'!$C:$C,'divisional &amp; regional caseload%'!$T$36,'caseload data'!E:E),"")</f>
        <v/>
      </c>
      <c r="V39" s="167" t="str">
        <f>IFERROR(SUMIFS('caseload data'!F:F,'caseload data'!$C:$C,'divisional &amp; regional caseload%'!$T$36,'caseload data'!$D:$D,"PSO")/SUMIF('caseload data'!$C:$C,'divisional &amp; regional caseload%'!$T$36,'caseload data'!F:F),"")</f>
        <v/>
      </c>
      <c r="W39" s="167" t="str">
        <f>IFERROR(SUMIFS('caseload data'!G:G,'caseload data'!$C:$C,'divisional &amp; regional caseload%'!$T$36,'caseload data'!$D:$D,"PSO")/SUMIF('caseload data'!$C:$C,'divisional &amp; regional caseload%'!$T$36,'caseload data'!G:G),"")</f>
        <v/>
      </c>
      <c r="X39" s="167" t="str">
        <f>IFERROR(SUMIFS('caseload data'!H:H,'caseload data'!$C:$C,'divisional &amp; regional caseload%'!$T$36,'caseload data'!$D:$D,"PSO")/SUMIF('caseload data'!$C:$C,'divisional &amp; regional caseload%'!$T$36,'caseload data'!H:H),"")</f>
        <v/>
      </c>
      <c r="Y39" s="167" t="str">
        <f>IFERROR(SUMIFS('caseload data'!I:I,'caseload data'!$C:$C,'divisional &amp; regional caseload%'!$T$36,'caseload data'!$D:$D,"PSO")/SUMIF('caseload data'!$C:$C,'divisional &amp; regional caseload%'!$T$36,'caseload data'!I:I),"")</f>
        <v/>
      </c>
      <c r="Z39" s="167" t="str">
        <f>IFERROR(SUMIFS('caseload data'!J:J,'caseload data'!$C:$C,'divisional &amp; regional caseload%'!$T$36,'caseload data'!$D:$D,"PSO")/SUMIF('caseload data'!$C:$C,'divisional &amp; regional caseload%'!$T$36,'caseload data'!J:J),"")</f>
        <v/>
      </c>
      <c r="AA39" s="167" t="str">
        <f>IFERROR(SUMIFS('caseload data'!K:K,'caseload data'!$C:$C,'divisional &amp; regional caseload%'!$T$36,'caseload data'!$D:$D,"PSO")/SUMIF('caseload data'!$C:$C,'divisional &amp; regional caseload%'!$T$36,'caseload data'!K:K),"")</f>
        <v/>
      </c>
      <c r="AB39" s="167" t="str">
        <f>IFERROR(SUMIFS('caseload data'!L:L,'caseload data'!$C:$C,'divisional &amp; regional caseload%'!$T$36,'caseload data'!$D:$D,"PSO")/SUMIF('caseload data'!$C:$C,'divisional &amp; regional caseload%'!$T$36,'caseload data'!L:L),"")</f>
        <v/>
      </c>
      <c r="AC39" s="167" t="str">
        <f>IFERROR(SUMIFS('caseload data'!M:M,'caseload data'!$C:$C,'divisional &amp; regional caseload%'!$T$36,'caseload data'!$D:$D,"PSO")/SUMIF('caseload data'!$C:$C,'divisional &amp; regional caseload%'!$T$36,'caseload data'!M:M),"")</f>
        <v/>
      </c>
      <c r="AD39" s="167" t="str">
        <f>IFERROR(SUMIFS('caseload data'!N:N,'caseload data'!$C:$C,'divisional &amp; regional caseload%'!$T$36,'caseload data'!$D:$D,"PSO")/SUMIF('caseload data'!$C:$C,'divisional &amp; regional caseload%'!$T$36,'caseload data'!N:N),"")</f>
        <v/>
      </c>
      <c r="AE39" s="167" t="str">
        <f>IFERROR(SUMIFS('caseload data'!O:O,'caseload data'!$C:$C,'divisional &amp; regional caseload%'!$T$36,'caseload data'!$D:$D,"PSO")/SUMIF('caseload data'!$C:$C,'divisional &amp; regional caseload%'!$T$36,'caseload data'!O:O),"")</f>
        <v/>
      </c>
      <c r="AF39" s="167" t="str">
        <f>IFERROR(SUMIFS('caseload data'!P:P,'caseload data'!$C:$C,'divisional &amp; regional caseload%'!$T$36,'caseload data'!$D:$D,"PSO")/SUMIF('caseload data'!$C:$C,'divisional &amp; regional caseload%'!$T$36,'caseload data'!P:P),"")</f>
        <v/>
      </c>
      <c r="AG39" s="167" t="str">
        <f>IFERROR(SUMIFS('caseload data'!Q:Q,'caseload data'!$C:$C,'divisional &amp; regional caseload%'!$T$36,'caseload data'!$D:$D,"PSO")/SUMIF('caseload data'!$C:$C,'divisional &amp; regional caseload%'!$T$36,'caseload data'!Q:Q),"")</f>
        <v/>
      </c>
      <c r="AH39" s="167" t="str">
        <f>IFERROR(SUMIFS('caseload data'!R:R,'caseload data'!$C:$C,'divisional &amp; regional caseload%'!$T$36,'caseload data'!$D:$D,"PSO")/SUMIF('caseload data'!$C:$C,'divisional &amp; regional caseload%'!$T$36,'caseload data'!R:R),"")</f>
        <v/>
      </c>
      <c r="AI39" s="167" t="str">
        <f>IFERROR(SUMIFS('caseload data'!S:S,'caseload data'!$C:$C,'divisional &amp; regional caseload%'!$T$36,'caseload data'!$D:$D,"PSO")/SUMIF('caseload data'!$C:$C,'divisional &amp; regional caseload%'!$T$36,'caseload data'!S:S),"")</f>
        <v/>
      </c>
      <c r="AJ39" s="167" t="str">
        <f>IFERROR(SUMIFS('caseload data'!T:T,'caseload data'!$C:$C,'divisional &amp; regional caseload%'!$T$36,'caseload data'!$D:$D,"PSO")/SUMIF('caseload data'!$C:$C,'divisional &amp; regional caseload%'!$T$36,'caseload data'!T:T),"")</f>
        <v/>
      </c>
    </row>
    <row r="40" spans="2:36" x14ac:dyDescent="0.15">
      <c r="B40" s="97" t="s">
        <v>953</v>
      </c>
      <c r="C40" s="167" t="str">
        <f>IFERROR(SUMIFS('caseload data'!E:E,'caseload data'!$C:$C,'divisional &amp; regional caseload%'!$B$36,'caseload data'!$D:$D,"TPO")/SUMIF('caseload data'!$C:$C,'divisional &amp; regional caseload%'!$B$36,'caseload data'!E:E),"")</f>
        <v/>
      </c>
      <c r="D40" s="167" t="str">
        <f>IFERROR(SUMIFS('caseload data'!F:F,'caseload data'!$C:$C,'divisional &amp; regional caseload%'!$B$36,'caseload data'!$D:$D,"TPO")/SUMIF('caseload data'!$C:$C,'divisional &amp; regional caseload%'!$B$36,'caseload data'!F:F),"")</f>
        <v/>
      </c>
      <c r="E40" s="167" t="str">
        <f>IFERROR(SUMIFS('caseload data'!G:G,'caseload data'!$C:$C,'divisional &amp; regional caseload%'!$B$36,'caseload data'!$D:$D,"TPO")/SUMIF('caseload data'!$C:$C,'divisional &amp; regional caseload%'!$B$36,'caseload data'!G:G),"")</f>
        <v/>
      </c>
      <c r="F40" s="167" t="str">
        <f>IFERROR(SUMIFS('caseload data'!H:H,'caseload data'!$C:$C,'divisional &amp; regional caseload%'!$B$36,'caseload data'!$D:$D,"TPO")/SUMIF('caseload data'!$C:$C,'divisional &amp; regional caseload%'!$B$36,'caseload data'!H:H),"")</f>
        <v/>
      </c>
      <c r="G40" s="167" t="str">
        <f>IFERROR(SUMIFS('caseload data'!I:I,'caseload data'!$C:$C,'divisional &amp; regional caseload%'!$B$36,'caseload data'!$D:$D,"TPO")/SUMIF('caseload data'!$C:$C,'divisional &amp; regional caseload%'!$B$36,'caseload data'!I:I),"")</f>
        <v/>
      </c>
      <c r="H40" s="167" t="str">
        <f>IFERROR(SUMIFS('caseload data'!J:J,'caseload data'!$C:$C,'divisional &amp; regional caseload%'!$B$36,'caseload data'!$D:$D,"TPO")/SUMIF('caseload data'!$C:$C,'divisional &amp; regional caseload%'!$B$36,'caseload data'!J:J),"")</f>
        <v/>
      </c>
      <c r="I40" s="167" t="str">
        <f>IFERROR(SUMIFS('caseload data'!K:K,'caseload data'!$C:$C,'divisional &amp; regional caseload%'!$B$36,'caseload data'!$D:$D,"TPO")/SUMIF('caseload data'!$C:$C,'divisional &amp; regional caseload%'!$B$36,'caseload data'!K:K),"")</f>
        <v/>
      </c>
      <c r="J40" s="167" t="str">
        <f>IFERROR(SUMIFS('caseload data'!L:L,'caseload data'!$C:$C,'divisional &amp; regional caseload%'!$B$36,'caseload data'!$D:$D,"TPO")/SUMIF('caseload data'!$C:$C,'divisional &amp; regional caseload%'!$B$36,'caseload data'!L:L),"")</f>
        <v/>
      </c>
      <c r="K40" s="167" t="str">
        <f>IFERROR(SUMIFS('caseload data'!M:M,'caseload data'!$C:$C,'divisional &amp; regional caseload%'!$B$36,'caseload data'!$D:$D,"TPO")/SUMIF('caseload data'!$C:$C,'divisional &amp; regional caseload%'!$B$36,'caseload data'!M:M),"")</f>
        <v/>
      </c>
      <c r="L40" s="167" t="str">
        <f>IFERROR(SUMIFS('caseload data'!N:N,'caseload data'!$C:$C,'divisional &amp; regional caseload%'!$B$36,'caseload data'!$D:$D,"TPO")/SUMIF('caseload data'!$C:$C,'divisional &amp; regional caseload%'!$B$36,'caseload data'!N:N),"")</f>
        <v/>
      </c>
      <c r="M40" s="167" t="str">
        <f>IFERROR(SUMIFS('caseload data'!O:O,'caseload data'!$C:$C,'divisional &amp; regional caseload%'!$B$36,'caseload data'!$D:$D,"TPO")/SUMIF('caseload data'!$C:$C,'divisional &amp; regional caseload%'!$B$36,'caseload data'!O:O),"")</f>
        <v/>
      </c>
      <c r="N40" s="167" t="str">
        <f>IFERROR(SUMIFS('caseload data'!P:P,'caseload data'!$C:$C,'divisional &amp; regional caseload%'!$B$36,'caseload data'!$D:$D,"TPO")/SUMIF('caseload data'!$C:$C,'divisional &amp; regional caseload%'!$B$36,'caseload data'!P:P),"")</f>
        <v/>
      </c>
      <c r="O40" s="167" t="str">
        <f>IFERROR(SUMIFS('caseload data'!Q:Q,'caseload data'!$C:$C,'divisional &amp; regional caseload%'!$B$36,'caseload data'!$D:$D,"TPO")/SUMIF('caseload data'!$C:$C,'divisional &amp; regional caseload%'!$B$36,'caseload data'!Q:Q),"")</f>
        <v/>
      </c>
      <c r="P40" s="167" t="str">
        <f>IFERROR(SUMIFS('caseload data'!R:R,'caseload data'!$C:$C,'divisional &amp; regional caseload%'!$B$36,'caseload data'!$D:$D,"TPO")/SUMIF('caseload data'!$C:$C,'divisional &amp; regional caseload%'!$B$36,'caseload data'!R:R),"")</f>
        <v/>
      </c>
      <c r="Q40" s="167" t="str">
        <f>IFERROR(SUMIFS('caseload data'!S:S,'caseload data'!$C:$C,'divisional &amp; regional caseload%'!$B$36,'caseload data'!$D:$D,"TPO")/SUMIF('caseload data'!$C:$C,'divisional &amp; regional caseload%'!$B$36,'caseload data'!S:S),"")</f>
        <v/>
      </c>
      <c r="R40" s="167" t="str">
        <f>IFERROR(SUMIFS('caseload data'!T:T,'caseload data'!$C:$C,'divisional &amp; regional caseload%'!$B$36,'caseload data'!$D:$D,"TPO")/SUMIF('caseload data'!$C:$C,'divisional &amp; regional caseload%'!$B$36,'caseload data'!T:T),"")</f>
        <v/>
      </c>
      <c r="S40" s="64"/>
      <c r="T40" s="97" t="s">
        <v>953</v>
      </c>
      <c r="U40" s="167" t="str">
        <f>IFERROR(SUMIFS('caseload data'!E:E,'caseload data'!$C:$C,'divisional &amp; regional caseload%'!$T$36,'caseload data'!$D:$D,"TPO")/SUMIF('caseload data'!$C:$C,'divisional &amp; regional caseload%'!$T$36,'caseload data'!E:E),"")</f>
        <v/>
      </c>
      <c r="V40" s="167" t="str">
        <f>IFERROR(SUMIFS('caseload data'!F:F,'caseload data'!$C:$C,'divisional &amp; regional caseload%'!$T$36,'caseload data'!$D:$D,"TPO")/SUMIF('caseload data'!$C:$C,'divisional &amp; regional caseload%'!$T$36,'caseload data'!F:F),"")</f>
        <v/>
      </c>
      <c r="W40" s="167" t="str">
        <f>IFERROR(SUMIFS('caseload data'!G:G,'caseload data'!$C:$C,'divisional &amp; regional caseload%'!$T$36,'caseload data'!$D:$D,"TPO")/SUMIF('caseload data'!$C:$C,'divisional &amp; regional caseload%'!$T$36,'caseload data'!G:G),"")</f>
        <v/>
      </c>
      <c r="X40" s="167" t="str">
        <f>IFERROR(SUMIFS('caseload data'!H:H,'caseload data'!$C:$C,'divisional &amp; regional caseload%'!$T$36,'caseload data'!$D:$D,"TPO")/SUMIF('caseload data'!$C:$C,'divisional &amp; regional caseload%'!$T$36,'caseload data'!H:H),"")</f>
        <v/>
      </c>
      <c r="Y40" s="167" t="str">
        <f>IFERROR(SUMIFS('caseload data'!I:I,'caseload data'!$C:$C,'divisional &amp; regional caseload%'!$T$36,'caseload data'!$D:$D,"TPO")/SUMIF('caseload data'!$C:$C,'divisional &amp; regional caseload%'!$T$36,'caseload data'!I:I),"")</f>
        <v/>
      </c>
      <c r="Z40" s="167" t="str">
        <f>IFERROR(SUMIFS('caseload data'!J:J,'caseload data'!$C:$C,'divisional &amp; regional caseload%'!$T$36,'caseload data'!$D:$D,"TPO")/SUMIF('caseload data'!$C:$C,'divisional &amp; regional caseload%'!$T$36,'caseload data'!J:J),"")</f>
        <v/>
      </c>
      <c r="AA40" s="167" t="str">
        <f>IFERROR(SUMIFS('caseload data'!K:K,'caseload data'!$C:$C,'divisional &amp; regional caseload%'!$T$36,'caseload data'!$D:$D,"TPO")/SUMIF('caseload data'!$C:$C,'divisional &amp; regional caseload%'!$T$36,'caseload data'!K:K),"")</f>
        <v/>
      </c>
      <c r="AB40" s="167" t="str">
        <f>IFERROR(SUMIFS('caseload data'!L:L,'caseload data'!$C:$C,'divisional &amp; regional caseload%'!$T$36,'caseload data'!$D:$D,"TPO")/SUMIF('caseload data'!$C:$C,'divisional &amp; regional caseload%'!$T$36,'caseload data'!L:L),"")</f>
        <v/>
      </c>
      <c r="AC40" s="167" t="str">
        <f>IFERROR(SUMIFS('caseload data'!M:M,'caseload data'!$C:$C,'divisional &amp; regional caseload%'!$T$36,'caseload data'!$D:$D,"TPO")/SUMIF('caseload data'!$C:$C,'divisional &amp; regional caseload%'!$T$36,'caseload data'!M:M),"")</f>
        <v/>
      </c>
      <c r="AD40" s="167" t="str">
        <f>IFERROR(SUMIFS('caseload data'!N:N,'caseload data'!$C:$C,'divisional &amp; regional caseload%'!$T$36,'caseload data'!$D:$D,"TPO")/SUMIF('caseload data'!$C:$C,'divisional &amp; regional caseload%'!$T$36,'caseload data'!N:N),"")</f>
        <v/>
      </c>
      <c r="AE40" s="167" t="str">
        <f>IFERROR(SUMIFS('caseload data'!O:O,'caseload data'!$C:$C,'divisional &amp; regional caseload%'!$T$36,'caseload data'!$D:$D,"TPO")/SUMIF('caseload data'!$C:$C,'divisional &amp; regional caseload%'!$T$36,'caseload data'!O:O),"")</f>
        <v/>
      </c>
      <c r="AF40" s="167" t="str">
        <f>IFERROR(SUMIFS('caseload data'!P:P,'caseload data'!$C:$C,'divisional &amp; regional caseload%'!$T$36,'caseload data'!$D:$D,"TPO")/SUMIF('caseload data'!$C:$C,'divisional &amp; regional caseload%'!$T$36,'caseload data'!P:P),"")</f>
        <v/>
      </c>
      <c r="AG40" s="167" t="str">
        <f>IFERROR(SUMIFS('caseload data'!Q:Q,'caseload data'!$C:$C,'divisional &amp; regional caseload%'!$T$36,'caseload data'!$D:$D,"TPO")/SUMIF('caseload data'!$C:$C,'divisional &amp; regional caseload%'!$T$36,'caseload data'!Q:Q),"")</f>
        <v/>
      </c>
      <c r="AH40" s="167" t="str">
        <f>IFERROR(SUMIFS('caseload data'!R:R,'caseload data'!$C:$C,'divisional &amp; regional caseload%'!$T$36,'caseload data'!$D:$D,"TPO")/SUMIF('caseload data'!$C:$C,'divisional &amp; regional caseload%'!$T$36,'caseload data'!R:R),"")</f>
        <v/>
      </c>
      <c r="AI40" s="167" t="str">
        <f>IFERROR(SUMIFS('caseload data'!S:S,'caseload data'!$C:$C,'divisional &amp; regional caseload%'!$T$36,'caseload data'!$D:$D,"TPO")/SUMIF('caseload data'!$C:$C,'divisional &amp; regional caseload%'!$T$36,'caseload data'!S:S),"")</f>
        <v/>
      </c>
      <c r="AJ40" s="167" t="str">
        <f>IFERROR(SUMIFS('caseload data'!T:T,'caseload data'!$C:$C,'divisional &amp; regional caseload%'!$T$36,'caseload data'!$D:$D,"TPO")/SUMIF('caseload data'!$C:$C,'divisional &amp; regional caseload%'!$T$36,'caseload data'!T:T),"")</f>
        <v/>
      </c>
    </row>
    <row r="41" spans="2:36" x14ac:dyDescent="0.15">
      <c r="B41" s="98" t="s">
        <v>954</v>
      </c>
      <c r="C41" s="167" t="str">
        <f>IFERROR(SUMIFS('caseload data'!E:E,'caseload data'!$C:$C,'divisional &amp; regional caseload%'!$B$36,'caseload data'!$D:$D,"SPO")/SUMIF('caseload data'!$C:$C,'divisional &amp; regional caseload%'!$B$36,'caseload data'!E:E),"")</f>
        <v/>
      </c>
      <c r="D41" s="167" t="str">
        <f>IFERROR(SUMIFS('caseload data'!F:F,'caseload data'!$C:$C,'divisional &amp; regional caseload%'!$B$36,'caseload data'!$D:$D,"SPO")/SUMIF('caseload data'!$C:$C,'divisional &amp; regional caseload%'!$B$36,'caseload data'!F:F),"")</f>
        <v/>
      </c>
      <c r="E41" s="167" t="str">
        <f>IFERROR(SUMIFS('caseload data'!G:G,'caseload data'!$C:$C,'divisional &amp; regional caseload%'!$B$36,'caseload data'!$D:$D,"SPO")/SUMIF('caseload data'!$C:$C,'divisional &amp; regional caseload%'!$B$36,'caseload data'!G:G),"")</f>
        <v/>
      </c>
      <c r="F41" s="167" t="str">
        <f>IFERROR(SUMIFS('caseload data'!H:H,'caseload data'!$C:$C,'divisional &amp; regional caseload%'!$B$36,'caseload data'!$D:$D,"SPO")/SUMIF('caseload data'!$C:$C,'divisional &amp; regional caseload%'!$B$36,'caseload data'!H:H),"")</f>
        <v/>
      </c>
      <c r="G41" s="167" t="str">
        <f>IFERROR(SUMIFS('caseload data'!I:I,'caseload data'!$C:$C,'divisional &amp; regional caseload%'!$B$36,'caseload data'!$D:$D,"SPO")/SUMIF('caseload data'!$C:$C,'divisional &amp; regional caseload%'!$B$36,'caseload data'!I:I),"")</f>
        <v/>
      </c>
      <c r="H41" s="167" t="str">
        <f>IFERROR(SUMIFS('caseload data'!J:J,'caseload data'!$C:$C,'divisional &amp; regional caseload%'!$B$36,'caseload data'!$D:$D,"SPO")/SUMIF('caseload data'!$C:$C,'divisional &amp; regional caseload%'!$B$36,'caseload data'!J:J),"")</f>
        <v/>
      </c>
      <c r="I41" s="167" t="str">
        <f>IFERROR(SUMIFS('caseload data'!K:K,'caseload data'!$C:$C,'divisional &amp; regional caseload%'!$B$36,'caseload data'!$D:$D,"SPO")/SUMIF('caseload data'!$C:$C,'divisional &amp; regional caseload%'!$B$36,'caseload data'!K:K),"")</f>
        <v/>
      </c>
      <c r="J41" s="167" t="str">
        <f>IFERROR(SUMIFS('caseload data'!L:L,'caseload data'!$C:$C,'divisional &amp; regional caseload%'!$B$36,'caseload data'!$D:$D,"SPO")/SUMIF('caseload data'!$C:$C,'divisional &amp; regional caseload%'!$B$36,'caseload data'!L:L),"")</f>
        <v/>
      </c>
      <c r="K41" s="167" t="str">
        <f>IFERROR(SUMIFS('caseload data'!M:M,'caseload data'!$C:$C,'divisional &amp; regional caseload%'!$B$36,'caseload data'!$D:$D,"SPO")/SUMIF('caseload data'!$C:$C,'divisional &amp; regional caseload%'!$B$36,'caseload data'!M:M),"")</f>
        <v/>
      </c>
      <c r="L41" s="167" t="str">
        <f>IFERROR(SUMIFS('caseload data'!N:N,'caseload data'!$C:$C,'divisional &amp; regional caseload%'!$B$36,'caseload data'!$D:$D,"SPO")/SUMIF('caseload data'!$C:$C,'divisional &amp; regional caseload%'!$B$36,'caseload data'!N:N),"")</f>
        <v/>
      </c>
      <c r="M41" s="167" t="str">
        <f>IFERROR(SUMIFS('caseload data'!O:O,'caseload data'!$C:$C,'divisional &amp; regional caseload%'!$B$36,'caseload data'!$D:$D,"SPO")/SUMIF('caseload data'!$C:$C,'divisional &amp; regional caseload%'!$B$36,'caseload data'!O:O),"")</f>
        <v/>
      </c>
      <c r="N41" s="167" t="str">
        <f>IFERROR(SUMIFS('caseload data'!P:P,'caseload data'!$C:$C,'divisional &amp; regional caseload%'!$B$36,'caseload data'!$D:$D,"SPO")/SUMIF('caseload data'!$C:$C,'divisional &amp; regional caseload%'!$B$36,'caseload data'!P:P),"")</f>
        <v/>
      </c>
      <c r="O41" s="167" t="str">
        <f>IFERROR(SUMIFS('caseload data'!Q:Q,'caseload data'!$C:$C,'divisional &amp; regional caseload%'!$B$36,'caseload data'!$D:$D,"SPO")/SUMIF('caseload data'!$C:$C,'divisional &amp; regional caseload%'!$B$36,'caseload data'!Q:Q),"")</f>
        <v/>
      </c>
      <c r="P41" s="167" t="str">
        <f>IFERROR(SUMIFS('caseload data'!R:R,'caseload data'!$C:$C,'divisional &amp; regional caseload%'!$B$36,'caseload data'!$D:$D,"SPO")/SUMIF('caseload data'!$C:$C,'divisional &amp; regional caseload%'!$B$36,'caseload data'!R:R),"")</f>
        <v/>
      </c>
      <c r="Q41" s="167" t="str">
        <f>IFERROR(SUMIFS('caseload data'!S:S,'caseload data'!$C:$C,'divisional &amp; regional caseload%'!$B$36,'caseload data'!$D:$D,"SPO")/SUMIF('caseload data'!$C:$C,'divisional &amp; regional caseload%'!$B$36,'caseload data'!S:S),"")</f>
        <v/>
      </c>
      <c r="R41" s="167" t="str">
        <f>IFERROR(SUMIFS('caseload data'!T:T,'caseload data'!$C:$C,'divisional &amp; regional caseload%'!$B$36,'caseload data'!$D:$D,"SPO")/SUMIF('caseload data'!$C:$C,'divisional &amp; regional caseload%'!$B$36,'caseload data'!T:T),"")</f>
        <v/>
      </c>
      <c r="S41" s="64"/>
      <c r="T41" s="98" t="s">
        <v>954</v>
      </c>
      <c r="U41" s="167" t="str">
        <f>IFERROR(SUMIFS('caseload data'!E:E,'caseload data'!$C:$C,'divisional &amp; regional caseload%'!$T$36,'caseload data'!$D:$D,"SPO")/SUMIF('caseload data'!$C:$C,'divisional &amp; regional caseload%'!$T$36,'caseload data'!E:E),"")</f>
        <v/>
      </c>
      <c r="V41" s="167" t="str">
        <f>IFERROR(SUMIFS('caseload data'!F:F,'caseload data'!$C:$C,'divisional &amp; regional caseload%'!$T$36,'caseload data'!$D:$D,"SPO")/SUMIF('caseload data'!$C:$C,'divisional &amp; regional caseload%'!$T$36,'caseload data'!F:F),"")</f>
        <v/>
      </c>
      <c r="W41" s="167" t="str">
        <f>IFERROR(SUMIFS('caseload data'!G:G,'caseload data'!$C:$C,'divisional &amp; regional caseload%'!$T$36,'caseload data'!$D:$D,"SPO")/SUMIF('caseload data'!$C:$C,'divisional &amp; regional caseload%'!$T$36,'caseload data'!G:G),"")</f>
        <v/>
      </c>
      <c r="X41" s="167" t="str">
        <f>IFERROR(SUMIFS('caseload data'!H:H,'caseload data'!$C:$C,'divisional &amp; regional caseload%'!$T$36,'caseload data'!$D:$D,"SPO")/SUMIF('caseload data'!$C:$C,'divisional &amp; regional caseload%'!$T$36,'caseload data'!H:H),"")</f>
        <v/>
      </c>
      <c r="Y41" s="167" t="str">
        <f>IFERROR(SUMIFS('caseload data'!I:I,'caseload data'!$C:$C,'divisional &amp; regional caseload%'!$T$36,'caseload data'!$D:$D,"SPO")/SUMIF('caseload data'!$C:$C,'divisional &amp; regional caseload%'!$T$36,'caseload data'!I:I),"")</f>
        <v/>
      </c>
      <c r="Z41" s="167" t="str">
        <f>IFERROR(SUMIFS('caseload data'!J:J,'caseload data'!$C:$C,'divisional &amp; regional caseload%'!$T$36,'caseload data'!$D:$D,"SPO")/SUMIF('caseload data'!$C:$C,'divisional &amp; regional caseload%'!$T$36,'caseload data'!J:J),"")</f>
        <v/>
      </c>
      <c r="AA41" s="167" t="str">
        <f>IFERROR(SUMIFS('caseload data'!K:K,'caseload data'!$C:$C,'divisional &amp; regional caseload%'!$T$36,'caseload data'!$D:$D,"SPO")/SUMIF('caseload data'!$C:$C,'divisional &amp; regional caseload%'!$T$36,'caseload data'!K:K),"")</f>
        <v/>
      </c>
      <c r="AB41" s="167" t="str">
        <f>IFERROR(SUMIFS('caseload data'!L:L,'caseload data'!$C:$C,'divisional &amp; regional caseload%'!$T$36,'caseload data'!$D:$D,"SPO")/SUMIF('caseload data'!$C:$C,'divisional &amp; regional caseload%'!$T$36,'caseload data'!L:L),"")</f>
        <v/>
      </c>
      <c r="AC41" s="167" t="str">
        <f>IFERROR(SUMIFS('caseload data'!M:M,'caseload data'!$C:$C,'divisional &amp; regional caseload%'!$T$36,'caseload data'!$D:$D,"SPO")/SUMIF('caseload data'!$C:$C,'divisional &amp; regional caseload%'!$T$36,'caseload data'!M:M),"")</f>
        <v/>
      </c>
      <c r="AD41" s="167" t="str">
        <f>IFERROR(SUMIFS('caseload data'!N:N,'caseload data'!$C:$C,'divisional &amp; regional caseload%'!$T$36,'caseload data'!$D:$D,"SPO")/SUMIF('caseload data'!$C:$C,'divisional &amp; regional caseload%'!$T$36,'caseload data'!N:N),"")</f>
        <v/>
      </c>
      <c r="AE41" s="167" t="str">
        <f>IFERROR(SUMIFS('caseload data'!O:O,'caseload data'!$C:$C,'divisional &amp; regional caseload%'!$T$36,'caseload data'!$D:$D,"SPO")/SUMIF('caseload data'!$C:$C,'divisional &amp; regional caseload%'!$T$36,'caseload data'!O:O),"")</f>
        <v/>
      </c>
      <c r="AF41" s="167" t="str">
        <f>IFERROR(SUMIFS('caseload data'!P:P,'caseload data'!$C:$C,'divisional &amp; regional caseload%'!$T$36,'caseload data'!$D:$D,"SPO")/SUMIF('caseload data'!$C:$C,'divisional &amp; regional caseload%'!$T$36,'caseload data'!P:P),"")</f>
        <v/>
      </c>
      <c r="AG41" s="167" t="str">
        <f>IFERROR(SUMIFS('caseload data'!Q:Q,'caseload data'!$C:$C,'divisional &amp; regional caseload%'!$T$36,'caseload data'!$D:$D,"SPO")/SUMIF('caseload data'!$C:$C,'divisional &amp; regional caseload%'!$T$36,'caseload data'!Q:Q),"")</f>
        <v/>
      </c>
      <c r="AH41" s="167" t="str">
        <f>IFERROR(SUMIFS('caseload data'!R:R,'caseload data'!$C:$C,'divisional &amp; regional caseload%'!$T$36,'caseload data'!$D:$D,"SPO")/SUMIF('caseload data'!$C:$C,'divisional &amp; regional caseload%'!$T$36,'caseload data'!R:R),"")</f>
        <v/>
      </c>
      <c r="AI41" s="167" t="str">
        <f>IFERROR(SUMIFS('caseload data'!S:S,'caseload data'!$C:$C,'divisional &amp; regional caseload%'!$T$36,'caseload data'!$D:$D,"SPO")/SUMIF('caseload data'!$C:$C,'divisional &amp; regional caseload%'!$T$36,'caseload data'!S:S),"")</f>
        <v/>
      </c>
      <c r="AJ41" s="167" t="str">
        <f>IFERROR(SUMIFS('caseload data'!T:T,'caseload data'!$C:$C,'divisional &amp; regional caseload%'!$T$36,'caseload data'!$D:$D,"SPO")/SUMIF('caseload data'!$C:$C,'divisional &amp; regional caseload%'!$T$36,'caseload data'!T:T),"")</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7.5" customHeight="1" x14ac:dyDescent="0.15">
      <c r="B43" s="288">
        <f>HLOOKUP($B$5,Region_Table,12,0)</f>
        <v>0</v>
      </c>
      <c r="C43" s="556" t="s">
        <v>1043</v>
      </c>
      <c r="D43" s="557"/>
      <c r="E43" s="557"/>
      <c r="F43" s="557"/>
      <c r="G43" s="557"/>
      <c r="H43" s="557"/>
      <c r="I43" s="557"/>
      <c r="J43" s="557"/>
      <c r="K43" s="557"/>
      <c r="L43" s="557"/>
      <c r="M43" s="558"/>
      <c r="N43" s="558"/>
      <c r="O43" s="559"/>
      <c r="P43" s="543">
        <f>SUMIF('caseload data'!$C:$C,'divisional &amp; regional caseload%'!B43,'caseload data'!V:V)</f>
        <v>0</v>
      </c>
      <c r="Q43" s="560"/>
      <c r="R43" s="561"/>
      <c r="S43" s="64"/>
      <c r="T43" s="288">
        <f>HLOOKUP($B$5,Region_Table,13,0)</f>
        <v>0</v>
      </c>
      <c r="U43" s="556" t="s">
        <v>1043</v>
      </c>
      <c r="V43" s="557"/>
      <c r="W43" s="557"/>
      <c r="X43" s="557"/>
      <c r="Y43" s="557"/>
      <c r="Z43" s="557"/>
      <c r="AA43" s="557"/>
      <c r="AB43" s="557"/>
      <c r="AC43" s="557"/>
      <c r="AD43" s="557"/>
      <c r="AE43" s="558"/>
      <c r="AF43" s="558"/>
      <c r="AG43" s="559"/>
      <c r="AH43" s="543">
        <f>SUMIF('caseload data'!$C:$C,'divisional &amp; regional caseload%'!T43,'caseload data'!V:V)</f>
        <v>0</v>
      </c>
      <c r="AI43" s="560"/>
      <c r="AJ43" s="561"/>
    </row>
    <row r="44" spans="2:36" x14ac:dyDescent="0.15">
      <c r="B44" s="95" t="s">
        <v>951</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951</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167" t="str">
        <f>IFERROR(SUMIFS('caseload data'!E:E,'caseload data'!$C:$C,'divisional &amp; regional caseload%'!$B$43,'caseload data'!$D:$D,"PO")/SUMIF('caseload data'!$C:$C,'divisional &amp; regional caseload%'!$B$43,'caseload data'!E:E),"")</f>
        <v/>
      </c>
      <c r="D45" s="167" t="str">
        <f>IFERROR(SUMIFS('caseload data'!F:F,'caseload data'!$C:$C,'divisional &amp; regional caseload%'!$B$43,'caseload data'!$D:$D,"PO")/SUMIF('caseload data'!$C:$C,'divisional &amp; regional caseload%'!$B$43,'caseload data'!F:F),"")</f>
        <v/>
      </c>
      <c r="E45" s="167" t="str">
        <f>IFERROR(SUMIFS('caseload data'!G:G,'caseload data'!$C:$C,'divisional &amp; regional caseload%'!$B$43,'caseload data'!$D:$D,"PO")/SUMIF('caseload data'!$C:$C,'divisional &amp; regional caseload%'!$B$43,'caseload data'!G:G),"")</f>
        <v/>
      </c>
      <c r="F45" s="167" t="str">
        <f>IFERROR(SUMIFS('caseload data'!H:H,'caseload data'!$C:$C,'divisional &amp; regional caseload%'!$B$43,'caseload data'!$D:$D,"PO")/SUMIF('caseload data'!$C:$C,'divisional &amp; regional caseload%'!$B$43,'caseload data'!H:H),"")</f>
        <v/>
      </c>
      <c r="G45" s="167" t="str">
        <f>IFERROR(SUMIFS('caseload data'!I:I,'caseload data'!$C:$C,'divisional &amp; regional caseload%'!$B$43,'caseload data'!$D:$D,"PO")/SUMIF('caseload data'!$C:$C,'divisional &amp; regional caseload%'!$B$43,'caseload data'!I:I),"")</f>
        <v/>
      </c>
      <c r="H45" s="167" t="str">
        <f>IFERROR(SUMIFS('caseload data'!J:J,'caseload data'!$C:$C,'divisional &amp; regional caseload%'!$B$43,'caseload data'!$D:$D,"PO")/SUMIF('caseload data'!$C:$C,'divisional &amp; regional caseload%'!$B$43,'caseload data'!J:J),"")</f>
        <v/>
      </c>
      <c r="I45" s="167" t="str">
        <f>IFERROR(SUMIFS('caseload data'!K:K,'caseload data'!$C:$C,'divisional &amp; regional caseload%'!$B$43,'caseload data'!$D:$D,"PO")/SUMIF('caseload data'!$C:$C,'divisional &amp; regional caseload%'!$B$43,'caseload data'!K:K),"")</f>
        <v/>
      </c>
      <c r="J45" s="167" t="str">
        <f>IFERROR(SUMIFS('caseload data'!L:L,'caseload data'!$C:$C,'divisional &amp; regional caseload%'!$B$43,'caseload data'!$D:$D,"PO")/SUMIF('caseload data'!$C:$C,'divisional &amp; regional caseload%'!$B$43,'caseload data'!L:L),"")</f>
        <v/>
      </c>
      <c r="K45" s="167" t="str">
        <f>IFERROR(SUMIFS('caseload data'!M:M,'caseload data'!$C:$C,'divisional &amp; regional caseload%'!$B$43,'caseload data'!$D:$D,"PO")/SUMIF('caseload data'!$C:$C,'divisional &amp; regional caseload%'!$B$43,'caseload data'!M:M),"")</f>
        <v/>
      </c>
      <c r="L45" s="167" t="str">
        <f>IFERROR(SUMIFS('caseload data'!N:N,'caseload data'!$C:$C,'divisional &amp; regional caseload%'!$B$43,'caseload data'!$D:$D,"PO")/SUMIF('caseload data'!$C:$C,'divisional &amp; regional caseload%'!$B$43,'caseload data'!N:N),"")</f>
        <v/>
      </c>
      <c r="M45" s="167" t="str">
        <f>IFERROR(SUMIFS('caseload data'!O:O,'caseload data'!$C:$C,'divisional &amp; regional caseload%'!$B$43,'caseload data'!$D:$D,"PO")/SUMIF('caseload data'!$C:$C,'divisional &amp; regional caseload%'!$B$43,'caseload data'!O:O),"")</f>
        <v/>
      </c>
      <c r="N45" s="167" t="str">
        <f>IFERROR(SUMIFS('caseload data'!P:P,'caseload data'!$C:$C,'divisional &amp; regional caseload%'!$B$43,'caseload data'!$D:$D,"PO")/SUMIF('caseload data'!$C:$C,'divisional &amp; regional caseload%'!$B$43,'caseload data'!P:P),"")</f>
        <v/>
      </c>
      <c r="O45" s="167" t="str">
        <f>IFERROR(SUMIFS('caseload data'!Q:Q,'caseload data'!$C:$C,'divisional &amp; regional caseload%'!$B$43,'caseload data'!$D:$D,"PO")/SUMIF('caseload data'!$C:$C,'divisional &amp; regional caseload%'!$B$43,'caseload data'!Q:Q),"")</f>
        <v/>
      </c>
      <c r="P45" s="167" t="str">
        <f>IFERROR(SUMIFS('caseload data'!R:R,'caseload data'!$C:$C,'divisional &amp; regional caseload%'!$B$43,'caseload data'!$D:$D,"PO")/SUMIF('caseload data'!$C:$C,'divisional &amp; regional caseload%'!$B$43,'caseload data'!R:R),"")</f>
        <v/>
      </c>
      <c r="Q45" s="167" t="str">
        <f>IFERROR(SUMIFS('caseload data'!S:S,'caseload data'!$C:$C,'divisional &amp; regional caseload%'!$B$43,'caseload data'!$D:$D,"PO")/SUMIF('caseload data'!$C:$C,'divisional &amp; regional caseload%'!$B$43,'caseload data'!S:S),"")</f>
        <v/>
      </c>
      <c r="R45" s="167" t="str">
        <f>IFERROR(SUMIFS('caseload data'!T:T,'caseload data'!$C:$C,'divisional &amp; regional caseload%'!$B$43,'caseload data'!$D:$D,"PO")/SUMIF('caseload data'!$C:$C,'divisional &amp; regional caseload%'!$B$43,'caseload data'!T:T),"")</f>
        <v/>
      </c>
      <c r="S45" s="64"/>
      <c r="T45" s="96" t="s">
        <v>947</v>
      </c>
      <c r="U45" s="167" t="str">
        <f>IFERROR(SUMIFS('caseload data'!E:E,'caseload data'!$C:$C,'divisional &amp; regional caseload%'!$T$43,'caseload data'!$D:$D,"PO")/SUMIF('caseload data'!$C:$C,'divisional &amp; regional caseload%'!$T$43,'caseload data'!E:E),"")</f>
        <v/>
      </c>
      <c r="V45" s="167" t="str">
        <f>IFERROR(SUMIFS('caseload data'!F:F,'caseload data'!$C:$C,'divisional &amp; regional caseload%'!$T$43,'caseload data'!$D:$D,"PO")/SUMIF('caseload data'!$C:$C,'divisional &amp; regional caseload%'!$T$43,'caseload data'!F:F),"")</f>
        <v/>
      </c>
      <c r="W45" s="167" t="str">
        <f>IFERROR(SUMIFS('caseload data'!G:G,'caseload data'!$C:$C,'divisional &amp; regional caseload%'!$T$43,'caseload data'!$D:$D,"PO")/SUMIF('caseload data'!$C:$C,'divisional &amp; regional caseload%'!$T$43,'caseload data'!G:G),"")</f>
        <v/>
      </c>
      <c r="X45" s="167" t="str">
        <f>IFERROR(SUMIFS('caseload data'!H:H,'caseload data'!$C:$C,'divisional &amp; regional caseload%'!$T$43,'caseload data'!$D:$D,"PO")/SUMIF('caseload data'!$C:$C,'divisional &amp; regional caseload%'!$T$43,'caseload data'!H:H),"")</f>
        <v/>
      </c>
      <c r="Y45" s="167" t="str">
        <f>IFERROR(SUMIFS('caseload data'!I:I,'caseload data'!$C:$C,'divisional &amp; regional caseload%'!$T$43,'caseload data'!$D:$D,"PO")/SUMIF('caseload data'!$C:$C,'divisional &amp; regional caseload%'!$T$43,'caseload data'!I:I),"")</f>
        <v/>
      </c>
      <c r="Z45" s="167" t="str">
        <f>IFERROR(SUMIFS('caseload data'!J:J,'caseload data'!$C:$C,'divisional &amp; regional caseload%'!$T$43,'caseload data'!$D:$D,"PO")/SUMIF('caseload data'!$C:$C,'divisional &amp; regional caseload%'!$T$43,'caseload data'!J:J),"")</f>
        <v/>
      </c>
      <c r="AA45" s="167" t="str">
        <f>IFERROR(SUMIFS('caseload data'!K:K,'caseload data'!$C:$C,'divisional &amp; regional caseload%'!$T$43,'caseload data'!$D:$D,"PO")/SUMIF('caseload data'!$C:$C,'divisional &amp; regional caseload%'!$T$43,'caseload data'!K:K),"")</f>
        <v/>
      </c>
      <c r="AB45" s="167" t="str">
        <f>IFERROR(SUMIFS('caseload data'!L:L,'caseload data'!$C:$C,'divisional &amp; regional caseload%'!$T$43,'caseload data'!$D:$D,"PO")/SUMIF('caseload data'!$C:$C,'divisional &amp; regional caseload%'!$T$43,'caseload data'!L:L),"")</f>
        <v/>
      </c>
      <c r="AC45" s="167" t="str">
        <f>IFERROR(SUMIFS('caseload data'!M:M,'caseload data'!$C:$C,'divisional &amp; regional caseload%'!$T$43,'caseload data'!$D:$D,"PO")/SUMIF('caseload data'!$C:$C,'divisional &amp; regional caseload%'!$T$43,'caseload data'!M:M),"")</f>
        <v/>
      </c>
      <c r="AD45" s="167" t="str">
        <f>IFERROR(SUMIFS('caseload data'!N:N,'caseload data'!$C:$C,'divisional &amp; regional caseload%'!$T$43,'caseload data'!$D:$D,"PO")/SUMIF('caseload data'!$C:$C,'divisional &amp; regional caseload%'!$T$43,'caseload data'!N:N),"")</f>
        <v/>
      </c>
      <c r="AE45" s="167" t="str">
        <f>IFERROR(SUMIFS('caseload data'!O:O,'caseload data'!$C:$C,'divisional &amp; regional caseload%'!$T$43,'caseload data'!$D:$D,"PO")/SUMIF('caseload data'!$C:$C,'divisional &amp; regional caseload%'!$T$43,'caseload data'!O:O),"")</f>
        <v/>
      </c>
      <c r="AF45" s="167" t="str">
        <f>IFERROR(SUMIFS('caseload data'!P:P,'caseload data'!$C:$C,'divisional &amp; regional caseload%'!$T$43,'caseload data'!$D:$D,"PO")/SUMIF('caseload data'!$C:$C,'divisional &amp; regional caseload%'!$T$43,'caseload data'!P:P),"")</f>
        <v/>
      </c>
      <c r="AG45" s="167" t="str">
        <f>IFERROR(SUMIFS('caseload data'!Q:Q,'caseload data'!$C:$C,'divisional &amp; regional caseload%'!$T$43,'caseload data'!$D:$D,"PO")/SUMIF('caseload data'!$C:$C,'divisional &amp; regional caseload%'!$T$43,'caseload data'!Q:Q),"")</f>
        <v/>
      </c>
      <c r="AH45" s="167" t="str">
        <f>IFERROR(SUMIFS('caseload data'!R:R,'caseload data'!$C:$C,'divisional &amp; regional caseload%'!$T$43,'caseload data'!$D:$D,"PO")/SUMIF('caseload data'!$C:$C,'divisional &amp; regional caseload%'!$T$43,'caseload data'!R:R),"")</f>
        <v/>
      </c>
      <c r="AI45" s="167" t="str">
        <f>IFERROR(SUMIFS('caseload data'!S:S,'caseload data'!$C:$C,'divisional &amp; regional caseload%'!$T$43,'caseload data'!$D:$D,"PO")/SUMIF('caseload data'!$C:$C,'divisional &amp; regional caseload%'!$T$43,'caseload data'!S:S),"")</f>
        <v/>
      </c>
      <c r="AJ45" s="167" t="str">
        <f>IFERROR(SUMIFS('caseload data'!T:T,'caseload data'!$C:$C,'divisional &amp; regional caseload%'!$T$43,'caseload data'!$D:$D,"PO")/SUMIF('caseload data'!$C:$C,'divisional &amp; regional caseload%'!$T$43,'caseload data'!T:T),"")</f>
        <v/>
      </c>
    </row>
    <row r="46" spans="2:36" x14ac:dyDescent="0.15">
      <c r="B46" s="97" t="s">
        <v>952</v>
      </c>
      <c r="C46" s="167" t="str">
        <f>IFERROR(SUMIFS('caseload data'!E:E,'caseload data'!$C:$C,'divisional &amp; regional caseload%'!$B$43,'caseload data'!$D:$D,"PSO")/SUMIF('caseload data'!$C:$C,'divisional &amp; regional caseload%'!$B$43,'caseload data'!E:E),"")</f>
        <v/>
      </c>
      <c r="D46" s="167" t="str">
        <f>IFERROR(SUMIFS('caseload data'!F:F,'caseload data'!$C:$C,'divisional &amp; regional caseload%'!$B$43,'caseload data'!$D:$D,"PSO")/SUMIF('caseload data'!$C:$C,'divisional &amp; regional caseload%'!$B$43,'caseload data'!F:F),"")</f>
        <v/>
      </c>
      <c r="E46" s="167" t="str">
        <f>IFERROR(SUMIFS('caseload data'!G:G,'caseload data'!$C:$C,'divisional &amp; regional caseload%'!$B$43,'caseload data'!$D:$D,"PSO")/SUMIF('caseload data'!$C:$C,'divisional &amp; regional caseload%'!$B$43,'caseload data'!G:G),"")</f>
        <v/>
      </c>
      <c r="F46" s="167" t="str">
        <f>IFERROR(SUMIFS('caseload data'!H:H,'caseload data'!$C:$C,'divisional &amp; regional caseload%'!$B$43,'caseload data'!$D:$D,"PSO")/SUMIF('caseload data'!$C:$C,'divisional &amp; regional caseload%'!$B$43,'caseload data'!H:H),"")</f>
        <v/>
      </c>
      <c r="G46" s="167" t="str">
        <f>IFERROR(SUMIFS('caseload data'!I:I,'caseload data'!$C:$C,'divisional &amp; regional caseload%'!$B$43,'caseload data'!$D:$D,"PSO")/SUMIF('caseload data'!$C:$C,'divisional &amp; regional caseload%'!$B$43,'caseload data'!I:I),"")</f>
        <v/>
      </c>
      <c r="H46" s="167" t="str">
        <f>IFERROR(SUMIFS('caseload data'!J:J,'caseload data'!$C:$C,'divisional &amp; regional caseload%'!$B$43,'caseload data'!$D:$D,"PSO")/SUMIF('caseload data'!$C:$C,'divisional &amp; regional caseload%'!$B$43,'caseload data'!J:J),"")</f>
        <v/>
      </c>
      <c r="I46" s="167" t="str">
        <f>IFERROR(SUMIFS('caseload data'!K:K,'caseload data'!$C:$C,'divisional &amp; regional caseload%'!$B$43,'caseload data'!$D:$D,"PSO")/SUMIF('caseload data'!$C:$C,'divisional &amp; regional caseload%'!$B$43,'caseload data'!K:K),"")</f>
        <v/>
      </c>
      <c r="J46" s="167" t="str">
        <f>IFERROR(SUMIFS('caseload data'!L:L,'caseload data'!$C:$C,'divisional &amp; regional caseload%'!$B$43,'caseload data'!$D:$D,"PSO")/SUMIF('caseload data'!$C:$C,'divisional &amp; regional caseload%'!$B$43,'caseload data'!L:L),"")</f>
        <v/>
      </c>
      <c r="K46" s="167" t="str">
        <f>IFERROR(SUMIFS('caseload data'!M:M,'caseload data'!$C:$C,'divisional &amp; regional caseload%'!$B$43,'caseload data'!$D:$D,"PSO")/SUMIF('caseload data'!$C:$C,'divisional &amp; regional caseload%'!$B$43,'caseload data'!M:M),"")</f>
        <v/>
      </c>
      <c r="L46" s="167" t="str">
        <f>IFERROR(SUMIFS('caseload data'!N:N,'caseload data'!$C:$C,'divisional &amp; regional caseload%'!$B$43,'caseload data'!$D:$D,"PSO")/SUMIF('caseload data'!$C:$C,'divisional &amp; regional caseload%'!$B$43,'caseload data'!N:N),"")</f>
        <v/>
      </c>
      <c r="M46" s="167" t="str">
        <f>IFERROR(SUMIFS('caseload data'!O:O,'caseload data'!$C:$C,'divisional &amp; regional caseload%'!$B$43,'caseload data'!$D:$D,"PSO")/SUMIF('caseload data'!$C:$C,'divisional &amp; regional caseload%'!$B$43,'caseload data'!O:O),"")</f>
        <v/>
      </c>
      <c r="N46" s="167" t="str">
        <f>IFERROR(SUMIFS('caseload data'!P:P,'caseload data'!$C:$C,'divisional &amp; regional caseload%'!$B$43,'caseload data'!$D:$D,"PSO")/SUMIF('caseload data'!$C:$C,'divisional &amp; regional caseload%'!$B$43,'caseload data'!P:P),"")</f>
        <v/>
      </c>
      <c r="O46" s="167" t="str">
        <f>IFERROR(SUMIFS('caseload data'!Q:Q,'caseload data'!$C:$C,'divisional &amp; regional caseload%'!$B$43,'caseload data'!$D:$D,"PSO")/SUMIF('caseload data'!$C:$C,'divisional &amp; regional caseload%'!$B$43,'caseload data'!Q:Q),"")</f>
        <v/>
      </c>
      <c r="P46" s="167" t="str">
        <f>IFERROR(SUMIFS('caseload data'!R:R,'caseload data'!$C:$C,'divisional &amp; regional caseload%'!$B$43,'caseload data'!$D:$D,"PSO")/SUMIF('caseload data'!$C:$C,'divisional &amp; regional caseload%'!$B$43,'caseload data'!R:R),"")</f>
        <v/>
      </c>
      <c r="Q46" s="167" t="str">
        <f>IFERROR(SUMIFS('caseload data'!S:S,'caseload data'!$C:$C,'divisional &amp; regional caseload%'!$B$43,'caseload data'!$D:$D,"PSO")/SUMIF('caseload data'!$C:$C,'divisional &amp; regional caseload%'!$B$43,'caseload data'!S:S),"")</f>
        <v/>
      </c>
      <c r="R46" s="167" t="str">
        <f>IFERROR(SUMIFS('caseload data'!T:T,'caseload data'!$C:$C,'divisional &amp; regional caseload%'!$B$43,'caseload data'!$D:$D,"PSO")/SUMIF('caseload data'!$C:$C,'divisional &amp; regional caseload%'!$B$43,'caseload data'!T:T),"")</f>
        <v/>
      </c>
      <c r="S46" s="64"/>
      <c r="T46" s="97" t="s">
        <v>952</v>
      </c>
      <c r="U46" s="167" t="str">
        <f>IFERROR(SUMIFS('caseload data'!E:E,'caseload data'!$C:$C,'divisional &amp; regional caseload%'!$T$43,'caseload data'!$D:$D,"PSO")/SUMIF('caseload data'!$C:$C,'divisional &amp; regional caseload%'!$T$36,'caseload data'!E:E),"")</f>
        <v/>
      </c>
      <c r="V46" s="167" t="str">
        <f>IFERROR(SUMIFS('caseload data'!F:F,'caseload data'!$C:$C,'divisional &amp; regional caseload%'!$T$43,'caseload data'!$D:$D,"PSO")/SUMIF('caseload data'!$C:$C,'divisional &amp; regional caseload%'!$T$36,'caseload data'!F:F),"")</f>
        <v/>
      </c>
      <c r="W46" s="167" t="str">
        <f>IFERROR(SUMIFS('caseload data'!G:G,'caseload data'!$C:$C,'divisional &amp; regional caseload%'!$T$43,'caseload data'!$D:$D,"PSO")/SUMIF('caseload data'!$C:$C,'divisional &amp; regional caseload%'!$T$36,'caseload data'!G:G),"")</f>
        <v/>
      </c>
      <c r="X46" s="167" t="str">
        <f>IFERROR(SUMIFS('caseload data'!H:H,'caseload data'!$C:$C,'divisional &amp; regional caseload%'!$T$43,'caseload data'!$D:$D,"PSO")/SUMIF('caseload data'!$C:$C,'divisional &amp; regional caseload%'!$T$36,'caseload data'!H:H),"")</f>
        <v/>
      </c>
      <c r="Y46" s="167" t="str">
        <f>IFERROR(SUMIFS('caseload data'!I:I,'caseload data'!$C:$C,'divisional &amp; regional caseload%'!$T$43,'caseload data'!$D:$D,"PSO")/SUMIF('caseload data'!$C:$C,'divisional &amp; regional caseload%'!$T$36,'caseload data'!I:I),"")</f>
        <v/>
      </c>
      <c r="Z46" s="167" t="str">
        <f>IFERROR(SUMIFS('caseload data'!J:J,'caseload data'!$C:$C,'divisional &amp; regional caseload%'!$T$43,'caseload data'!$D:$D,"PSO")/SUMIF('caseload data'!$C:$C,'divisional &amp; regional caseload%'!$T$36,'caseload data'!J:J),"")</f>
        <v/>
      </c>
      <c r="AA46" s="167" t="str">
        <f>IFERROR(SUMIFS('caseload data'!K:K,'caseload data'!$C:$C,'divisional &amp; regional caseload%'!$T$43,'caseload data'!$D:$D,"PSO")/SUMIF('caseload data'!$C:$C,'divisional &amp; regional caseload%'!$T$36,'caseload data'!K:K),"")</f>
        <v/>
      </c>
      <c r="AB46" s="167" t="str">
        <f>IFERROR(SUMIFS('caseload data'!L:L,'caseload data'!$C:$C,'divisional &amp; regional caseload%'!$T$43,'caseload data'!$D:$D,"PSO")/SUMIF('caseload data'!$C:$C,'divisional &amp; regional caseload%'!$T$36,'caseload data'!L:L),"")</f>
        <v/>
      </c>
      <c r="AC46" s="167" t="str">
        <f>IFERROR(SUMIFS('caseload data'!M:M,'caseload data'!$C:$C,'divisional &amp; regional caseload%'!$T$43,'caseload data'!$D:$D,"PSO")/SUMIF('caseload data'!$C:$C,'divisional &amp; regional caseload%'!$T$36,'caseload data'!M:M),"")</f>
        <v/>
      </c>
      <c r="AD46" s="167" t="str">
        <f>IFERROR(SUMIFS('caseload data'!N:N,'caseload data'!$C:$C,'divisional &amp; regional caseload%'!$T$43,'caseload data'!$D:$D,"PSO")/SUMIF('caseload data'!$C:$C,'divisional &amp; regional caseload%'!$T$36,'caseload data'!N:N),"")</f>
        <v/>
      </c>
      <c r="AE46" s="167" t="str">
        <f>IFERROR(SUMIFS('caseload data'!O:O,'caseload data'!$C:$C,'divisional &amp; regional caseload%'!$T$43,'caseload data'!$D:$D,"PSO")/SUMIF('caseload data'!$C:$C,'divisional &amp; regional caseload%'!$T$36,'caseload data'!O:O),"")</f>
        <v/>
      </c>
      <c r="AF46" s="167" t="str">
        <f>IFERROR(SUMIFS('caseload data'!P:P,'caseload data'!$C:$C,'divisional &amp; regional caseload%'!$T$43,'caseload data'!$D:$D,"PSO")/SUMIF('caseload data'!$C:$C,'divisional &amp; regional caseload%'!$T$36,'caseload data'!P:P),"")</f>
        <v/>
      </c>
      <c r="AG46" s="167" t="str">
        <f>IFERROR(SUMIFS('caseload data'!Q:Q,'caseload data'!$C:$C,'divisional &amp; regional caseload%'!$T$43,'caseload data'!$D:$D,"PSO")/SUMIF('caseload data'!$C:$C,'divisional &amp; regional caseload%'!$T$36,'caseload data'!Q:Q),"")</f>
        <v/>
      </c>
      <c r="AH46" s="167" t="str">
        <f>IFERROR(SUMIFS('caseload data'!R:R,'caseload data'!$C:$C,'divisional &amp; regional caseload%'!$T$43,'caseload data'!$D:$D,"PSO")/SUMIF('caseload data'!$C:$C,'divisional &amp; regional caseload%'!$T$36,'caseload data'!R:R),"")</f>
        <v/>
      </c>
      <c r="AI46" s="167" t="str">
        <f>IFERROR(SUMIFS('caseload data'!S:S,'caseload data'!$C:$C,'divisional &amp; regional caseload%'!$T$43,'caseload data'!$D:$D,"PSO")/SUMIF('caseload data'!$C:$C,'divisional &amp; regional caseload%'!$T$36,'caseload data'!S:S),"")</f>
        <v/>
      </c>
      <c r="AJ46" s="167" t="str">
        <f>IFERROR(SUMIFS('caseload data'!T:T,'caseload data'!$C:$C,'divisional &amp; regional caseload%'!$T$43,'caseload data'!$D:$D,"PSO")/SUMIF('caseload data'!$C:$C,'divisional &amp; regional caseload%'!$T$36,'caseload data'!T:T),"")</f>
        <v/>
      </c>
    </row>
    <row r="47" spans="2:36" x14ac:dyDescent="0.15">
      <c r="B47" s="97" t="s">
        <v>953</v>
      </c>
      <c r="C47" s="167" t="str">
        <f>IFERROR(SUMIFS('caseload data'!E:E,'caseload data'!$C:$C,'divisional &amp; regional caseload%'!$B$43,'caseload data'!$D:$D,"TPO")/SUMIF('caseload data'!$C:$C,'divisional &amp; regional caseload%'!$B$43,'caseload data'!E:E),"")</f>
        <v/>
      </c>
      <c r="D47" s="167" t="str">
        <f>IFERROR(SUMIFS('caseload data'!F:F,'caseload data'!$C:$C,'divisional &amp; regional caseload%'!$B$43,'caseload data'!$D:$D,"TPO")/SUMIF('caseload data'!$C:$C,'divisional &amp; regional caseload%'!$B$43,'caseload data'!F:F),"")</f>
        <v/>
      </c>
      <c r="E47" s="167" t="str">
        <f>IFERROR(SUMIFS('caseload data'!G:G,'caseload data'!$C:$C,'divisional &amp; regional caseload%'!$B$43,'caseload data'!$D:$D,"TPO")/SUMIF('caseload data'!$C:$C,'divisional &amp; regional caseload%'!$B$43,'caseload data'!G:G),"")</f>
        <v/>
      </c>
      <c r="F47" s="167" t="str">
        <f>IFERROR(SUMIFS('caseload data'!H:H,'caseload data'!$C:$C,'divisional &amp; regional caseload%'!$B$43,'caseload data'!$D:$D,"TPO")/SUMIF('caseload data'!$C:$C,'divisional &amp; regional caseload%'!$B$43,'caseload data'!H:H),"")</f>
        <v/>
      </c>
      <c r="G47" s="167" t="str">
        <f>IFERROR(SUMIFS('caseload data'!I:I,'caseload data'!$C:$C,'divisional &amp; regional caseload%'!$B$43,'caseload data'!$D:$D,"TPO")/SUMIF('caseload data'!$C:$C,'divisional &amp; regional caseload%'!$B$43,'caseload data'!I:I),"")</f>
        <v/>
      </c>
      <c r="H47" s="167" t="str">
        <f>IFERROR(SUMIFS('caseload data'!J:J,'caseload data'!$C:$C,'divisional &amp; regional caseload%'!$B$43,'caseload data'!$D:$D,"TPO")/SUMIF('caseload data'!$C:$C,'divisional &amp; regional caseload%'!$B$43,'caseload data'!J:J),"")</f>
        <v/>
      </c>
      <c r="I47" s="167" t="str">
        <f>IFERROR(SUMIFS('caseload data'!K:K,'caseload data'!$C:$C,'divisional &amp; regional caseload%'!$B$43,'caseload data'!$D:$D,"TPO")/SUMIF('caseload data'!$C:$C,'divisional &amp; regional caseload%'!$B$43,'caseload data'!K:K),"")</f>
        <v/>
      </c>
      <c r="J47" s="167" t="str">
        <f>IFERROR(SUMIFS('caseload data'!L:L,'caseload data'!$C:$C,'divisional &amp; regional caseload%'!$B$43,'caseload data'!$D:$D,"TPO")/SUMIF('caseload data'!$C:$C,'divisional &amp; regional caseload%'!$B$43,'caseload data'!L:L),"")</f>
        <v/>
      </c>
      <c r="K47" s="167" t="str">
        <f>IFERROR(SUMIFS('caseload data'!M:M,'caseload data'!$C:$C,'divisional &amp; regional caseload%'!$B$43,'caseload data'!$D:$D,"TPO")/SUMIF('caseload data'!$C:$C,'divisional &amp; regional caseload%'!$B$43,'caseload data'!M:M),"")</f>
        <v/>
      </c>
      <c r="L47" s="167" t="str">
        <f>IFERROR(SUMIFS('caseload data'!N:N,'caseload data'!$C:$C,'divisional &amp; regional caseload%'!$B$43,'caseload data'!$D:$D,"TPO")/SUMIF('caseload data'!$C:$C,'divisional &amp; regional caseload%'!$B$43,'caseload data'!N:N),"")</f>
        <v/>
      </c>
      <c r="M47" s="167" t="str">
        <f>IFERROR(SUMIFS('caseload data'!O:O,'caseload data'!$C:$C,'divisional &amp; regional caseload%'!$B$43,'caseload data'!$D:$D,"TPO")/SUMIF('caseload data'!$C:$C,'divisional &amp; regional caseload%'!$B$43,'caseload data'!O:O),"")</f>
        <v/>
      </c>
      <c r="N47" s="167" t="str">
        <f>IFERROR(SUMIFS('caseload data'!P:P,'caseload data'!$C:$C,'divisional &amp; regional caseload%'!$B$43,'caseload data'!$D:$D,"TPO")/SUMIF('caseload data'!$C:$C,'divisional &amp; regional caseload%'!$B$43,'caseload data'!P:P),"")</f>
        <v/>
      </c>
      <c r="O47" s="167" t="str">
        <f>IFERROR(SUMIFS('caseload data'!Q:Q,'caseload data'!$C:$C,'divisional &amp; regional caseload%'!$B$43,'caseload data'!$D:$D,"TPO")/SUMIF('caseload data'!$C:$C,'divisional &amp; regional caseload%'!$B$43,'caseload data'!Q:Q),"")</f>
        <v/>
      </c>
      <c r="P47" s="167" t="str">
        <f>IFERROR(SUMIFS('caseload data'!R:R,'caseload data'!$C:$C,'divisional &amp; regional caseload%'!$B$43,'caseload data'!$D:$D,"TPO")/SUMIF('caseload data'!$C:$C,'divisional &amp; regional caseload%'!$B$43,'caseload data'!R:R),"")</f>
        <v/>
      </c>
      <c r="Q47" s="167" t="str">
        <f>IFERROR(SUMIFS('caseload data'!S:S,'caseload data'!$C:$C,'divisional &amp; regional caseload%'!$B$43,'caseload data'!$D:$D,"TPO")/SUMIF('caseload data'!$C:$C,'divisional &amp; regional caseload%'!$B$43,'caseload data'!S:S),"")</f>
        <v/>
      </c>
      <c r="R47" s="167" t="str">
        <f>IFERROR(SUMIFS('caseload data'!T:T,'caseload data'!$C:$C,'divisional &amp; regional caseload%'!$B$43,'caseload data'!$D:$D,"TPO")/SUMIF('caseload data'!$C:$C,'divisional &amp; regional caseload%'!$B$43,'caseload data'!T:T),"")</f>
        <v/>
      </c>
      <c r="S47" s="64"/>
      <c r="T47" s="97" t="s">
        <v>953</v>
      </c>
      <c r="U47" s="167" t="str">
        <f>IFERROR(SUMIFS('caseload data'!E:E,'caseload data'!$C:$C,'divisional &amp; regional caseload%'!$T$43,'caseload data'!$D:$D,"TPO")/SUMIF('caseload data'!$C:$C,'divisional &amp; regional caseload%'!$T$36,'caseload data'!E:E),"")</f>
        <v/>
      </c>
      <c r="V47" s="167" t="str">
        <f>IFERROR(SUMIFS('caseload data'!F:F,'caseload data'!$C:$C,'divisional &amp; regional caseload%'!$T$43,'caseload data'!$D:$D,"TPO")/SUMIF('caseload data'!$C:$C,'divisional &amp; regional caseload%'!$T$36,'caseload data'!F:F),"")</f>
        <v/>
      </c>
      <c r="W47" s="167" t="str">
        <f>IFERROR(SUMIFS('caseload data'!G:G,'caseload data'!$C:$C,'divisional &amp; regional caseload%'!$T$43,'caseload data'!$D:$D,"TPO")/SUMIF('caseload data'!$C:$C,'divisional &amp; regional caseload%'!$T$36,'caseload data'!G:G),"")</f>
        <v/>
      </c>
      <c r="X47" s="167" t="str">
        <f>IFERROR(SUMIFS('caseload data'!H:H,'caseload data'!$C:$C,'divisional &amp; regional caseload%'!$T$43,'caseload data'!$D:$D,"TPO")/SUMIF('caseload data'!$C:$C,'divisional &amp; regional caseload%'!$T$36,'caseload data'!H:H),"")</f>
        <v/>
      </c>
      <c r="Y47" s="167" t="str">
        <f>IFERROR(SUMIFS('caseload data'!I:I,'caseload data'!$C:$C,'divisional &amp; regional caseload%'!$T$43,'caseload data'!$D:$D,"TPO")/SUMIF('caseload data'!$C:$C,'divisional &amp; regional caseload%'!$T$36,'caseload data'!I:I),"")</f>
        <v/>
      </c>
      <c r="Z47" s="167" t="str">
        <f>IFERROR(SUMIFS('caseload data'!J:J,'caseload data'!$C:$C,'divisional &amp; regional caseload%'!$T$43,'caseload data'!$D:$D,"TPO")/SUMIF('caseload data'!$C:$C,'divisional &amp; regional caseload%'!$T$36,'caseload data'!J:J),"")</f>
        <v/>
      </c>
      <c r="AA47" s="167" t="str">
        <f>IFERROR(SUMIFS('caseload data'!K:K,'caseload data'!$C:$C,'divisional &amp; regional caseload%'!$T$43,'caseload data'!$D:$D,"TPO")/SUMIF('caseload data'!$C:$C,'divisional &amp; regional caseload%'!$T$36,'caseload data'!K:K),"")</f>
        <v/>
      </c>
      <c r="AB47" s="167" t="str">
        <f>IFERROR(SUMIFS('caseload data'!L:L,'caseload data'!$C:$C,'divisional &amp; regional caseload%'!$T$43,'caseload data'!$D:$D,"TPO")/SUMIF('caseload data'!$C:$C,'divisional &amp; regional caseload%'!$T$36,'caseload data'!L:L),"")</f>
        <v/>
      </c>
      <c r="AC47" s="167" t="str">
        <f>IFERROR(SUMIFS('caseload data'!M:M,'caseload data'!$C:$C,'divisional &amp; regional caseload%'!$T$43,'caseload data'!$D:$D,"TPO")/SUMIF('caseload data'!$C:$C,'divisional &amp; regional caseload%'!$T$36,'caseload data'!M:M),"")</f>
        <v/>
      </c>
      <c r="AD47" s="167" t="str">
        <f>IFERROR(SUMIFS('caseload data'!N:N,'caseload data'!$C:$C,'divisional &amp; regional caseload%'!$T$43,'caseload data'!$D:$D,"TPO")/SUMIF('caseload data'!$C:$C,'divisional &amp; regional caseload%'!$T$36,'caseload data'!N:N),"")</f>
        <v/>
      </c>
      <c r="AE47" s="167" t="str">
        <f>IFERROR(SUMIFS('caseload data'!O:O,'caseload data'!$C:$C,'divisional &amp; regional caseload%'!$T$43,'caseload data'!$D:$D,"TPO")/SUMIF('caseload data'!$C:$C,'divisional &amp; regional caseload%'!$T$36,'caseload data'!O:O),"")</f>
        <v/>
      </c>
      <c r="AF47" s="167" t="str">
        <f>IFERROR(SUMIFS('caseload data'!P:P,'caseload data'!$C:$C,'divisional &amp; regional caseload%'!$T$43,'caseload data'!$D:$D,"TPO")/SUMIF('caseload data'!$C:$C,'divisional &amp; regional caseload%'!$T$36,'caseload data'!P:P),"")</f>
        <v/>
      </c>
      <c r="AG47" s="167" t="str">
        <f>IFERROR(SUMIFS('caseload data'!Q:Q,'caseload data'!$C:$C,'divisional &amp; regional caseload%'!$T$43,'caseload data'!$D:$D,"TPO")/SUMIF('caseload data'!$C:$C,'divisional &amp; regional caseload%'!$T$36,'caseload data'!Q:Q),"")</f>
        <v/>
      </c>
      <c r="AH47" s="167" t="str">
        <f>IFERROR(SUMIFS('caseload data'!R:R,'caseload data'!$C:$C,'divisional &amp; regional caseload%'!$T$43,'caseload data'!$D:$D,"TPO")/SUMIF('caseload data'!$C:$C,'divisional &amp; regional caseload%'!$T$36,'caseload data'!R:R),"")</f>
        <v/>
      </c>
      <c r="AI47" s="167" t="str">
        <f>IFERROR(SUMIFS('caseload data'!S:S,'caseload data'!$C:$C,'divisional &amp; regional caseload%'!$T$43,'caseload data'!$D:$D,"TPO")/SUMIF('caseload data'!$C:$C,'divisional &amp; regional caseload%'!$T$36,'caseload data'!S:S),"")</f>
        <v/>
      </c>
      <c r="AJ47" s="167" t="str">
        <f>IFERROR(SUMIFS('caseload data'!T:T,'caseload data'!$C:$C,'divisional &amp; regional caseload%'!$T$43,'caseload data'!$D:$D,"TPO")/SUMIF('caseload data'!$C:$C,'divisional &amp; regional caseload%'!$T$36,'caseload data'!T:T),"")</f>
        <v/>
      </c>
    </row>
    <row r="48" spans="2:36" x14ac:dyDescent="0.15">
      <c r="B48" s="98" t="s">
        <v>954</v>
      </c>
      <c r="C48" s="167" t="str">
        <f>IFERROR(SUMIFS('caseload data'!E:E,'caseload data'!$C:$C,'divisional &amp; regional caseload%'!$B$43,'caseload data'!$D:$D,"SPO")/SUMIF('caseload data'!$C:$C,'divisional &amp; regional caseload%'!$B$43,'caseload data'!E:E),"")</f>
        <v/>
      </c>
      <c r="D48" s="167" t="str">
        <f>IFERROR(SUMIFS('caseload data'!F:F,'caseload data'!$C:$C,'divisional &amp; regional caseload%'!$B$43,'caseload data'!$D:$D,"SPO")/SUMIF('caseload data'!$C:$C,'divisional &amp; regional caseload%'!$B$43,'caseload data'!F:F),"")</f>
        <v/>
      </c>
      <c r="E48" s="167" t="str">
        <f>IFERROR(SUMIFS('caseload data'!G:G,'caseload data'!$C:$C,'divisional &amp; regional caseload%'!$B$43,'caseload data'!$D:$D,"SPO")/SUMIF('caseload data'!$C:$C,'divisional &amp; regional caseload%'!$B$43,'caseload data'!G:G),"")</f>
        <v/>
      </c>
      <c r="F48" s="167" t="str">
        <f>IFERROR(SUMIFS('caseload data'!H:H,'caseload data'!$C:$C,'divisional &amp; regional caseload%'!$B$43,'caseload data'!$D:$D,"SPO")/SUMIF('caseload data'!$C:$C,'divisional &amp; regional caseload%'!$B$43,'caseload data'!H:H),"")</f>
        <v/>
      </c>
      <c r="G48" s="167" t="str">
        <f>IFERROR(SUMIFS('caseload data'!I:I,'caseload data'!$C:$C,'divisional &amp; regional caseload%'!$B$43,'caseload data'!$D:$D,"SPO")/SUMIF('caseload data'!$C:$C,'divisional &amp; regional caseload%'!$B$43,'caseload data'!I:I),"")</f>
        <v/>
      </c>
      <c r="H48" s="167" t="str">
        <f>IFERROR(SUMIFS('caseload data'!J:J,'caseload data'!$C:$C,'divisional &amp; regional caseload%'!$B$43,'caseload data'!$D:$D,"SPO")/SUMIF('caseload data'!$C:$C,'divisional &amp; regional caseload%'!$B$43,'caseload data'!J:J),"")</f>
        <v/>
      </c>
      <c r="I48" s="167" t="str">
        <f>IFERROR(SUMIFS('caseload data'!K:K,'caseload data'!$C:$C,'divisional &amp; regional caseload%'!$B$43,'caseload data'!$D:$D,"SPO")/SUMIF('caseload data'!$C:$C,'divisional &amp; regional caseload%'!$B$43,'caseload data'!K:K),"")</f>
        <v/>
      </c>
      <c r="J48" s="167" t="str">
        <f>IFERROR(SUMIFS('caseload data'!L:L,'caseload data'!$C:$C,'divisional &amp; regional caseload%'!$B$43,'caseload data'!$D:$D,"SPO")/SUMIF('caseload data'!$C:$C,'divisional &amp; regional caseload%'!$B$43,'caseload data'!L:L),"")</f>
        <v/>
      </c>
      <c r="K48" s="167" t="str">
        <f>IFERROR(SUMIFS('caseload data'!M:M,'caseload data'!$C:$C,'divisional &amp; regional caseload%'!$B$43,'caseload data'!$D:$D,"SPO")/SUMIF('caseload data'!$C:$C,'divisional &amp; regional caseload%'!$B$43,'caseload data'!M:M),"")</f>
        <v/>
      </c>
      <c r="L48" s="167" t="str">
        <f>IFERROR(SUMIFS('caseload data'!N:N,'caseload data'!$C:$C,'divisional &amp; regional caseload%'!$B$43,'caseload data'!$D:$D,"SPO")/SUMIF('caseload data'!$C:$C,'divisional &amp; regional caseload%'!$B$43,'caseload data'!N:N),"")</f>
        <v/>
      </c>
      <c r="M48" s="167" t="str">
        <f>IFERROR(SUMIFS('caseload data'!O:O,'caseload data'!$C:$C,'divisional &amp; regional caseload%'!$B$43,'caseload data'!$D:$D,"SPO")/SUMIF('caseload data'!$C:$C,'divisional &amp; regional caseload%'!$B$43,'caseload data'!O:O),"")</f>
        <v/>
      </c>
      <c r="N48" s="167" t="str">
        <f>IFERROR(SUMIFS('caseload data'!P:P,'caseload data'!$C:$C,'divisional &amp; regional caseload%'!$B$43,'caseload data'!$D:$D,"SPO")/SUMIF('caseload data'!$C:$C,'divisional &amp; regional caseload%'!$B$43,'caseload data'!P:P),"")</f>
        <v/>
      </c>
      <c r="O48" s="167" t="str">
        <f>IFERROR(SUMIFS('caseload data'!Q:Q,'caseload data'!$C:$C,'divisional &amp; regional caseload%'!$B$43,'caseload data'!$D:$D,"SPO")/SUMIF('caseload data'!$C:$C,'divisional &amp; regional caseload%'!$B$43,'caseload data'!Q:Q),"")</f>
        <v/>
      </c>
      <c r="P48" s="167" t="str">
        <f>IFERROR(SUMIFS('caseload data'!R:R,'caseload data'!$C:$C,'divisional &amp; regional caseload%'!$B$43,'caseload data'!$D:$D,"SPO")/SUMIF('caseload data'!$C:$C,'divisional &amp; regional caseload%'!$B$43,'caseload data'!R:R),"")</f>
        <v/>
      </c>
      <c r="Q48" s="167" t="str">
        <f>IFERROR(SUMIFS('caseload data'!S:S,'caseload data'!$C:$C,'divisional &amp; regional caseload%'!$B$43,'caseload data'!$D:$D,"SPO")/SUMIF('caseload data'!$C:$C,'divisional &amp; regional caseload%'!$B$43,'caseload data'!S:S),"")</f>
        <v/>
      </c>
      <c r="R48" s="167" t="str">
        <f>IFERROR(SUMIFS('caseload data'!T:T,'caseload data'!$C:$C,'divisional &amp; regional caseload%'!$B$43,'caseload data'!$D:$D,"SPO")/SUMIF('caseload data'!$C:$C,'divisional &amp; regional caseload%'!$B$43,'caseload data'!T:T),"")</f>
        <v/>
      </c>
      <c r="S48" s="64"/>
      <c r="T48" s="98" t="s">
        <v>954</v>
      </c>
      <c r="U48" s="167" t="str">
        <f>IFERROR(SUMIFS('caseload data'!E:E,'caseload data'!$C:$C,'divisional &amp; regional caseload%'!$T$43,'caseload data'!$D:$D,"SPO")/SUMIF('caseload data'!$C:$C,'divisional &amp; regional caseload%'!$T$36,'caseload data'!E:E),"")</f>
        <v/>
      </c>
      <c r="V48" s="167" t="str">
        <f>IFERROR(SUMIFS('caseload data'!F:F,'caseload data'!$C:$C,'divisional &amp; regional caseload%'!$T$43,'caseload data'!$D:$D,"SPO")/SUMIF('caseload data'!$C:$C,'divisional &amp; regional caseload%'!$T$36,'caseload data'!F:F),"")</f>
        <v/>
      </c>
      <c r="W48" s="167" t="str">
        <f>IFERROR(SUMIFS('caseload data'!G:G,'caseload data'!$C:$C,'divisional &amp; regional caseload%'!$T$43,'caseload data'!$D:$D,"SPO")/SUMIF('caseload data'!$C:$C,'divisional &amp; regional caseload%'!$T$36,'caseload data'!G:G),"")</f>
        <v/>
      </c>
      <c r="X48" s="167" t="str">
        <f>IFERROR(SUMIFS('caseload data'!H:H,'caseload data'!$C:$C,'divisional &amp; regional caseload%'!$T$43,'caseload data'!$D:$D,"SPO")/SUMIF('caseload data'!$C:$C,'divisional &amp; regional caseload%'!$T$36,'caseload data'!H:H),"")</f>
        <v/>
      </c>
      <c r="Y48" s="167" t="str">
        <f>IFERROR(SUMIFS('caseload data'!I:I,'caseload data'!$C:$C,'divisional &amp; regional caseload%'!$T$43,'caseload data'!$D:$D,"SPO")/SUMIF('caseload data'!$C:$C,'divisional &amp; regional caseload%'!$T$36,'caseload data'!I:I),"")</f>
        <v/>
      </c>
      <c r="Z48" s="167" t="str">
        <f>IFERROR(SUMIFS('caseload data'!J:J,'caseload data'!$C:$C,'divisional &amp; regional caseload%'!$T$43,'caseload data'!$D:$D,"SPO")/SUMIF('caseload data'!$C:$C,'divisional &amp; regional caseload%'!$T$36,'caseload data'!J:J),"")</f>
        <v/>
      </c>
      <c r="AA48" s="167" t="str">
        <f>IFERROR(SUMIFS('caseload data'!K:K,'caseload data'!$C:$C,'divisional &amp; regional caseload%'!$T$43,'caseload data'!$D:$D,"SPO")/SUMIF('caseload data'!$C:$C,'divisional &amp; regional caseload%'!$T$36,'caseload data'!K:K),"")</f>
        <v/>
      </c>
      <c r="AB48" s="167" t="str">
        <f>IFERROR(SUMIFS('caseload data'!L:L,'caseload data'!$C:$C,'divisional &amp; regional caseload%'!$T$43,'caseload data'!$D:$D,"SPO")/SUMIF('caseload data'!$C:$C,'divisional &amp; regional caseload%'!$T$36,'caseload data'!L:L),"")</f>
        <v/>
      </c>
      <c r="AC48" s="167" t="str">
        <f>IFERROR(SUMIFS('caseload data'!M:M,'caseload data'!$C:$C,'divisional &amp; regional caseload%'!$T$43,'caseload data'!$D:$D,"SPO")/SUMIF('caseload data'!$C:$C,'divisional &amp; regional caseload%'!$T$36,'caseload data'!M:M),"")</f>
        <v/>
      </c>
      <c r="AD48" s="167" t="str">
        <f>IFERROR(SUMIFS('caseload data'!N:N,'caseload data'!$C:$C,'divisional &amp; regional caseload%'!$T$43,'caseload data'!$D:$D,"SPO")/SUMIF('caseload data'!$C:$C,'divisional &amp; regional caseload%'!$T$36,'caseload data'!N:N),"")</f>
        <v/>
      </c>
      <c r="AE48" s="167" t="str">
        <f>IFERROR(SUMIFS('caseload data'!O:O,'caseload data'!$C:$C,'divisional &amp; regional caseload%'!$T$43,'caseload data'!$D:$D,"SPO")/SUMIF('caseload data'!$C:$C,'divisional &amp; regional caseload%'!$T$36,'caseload data'!O:O),"")</f>
        <v/>
      </c>
      <c r="AF48" s="167" t="str">
        <f>IFERROR(SUMIFS('caseload data'!P:P,'caseload data'!$C:$C,'divisional &amp; regional caseload%'!$T$43,'caseload data'!$D:$D,"SPO")/SUMIF('caseload data'!$C:$C,'divisional &amp; regional caseload%'!$T$36,'caseload data'!P:P),"")</f>
        <v/>
      </c>
      <c r="AG48" s="167" t="str">
        <f>IFERROR(SUMIFS('caseload data'!Q:Q,'caseload data'!$C:$C,'divisional &amp; regional caseload%'!$T$43,'caseload data'!$D:$D,"SPO")/SUMIF('caseload data'!$C:$C,'divisional &amp; regional caseload%'!$T$36,'caseload data'!Q:Q),"")</f>
        <v/>
      </c>
      <c r="AH48" s="167" t="str">
        <f>IFERROR(SUMIFS('caseload data'!R:R,'caseload data'!$C:$C,'divisional &amp; regional caseload%'!$T$43,'caseload data'!$D:$D,"SPO")/SUMIF('caseload data'!$C:$C,'divisional &amp; regional caseload%'!$T$36,'caseload data'!R:R),"")</f>
        <v/>
      </c>
      <c r="AI48" s="167" t="str">
        <f>IFERROR(SUMIFS('caseload data'!S:S,'caseload data'!$C:$C,'divisional &amp; regional caseload%'!$T$43,'caseload data'!$D:$D,"SPO")/SUMIF('caseload data'!$C:$C,'divisional &amp; regional caseload%'!$T$36,'caseload data'!S:S),"")</f>
        <v/>
      </c>
      <c r="AJ48" s="167" t="str">
        <f>IFERROR(SUMIFS('caseload data'!T:T,'caseload data'!$C:$C,'divisional &amp; regional caseload%'!$T$43,'caseload data'!$D:$D,"SPO")/SUMIF('caseload data'!$C:$C,'divisional &amp; regional caseload%'!$T$36,'caseload data'!T:T),"")</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288">
        <f>HLOOKUP($B$5,Region_Table,14,0)</f>
        <v>0</v>
      </c>
      <c r="C50" s="556" t="s">
        <v>1043</v>
      </c>
      <c r="D50" s="557"/>
      <c r="E50" s="557"/>
      <c r="F50" s="557"/>
      <c r="G50" s="557"/>
      <c r="H50" s="557"/>
      <c r="I50" s="557"/>
      <c r="J50" s="557"/>
      <c r="K50" s="557"/>
      <c r="L50" s="557"/>
      <c r="M50" s="558"/>
      <c r="N50" s="558"/>
      <c r="O50" s="559"/>
      <c r="P50" s="543">
        <f>SUMIF('caseload data'!$C:$C,'divisional &amp; regional caseload%'!B50,'caseload data'!V:V)</f>
        <v>0</v>
      </c>
      <c r="Q50" s="560"/>
      <c r="R50" s="561"/>
      <c r="S50" s="64"/>
      <c r="T50" s="288">
        <f>HLOOKUP($B$5,Region_Table,15,0)</f>
        <v>0</v>
      </c>
      <c r="U50" s="556" t="s">
        <v>1043</v>
      </c>
      <c r="V50" s="557"/>
      <c r="W50" s="557"/>
      <c r="X50" s="557"/>
      <c r="Y50" s="557"/>
      <c r="Z50" s="557"/>
      <c r="AA50" s="557"/>
      <c r="AB50" s="557"/>
      <c r="AC50" s="557"/>
      <c r="AD50" s="557"/>
      <c r="AE50" s="558"/>
      <c r="AF50" s="558"/>
      <c r="AG50" s="559"/>
      <c r="AH50" s="543">
        <f>SUMIF('caseload data'!$C:$C,'divisional &amp; regional caseload%'!T50,'caseload data'!V:V)</f>
        <v>0</v>
      </c>
      <c r="AI50" s="560"/>
      <c r="AJ50" s="561"/>
    </row>
    <row r="51" spans="2:36" x14ac:dyDescent="0.15">
      <c r="B51" s="95" t="s">
        <v>951</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951</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167" t="str">
        <f>IFERROR(SUMIFS('caseload data'!E:E,'caseload data'!$C:$C,'divisional &amp; regional caseload%'!$B$50,'caseload data'!$D:$D,"PO")/SUMIF('caseload data'!$C:$C,'divisional &amp; regional caseload%'!$B$50,'caseload data'!E:E),"")</f>
        <v/>
      </c>
      <c r="D52" s="167" t="str">
        <f>IFERROR(SUMIFS('caseload data'!F:F,'caseload data'!$C:$C,'divisional &amp; regional caseload%'!$B$50,'caseload data'!$D:$D,"PO")/SUMIF('caseload data'!$C:$C,'divisional &amp; regional caseload%'!$B$50,'caseload data'!F:F),"")</f>
        <v/>
      </c>
      <c r="E52" s="167" t="str">
        <f>IFERROR(SUMIFS('caseload data'!G:G,'caseload data'!$C:$C,'divisional &amp; regional caseload%'!$B$50,'caseload data'!$D:$D,"PO")/SUMIF('caseload data'!$C:$C,'divisional &amp; regional caseload%'!$B$50,'caseload data'!G:G),"")</f>
        <v/>
      </c>
      <c r="F52" s="167" t="str">
        <f>IFERROR(SUMIFS('caseload data'!H:H,'caseload data'!$C:$C,'divisional &amp; regional caseload%'!$B$50,'caseload data'!$D:$D,"PO")/SUMIF('caseload data'!$C:$C,'divisional &amp; regional caseload%'!$B$50,'caseload data'!H:H),"")</f>
        <v/>
      </c>
      <c r="G52" s="167" t="str">
        <f>IFERROR(SUMIFS('caseload data'!I:I,'caseload data'!$C:$C,'divisional &amp; regional caseload%'!$B$50,'caseload data'!$D:$D,"PO")/SUMIF('caseload data'!$C:$C,'divisional &amp; regional caseload%'!$B$50,'caseload data'!I:I),"")</f>
        <v/>
      </c>
      <c r="H52" s="167" t="str">
        <f>IFERROR(SUMIFS('caseload data'!J:J,'caseload data'!$C:$C,'divisional &amp; regional caseload%'!$B$50,'caseload data'!$D:$D,"PO")/SUMIF('caseload data'!$C:$C,'divisional &amp; regional caseload%'!$B$50,'caseload data'!J:J),"")</f>
        <v/>
      </c>
      <c r="I52" s="167" t="str">
        <f>IFERROR(SUMIFS('caseload data'!K:K,'caseload data'!$C:$C,'divisional &amp; regional caseload%'!$B$50,'caseload data'!$D:$D,"PO")/SUMIF('caseload data'!$C:$C,'divisional &amp; regional caseload%'!$B$50,'caseload data'!K:K),"")</f>
        <v/>
      </c>
      <c r="J52" s="167" t="str">
        <f>IFERROR(SUMIFS('caseload data'!L:L,'caseload data'!$C:$C,'divisional &amp; regional caseload%'!$B$50,'caseload data'!$D:$D,"PO")/SUMIF('caseload data'!$C:$C,'divisional &amp; regional caseload%'!$B$50,'caseload data'!L:L),"")</f>
        <v/>
      </c>
      <c r="K52" s="167" t="str">
        <f>IFERROR(SUMIFS('caseload data'!M:M,'caseload data'!$C:$C,'divisional &amp; regional caseload%'!$B$50,'caseload data'!$D:$D,"PO")/SUMIF('caseload data'!$C:$C,'divisional &amp; regional caseload%'!$B$50,'caseload data'!M:M),"")</f>
        <v/>
      </c>
      <c r="L52" s="167" t="str">
        <f>IFERROR(SUMIFS('caseload data'!N:N,'caseload data'!$C:$C,'divisional &amp; regional caseload%'!$B$50,'caseload data'!$D:$D,"PO")/SUMIF('caseload data'!$C:$C,'divisional &amp; regional caseload%'!$B$50,'caseload data'!N:N),"")</f>
        <v/>
      </c>
      <c r="M52" s="167" t="str">
        <f>IFERROR(SUMIFS('caseload data'!O:O,'caseload data'!$C:$C,'divisional &amp; regional caseload%'!$B$50,'caseload data'!$D:$D,"PO")/SUMIF('caseload data'!$C:$C,'divisional &amp; regional caseload%'!$B$50,'caseload data'!O:O),"")</f>
        <v/>
      </c>
      <c r="N52" s="167" t="str">
        <f>IFERROR(SUMIFS('caseload data'!P:P,'caseload data'!$C:$C,'divisional &amp; regional caseload%'!$B$50,'caseload data'!$D:$D,"PO")/SUMIF('caseload data'!$C:$C,'divisional &amp; regional caseload%'!$B$50,'caseload data'!P:P),"")</f>
        <v/>
      </c>
      <c r="O52" s="167" t="str">
        <f>IFERROR(SUMIFS('caseload data'!Q:Q,'caseload data'!$C:$C,'divisional &amp; regional caseload%'!$B$50,'caseload data'!$D:$D,"PO")/SUMIF('caseload data'!$C:$C,'divisional &amp; regional caseload%'!$B$50,'caseload data'!Q:Q),"")</f>
        <v/>
      </c>
      <c r="P52" s="167" t="str">
        <f>IFERROR(SUMIFS('caseload data'!R:R,'caseload data'!$C:$C,'divisional &amp; regional caseload%'!$B$50,'caseload data'!$D:$D,"PO")/SUMIF('caseload data'!$C:$C,'divisional &amp; regional caseload%'!$B$50,'caseload data'!R:R),"")</f>
        <v/>
      </c>
      <c r="Q52" s="167" t="str">
        <f>IFERROR(SUMIFS('caseload data'!S:S,'caseload data'!$C:$C,'divisional &amp; regional caseload%'!$B$50,'caseload data'!$D:$D,"PO")/SUMIF('caseload data'!$C:$C,'divisional &amp; regional caseload%'!$B$50,'caseload data'!S:S),"")</f>
        <v/>
      </c>
      <c r="R52" s="167" t="str">
        <f>IFERROR(SUMIFS('caseload data'!T:T,'caseload data'!$C:$C,'divisional &amp; regional caseload%'!$B$50,'caseload data'!$D:$D,"PO")/SUMIF('caseload data'!$C:$C,'divisional &amp; regional caseload%'!$B$50,'caseload data'!T:T),"")</f>
        <v/>
      </c>
      <c r="S52" s="64"/>
      <c r="T52" s="96" t="s">
        <v>947</v>
      </c>
      <c r="U52" s="167" t="str">
        <f>IFERROR(SUMIFS('caseload data'!E:E,'caseload data'!$C:$C,'divisional &amp; regional caseload%'!$T$50,'caseload data'!$D:$D,"PO")/SUMIF('caseload data'!$C:$C,'divisional &amp; regional caseload%'!$T$50,'caseload data'!E:E),"")</f>
        <v/>
      </c>
      <c r="V52" s="167" t="str">
        <f>IFERROR(SUMIFS('caseload data'!F:F,'caseload data'!$C:$C,'divisional &amp; regional caseload%'!$T$50,'caseload data'!$D:$D,"PO")/SUMIF('caseload data'!$C:$C,'divisional &amp; regional caseload%'!$T$50,'caseload data'!F:F),"")</f>
        <v/>
      </c>
      <c r="W52" s="167" t="str">
        <f>IFERROR(SUMIFS('caseload data'!G:G,'caseload data'!$C:$C,'divisional &amp; regional caseload%'!$T$50,'caseload data'!$D:$D,"PO")/SUMIF('caseload data'!$C:$C,'divisional &amp; regional caseload%'!$T$50,'caseload data'!G:G),"")</f>
        <v/>
      </c>
      <c r="X52" s="167" t="str">
        <f>IFERROR(SUMIFS('caseload data'!H:H,'caseload data'!$C:$C,'divisional &amp; regional caseload%'!$T$50,'caseload data'!$D:$D,"PO")/SUMIF('caseload data'!$C:$C,'divisional &amp; regional caseload%'!$T$50,'caseload data'!H:H),"")</f>
        <v/>
      </c>
      <c r="Y52" s="167" t="str">
        <f>IFERROR(SUMIFS('caseload data'!I:I,'caseload data'!$C:$C,'divisional &amp; regional caseload%'!$T$50,'caseload data'!$D:$D,"PO")/SUMIF('caseload data'!$C:$C,'divisional &amp; regional caseload%'!$T$50,'caseload data'!I:I),"")</f>
        <v/>
      </c>
      <c r="Z52" s="167" t="str">
        <f>IFERROR(SUMIFS('caseload data'!J:J,'caseload data'!$C:$C,'divisional &amp; regional caseload%'!$T$50,'caseload data'!$D:$D,"PO")/SUMIF('caseload data'!$C:$C,'divisional &amp; regional caseload%'!$T$50,'caseload data'!J:J),"")</f>
        <v/>
      </c>
      <c r="AA52" s="167" t="str">
        <f>IFERROR(SUMIFS('caseload data'!K:K,'caseload data'!$C:$C,'divisional &amp; regional caseload%'!$T$50,'caseload data'!$D:$D,"PO")/SUMIF('caseload data'!$C:$C,'divisional &amp; regional caseload%'!$T$50,'caseload data'!K:K),"")</f>
        <v/>
      </c>
      <c r="AB52" s="167" t="str">
        <f>IFERROR(SUMIFS('caseload data'!L:L,'caseload data'!$C:$C,'divisional &amp; regional caseload%'!$T$50,'caseload data'!$D:$D,"PO")/SUMIF('caseload data'!$C:$C,'divisional &amp; regional caseload%'!$T$50,'caseload data'!L:L),"")</f>
        <v/>
      </c>
      <c r="AC52" s="167" t="str">
        <f>IFERROR(SUMIFS('caseload data'!M:M,'caseload data'!$C:$C,'divisional &amp; regional caseload%'!$T$50,'caseload data'!$D:$D,"PO")/SUMIF('caseload data'!$C:$C,'divisional &amp; regional caseload%'!$T$50,'caseload data'!M:M),"")</f>
        <v/>
      </c>
      <c r="AD52" s="167" t="str">
        <f>IFERROR(SUMIFS('caseload data'!N:N,'caseload data'!$C:$C,'divisional &amp; regional caseload%'!$T$50,'caseload data'!$D:$D,"PO")/SUMIF('caseload data'!$C:$C,'divisional &amp; regional caseload%'!$T$50,'caseload data'!N:N),"")</f>
        <v/>
      </c>
      <c r="AE52" s="167" t="str">
        <f>IFERROR(SUMIFS('caseload data'!O:O,'caseload data'!$C:$C,'divisional &amp; regional caseload%'!$T$50,'caseload data'!$D:$D,"PO")/SUMIF('caseload data'!$C:$C,'divisional &amp; regional caseload%'!$T$50,'caseload data'!O:O),"")</f>
        <v/>
      </c>
      <c r="AF52" s="167" t="str">
        <f>IFERROR(SUMIFS('caseload data'!P:P,'caseload data'!$C:$C,'divisional &amp; regional caseload%'!$T$50,'caseload data'!$D:$D,"PO")/SUMIF('caseload data'!$C:$C,'divisional &amp; regional caseload%'!$T$50,'caseload data'!P:P),"")</f>
        <v/>
      </c>
      <c r="AG52" s="167" t="str">
        <f>IFERROR(SUMIFS('caseload data'!Q:Q,'caseload data'!$C:$C,'divisional &amp; regional caseload%'!$T$50,'caseload data'!$D:$D,"PO")/SUMIF('caseload data'!$C:$C,'divisional &amp; regional caseload%'!$T$50,'caseload data'!Q:Q),"")</f>
        <v/>
      </c>
      <c r="AH52" s="167" t="str">
        <f>IFERROR(SUMIFS('caseload data'!R:R,'caseload data'!$C:$C,'divisional &amp; regional caseload%'!$T$50,'caseload data'!$D:$D,"PO")/SUMIF('caseload data'!$C:$C,'divisional &amp; regional caseload%'!$T$50,'caseload data'!R:R),"")</f>
        <v/>
      </c>
      <c r="AI52" s="167" t="str">
        <f>IFERROR(SUMIFS('caseload data'!S:S,'caseload data'!$C:$C,'divisional &amp; regional caseload%'!$T$50,'caseload data'!$D:$D,"PO")/SUMIF('caseload data'!$C:$C,'divisional &amp; regional caseload%'!$T$50,'caseload data'!S:S),"")</f>
        <v/>
      </c>
      <c r="AJ52" s="167" t="str">
        <f>IFERROR(SUMIFS('caseload data'!T:T,'caseload data'!$C:$C,'divisional &amp; regional caseload%'!$T$50,'caseload data'!$D:$D,"PO")/SUMIF('caseload data'!$C:$C,'divisional &amp; regional caseload%'!$T$50,'caseload data'!T:T),"")</f>
        <v/>
      </c>
    </row>
    <row r="53" spans="2:36" x14ac:dyDescent="0.15">
      <c r="B53" s="97" t="s">
        <v>952</v>
      </c>
      <c r="C53" s="167" t="str">
        <f>IFERROR(SUMIFS('caseload data'!E:E,'caseload data'!$C:$C,'divisional &amp; regional caseload%'!$B$50,'caseload data'!$D:$D,"PSO")/SUMIF('caseload data'!$C:$C,'divisional &amp; regional caseload%'!$B$50,'caseload data'!E:E),"")</f>
        <v/>
      </c>
      <c r="D53" s="167" t="str">
        <f>IFERROR(SUMIFS('caseload data'!F:F,'caseload data'!$C:$C,'divisional &amp; regional caseload%'!$B$50,'caseload data'!$D:$D,"PSO")/SUMIF('caseload data'!$C:$C,'divisional &amp; regional caseload%'!$B$50,'caseload data'!F:F),"")</f>
        <v/>
      </c>
      <c r="E53" s="167" t="str">
        <f>IFERROR(SUMIFS('caseload data'!G:G,'caseload data'!$C:$C,'divisional &amp; regional caseload%'!$B$50,'caseload data'!$D:$D,"PSO")/SUMIF('caseload data'!$C:$C,'divisional &amp; regional caseload%'!$B$50,'caseload data'!G:G),"")</f>
        <v/>
      </c>
      <c r="F53" s="167" t="str">
        <f>IFERROR(SUMIFS('caseload data'!H:H,'caseload data'!$C:$C,'divisional &amp; regional caseload%'!$B$50,'caseload data'!$D:$D,"PSO")/SUMIF('caseload data'!$C:$C,'divisional &amp; regional caseload%'!$B$50,'caseload data'!H:H),"")</f>
        <v/>
      </c>
      <c r="G53" s="167" t="str">
        <f>IFERROR(SUMIFS('caseload data'!I:I,'caseload data'!$C:$C,'divisional &amp; regional caseload%'!$B$50,'caseload data'!$D:$D,"PSO")/SUMIF('caseload data'!$C:$C,'divisional &amp; regional caseload%'!$B$50,'caseload data'!I:I),"")</f>
        <v/>
      </c>
      <c r="H53" s="167" t="str">
        <f>IFERROR(SUMIFS('caseload data'!J:J,'caseload data'!$C:$C,'divisional &amp; regional caseload%'!$B$50,'caseload data'!$D:$D,"PSO")/SUMIF('caseload data'!$C:$C,'divisional &amp; regional caseload%'!$B$50,'caseload data'!J:J),"")</f>
        <v/>
      </c>
      <c r="I53" s="167" t="str">
        <f>IFERROR(SUMIFS('caseload data'!K:K,'caseload data'!$C:$C,'divisional &amp; regional caseload%'!$B$50,'caseload data'!$D:$D,"PSO")/SUMIF('caseload data'!$C:$C,'divisional &amp; regional caseload%'!$B$50,'caseload data'!K:K),"")</f>
        <v/>
      </c>
      <c r="J53" s="167" t="str">
        <f>IFERROR(SUMIFS('caseload data'!L:L,'caseload data'!$C:$C,'divisional &amp; regional caseload%'!$B$50,'caseload data'!$D:$D,"PSO")/SUMIF('caseload data'!$C:$C,'divisional &amp; regional caseload%'!$B$50,'caseload data'!L:L),"")</f>
        <v/>
      </c>
      <c r="K53" s="167" t="str">
        <f>IFERROR(SUMIFS('caseload data'!M:M,'caseload data'!$C:$C,'divisional &amp; regional caseload%'!$B$50,'caseload data'!$D:$D,"PSO")/SUMIF('caseload data'!$C:$C,'divisional &amp; regional caseload%'!$B$50,'caseload data'!M:M),"")</f>
        <v/>
      </c>
      <c r="L53" s="167" t="str">
        <f>IFERROR(SUMIFS('caseload data'!N:N,'caseload data'!$C:$C,'divisional &amp; regional caseload%'!$B$50,'caseload data'!$D:$D,"PSO")/SUMIF('caseload data'!$C:$C,'divisional &amp; regional caseload%'!$B$50,'caseload data'!N:N),"")</f>
        <v/>
      </c>
      <c r="M53" s="167" t="str">
        <f>IFERROR(SUMIFS('caseload data'!O:O,'caseload data'!$C:$C,'divisional &amp; regional caseload%'!$B$50,'caseload data'!$D:$D,"PSO")/SUMIF('caseload data'!$C:$C,'divisional &amp; regional caseload%'!$B$50,'caseload data'!O:O),"")</f>
        <v/>
      </c>
      <c r="N53" s="167" t="str">
        <f>IFERROR(SUMIFS('caseload data'!P:P,'caseload data'!$C:$C,'divisional &amp; regional caseload%'!$B$50,'caseload data'!$D:$D,"PSO")/SUMIF('caseload data'!$C:$C,'divisional &amp; regional caseload%'!$B$50,'caseload data'!P:P),"")</f>
        <v/>
      </c>
      <c r="O53" s="167" t="str">
        <f>IFERROR(SUMIFS('caseload data'!Q:Q,'caseload data'!$C:$C,'divisional &amp; regional caseload%'!$B$50,'caseload data'!$D:$D,"PSO")/SUMIF('caseload data'!$C:$C,'divisional &amp; regional caseload%'!$B$50,'caseload data'!Q:Q),"")</f>
        <v/>
      </c>
      <c r="P53" s="167" t="str">
        <f>IFERROR(SUMIFS('caseload data'!R:R,'caseload data'!$C:$C,'divisional &amp; regional caseload%'!$B$50,'caseload data'!$D:$D,"PSO")/SUMIF('caseload data'!$C:$C,'divisional &amp; regional caseload%'!$B$50,'caseload data'!R:R),"")</f>
        <v/>
      </c>
      <c r="Q53" s="167" t="str">
        <f>IFERROR(SUMIFS('caseload data'!S:S,'caseload data'!$C:$C,'divisional &amp; regional caseload%'!$B$50,'caseload data'!$D:$D,"PSO")/SUMIF('caseload data'!$C:$C,'divisional &amp; regional caseload%'!$B$50,'caseload data'!S:S),"")</f>
        <v/>
      </c>
      <c r="R53" s="167" t="str">
        <f>IFERROR(SUMIFS('caseload data'!T:T,'caseload data'!$C:$C,'divisional &amp; regional caseload%'!$B$50,'caseload data'!$D:$D,"PSO")/SUMIF('caseload data'!$C:$C,'divisional &amp; regional caseload%'!$B$50,'caseload data'!T:T),"")</f>
        <v/>
      </c>
      <c r="S53" s="64"/>
      <c r="T53" s="97" t="s">
        <v>952</v>
      </c>
      <c r="U53" s="167" t="str">
        <f>IFERROR(SUMIFS('caseload data'!E:E,'caseload data'!$C:$C,'divisional &amp; regional caseload%'!$T$50,'caseload data'!$D:$D,"PSO")/SUMIF('caseload data'!$C:$C,'divisional &amp; regional caseload%'!$T$50,'caseload data'!E:E),"")</f>
        <v/>
      </c>
      <c r="V53" s="167" t="str">
        <f>IFERROR(SUMIFS('caseload data'!F:F,'caseload data'!$C:$C,'divisional &amp; regional caseload%'!$T$50,'caseload data'!$D:$D,"PSO")/SUMIF('caseload data'!$C:$C,'divisional &amp; regional caseload%'!$T$50,'caseload data'!F:F),"")</f>
        <v/>
      </c>
      <c r="W53" s="167" t="str">
        <f>IFERROR(SUMIFS('caseload data'!G:G,'caseload data'!$C:$C,'divisional &amp; regional caseload%'!$T$50,'caseload data'!$D:$D,"PSO")/SUMIF('caseload data'!$C:$C,'divisional &amp; regional caseload%'!$T$50,'caseload data'!G:G),"")</f>
        <v/>
      </c>
      <c r="X53" s="167" t="str">
        <f>IFERROR(SUMIFS('caseload data'!H:H,'caseload data'!$C:$C,'divisional &amp; regional caseload%'!$T$50,'caseload data'!$D:$D,"PSO")/SUMIF('caseload data'!$C:$C,'divisional &amp; regional caseload%'!$T$50,'caseload data'!H:H),"")</f>
        <v/>
      </c>
      <c r="Y53" s="167" t="str">
        <f>IFERROR(SUMIFS('caseload data'!I:I,'caseload data'!$C:$C,'divisional &amp; regional caseload%'!$T$50,'caseload data'!$D:$D,"PSO")/SUMIF('caseload data'!$C:$C,'divisional &amp; regional caseload%'!$T$50,'caseload data'!I:I),"")</f>
        <v/>
      </c>
      <c r="Z53" s="167" t="str">
        <f>IFERROR(SUMIFS('caseload data'!J:J,'caseload data'!$C:$C,'divisional &amp; regional caseload%'!$T$50,'caseload data'!$D:$D,"PSO")/SUMIF('caseload data'!$C:$C,'divisional &amp; regional caseload%'!$T$50,'caseload data'!J:J),"")</f>
        <v/>
      </c>
      <c r="AA53" s="167" t="str">
        <f>IFERROR(SUMIFS('caseload data'!K:K,'caseload data'!$C:$C,'divisional &amp; regional caseload%'!$T$50,'caseload data'!$D:$D,"PSO")/SUMIF('caseload data'!$C:$C,'divisional &amp; regional caseload%'!$T$50,'caseload data'!K:K),"")</f>
        <v/>
      </c>
      <c r="AB53" s="167" t="str">
        <f>IFERROR(SUMIFS('caseload data'!L:L,'caseload data'!$C:$C,'divisional &amp; regional caseload%'!$T$50,'caseload data'!$D:$D,"PSO")/SUMIF('caseload data'!$C:$C,'divisional &amp; regional caseload%'!$T$50,'caseload data'!L:L),"")</f>
        <v/>
      </c>
      <c r="AC53" s="167" t="str">
        <f>IFERROR(SUMIFS('caseload data'!M:M,'caseload data'!$C:$C,'divisional &amp; regional caseload%'!$T$50,'caseload data'!$D:$D,"PSO")/SUMIF('caseload data'!$C:$C,'divisional &amp; regional caseload%'!$T$50,'caseload data'!M:M),"")</f>
        <v/>
      </c>
      <c r="AD53" s="167" t="str">
        <f>IFERROR(SUMIFS('caseload data'!N:N,'caseload data'!$C:$C,'divisional &amp; regional caseload%'!$T$50,'caseload data'!$D:$D,"PSO")/SUMIF('caseload data'!$C:$C,'divisional &amp; regional caseload%'!$T$50,'caseload data'!N:N),"")</f>
        <v/>
      </c>
      <c r="AE53" s="167" t="str">
        <f>IFERROR(SUMIFS('caseload data'!O:O,'caseload data'!$C:$C,'divisional &amp; regional caseload%'!$T$50,'caseload data'!$D:$D,"PSO")/SUMIF('caseload data'!$C:$C,'divisional &amp; regional caseload%'!$T$50,'caseload data'!O:O),"")</f>
        <v/>
      </c>
      <c r="AF53" s="167" t="str">
        <f>IFERROR(SUMIFS('caseload data'!P:P,'caseload data'!$C:$C,'divisional &amp; regional caseload%'!$T$50,'caseload data'!$D:$D,"PSO")/SUMIF('caseload data'!$C:$C,'divisional &amp; regional caseload%'!$T$50,'caseload data'!P:P),"")</f>
        <v/>
      </c>
      <c r="AG53" s="167" t="str">
        <f>IFERROR(SUMIFS('caseload data'!Q:Q,'caseload data'!$C:$C,'divisional &amp; regional caseload%'!$T$50,'caseload data'!$D:$D,"PSO")/SUMIF('caseload data'!$C:$C,'divisional &amp; regional caseload%'!$T$50,'caseload data'!Q:Q),"")</f>
        <v/>
      </c>
      <c r="AH53" s="167" t="str">
        <f>IFERROR(SUMIFS('caseload data'!R:R,'caseload data'!$C:$C,'divisional &amp; regional caseload%'!$T$50,'caseload data'!$D:$D,"PSO")/SUMIF('caseload data'!$C:$C,'divisional &amp; regional caseload%'!$T$50,'caseload data'!R:R),"")</f>
        <v/>
      </c>
      <c r="AI53" s="167" t="str">
        <f>IFERROR(SUMIFS('caseload data'!S:S,'caseload data'!$C:$C,'divisional &amp; regional caseload%'!$T$50,'caseload data'!$D:$D,"PSO")/SUMIF('caseload data'!$C:$C,'divisional &amp; regional caseload%'!$T$50,'caseload data'!S:S),"")</f>
        <v/>
      </c>
      <c r="AJ53" s="167" t="str">
        <f>IFERROR(SUMIFS('caseload data'!T:T,'caseload data'!$C:$C,'divisional &amp; regional caseload%'!$T$50,'caseload data'!$D:$D,"PSO")/SUMIF('caseload data'!$C:$C,'divisional &amp; regional caseload%'!$T$50,'caseload data'!T:T),"")</f>
        <v/>
      </c>
    </row>
    <row r="54" spans="2:36" x14ac:dyDescent="0.15">
      <c r="B54" s="97" t="s">
        <v>953</v>
      </c>
      <c r="C54" s="167" t="str">
        <f>IFERROR(SUMIFS('caseload data'!E:E,'caseload data'!$C:$C,'divisional &amp; regional caseload%'!$B$50,'caseload data'!$D:$D,"TPO")/SUMIF('caseload data'!$C:$C,'divisional &amp; regional caseload%'!$B$50,'caseload data'!E:E),"")</f>
        <v/>
      </c>
      <c r="D54" s="167" t="str">
        <f>IFERROR(SUMIFS('caseload data'!F:F,'caseload data'!$C:$C,'divisional &amp; regional caseload%'!$B$50,'caseload data'!$D:$D,"TPO")/SUMIF('caseload data'!$C:$C,'divisional &amp; regional caseload%'!$B$50,'caseload data'!F:F),"")</f>
        <v/>
      </c>
      <c r="E54" s="167" t="str">
        <f>IFERROR(SUMIFS('caseload data'!G:G,'caseload data'!$C:$C,'divisional &amp; regional caseload%'!$B$50,'caseload data'!$D:$D,"TPO")/SUMIF('caseload data'!$C:$C,'divisional &amp; regional caseload%'!$B$50,'caseload data'!G:G),"")</f>
        <v/>
      </c>
      <c r="F54" s="167" t="str">
        <f>IFERROR(SUMIFS('caseload data'!H:H,'caseload data'!$C:$C,'divisional &amp; regional caseload%'!$B$50,'caseload data'!$D:$D,"TPO")/SUMIF('caseload data'!$C:$C,'divisional &amp; regional caseload%'!$B$50,'caseload data'!H:H),"")</f>
        <v/>
      </c>
      <c r="G54" s="167" t="str">
        <f>IFERROR(SUMIFS('caseload data'!I:I,'caseload data'!$C:$C,'divisional &amp; regional caseload%'!$B$50,'caseload data'!$D:$D,"TPO")/SUMIF('caseload data'!$C:$C,'divisional &amp; regional caseload%'!$B$50,'caseload data'!I:I),"")</f>
        <v/>
      </c>
      <c r="H54" s="167" t="str">
        <f>IFERROR(SUMIFS('caseload data'!J:J,'caseload data'!$C:$C,'divisional &amp; regional caseload%'!$B$50,'caseload data'!$D:$D,"TPO")/SUMIF('caseload data'!$C:$C,'divisional &amp; regional caseload%'!$B$50,'caseload data'!J:J),"")</f>
        <v/>
      </c>
      <c r="I54" s="167" t="str">
        <f>IFERROR(SUMIFS('caseload data'!K:K,'caseload data'!$C:$C,'divisional &amp; regional caseload%'!$B$50,'caseload data'!$D:$D,"TPO")/SUMIF('caseload data'!$C:$C,'divisional &amp; regional caseload%'!$B$50,'caseload data'!K:K),"")</f>
        <v/>
      </c>
      <c r="J54" s="167" t="str">
        <f>IFERROR(SUMIFS('caseload data'!L:L,'caseload data'!$C:$C,'divisional &amp; regional caseload%'!$B$50,'caseload data'!$D:$D,"TPO")/SUMIF('caseload data'!$C:$C,'divisional &amp; regional caseload%'!$B$50,'caseload data'!L:L),"")</f>
        <v/>
      </c>
      <c r="K54" s="167" t="str">
        <f>IFERROR(SUMIFS('caseload data'!M:M,'caseload data'!$C:$C,'divisional &amp; regional caseload%'!$B$50,'caseload data'!$D:$D,"TPO")/SUMIF('caseload data'!$C:$C,'divisional &amp; regional caseload%'!$B$50,'caseload data'!M:M),"")</f>
        <v/>
      </c>
      <c r="L54" s="167" t="str">
        <f>IFERROR(SUMIFS('caseload data'!N:N,'caseload data'!$C:$C,'divisional &amp; regional caseload%'!$B$50,'caseload data'!$D:$D,"TPO")/SUMIF('caseload data'!$C:$C,'divisional &amp; regional caseload%'!$B$50,'caseload data'!N:N),"")</f>
        <v/>
      </c>
      <c r="M54" s="167" t="str">
        <f>IFERROR(SUMIFS('caseload data'!O:O,'caseload data'!$C:$C,'divisional &amp; regional caseload%'!$B$50,'caseload data'!$D:$D,"TPO")/SUMIF('caseload data'!$C:$C,'divisional &amp; regional caseload%'!$B$50,'caseload data'!O:O),"")</f>
        <v/>
      </c>
      <c r="N54" s="167" t="str">
        <f>IFERROR(SUMIFS('caseload data'!P:P,'caseload data'!$C:$C,'divisional &amp; regional caseload%'!$B$50,'caseload data'!$D:$D,"TPO")/SUMIF('caseload data'!$C:$C,'divisional &amp; regional caseload%'!$B$50,'caseload data'!P:P),"")</f>
        <v/>
      </c>
      <c r="O54" s="167" t="str">
        <f>IFERROR(SUMIFS('caseload data'!Q:Q,'caseload data'!$C:$C,'divisional &amp; regional caseload%'!$B$50,'caseload data'!$D:$D,"TPO")/SUMIF('caseload data'!$C:$C,'divisional &amp; regional caseload%'!$B$50,'caseload data'!Q:Q),"")</f>
        <v/>
      </c>
      <c r="P54" s="167" t="str">
        <f>IFERROR(SUMIFS('caseload data'!R:R,'caseload data'!$C:$C,'divisional &amp; regional caseload%'!$B$50,'caseload data'!$D:$D,"TPO")/SUMIF('caseload data'!$C:$C,'divisional &amp; regional caseload%'!$B$50,'caseload data'!R:R),"")</f>
        <v/>
      </c>
      <c r="Q54" s="167" t="str">
        <f>IFERROR(SUMIFS('caseload data'!S:S,'caseload data'!$C:$C,'divisional &amp; regional caseload%'!$B$50,'caseload data'!$D:$D,"TPO")/SUMIF('caseload data'!$C:$C,'divisional &amp; regional caseload%'!$B$50,'caseload data'!S:S),"")</f>
        <v/>
      </c>
      <c r="R54" s="167" t="str">
        <f>IFERROR(SUMIFS('caseload data'!T:T,'caseload data'!$C:$C,'divisional &amp; regional caseload%'!$B$50,'caseload data'!$D:$D,"TPO")/SUMIF('caseload data'!$C:$C,'divisional &amp; regional caseload%'!$B$50,'caseload data'!T:T),"")</f>
        <v/>
      </c>
      <c r="S54" s="64"/>
      <c r="T54" s="97" t="s">
        <v>953</v>
      </c>
      <c r="U54" s="167" t="str">
        <f>IFERROR(SUMIFS('caseload data'!E:E,'caseload data'!$C:$C,'divisional &amp; regional caseload%'!$T$50,'caseload data'!$D:$D,"TPO")/SUMIF('caseload data'!$C:$C,'divisional &amp; regional caseload%'!$T$50,'caseload data'!E:E),"")</f>
        <v/>
      </c>
      <c r="V54" s="167" t="str">
        <f>IFERROR(SUMIFS('caseload data'!F:F,'caseload data'!$C:$C,'divisional &amp; regional caseload%'!$T$50,'caseload data'!$D:$D,"TPO")/SUMIF('caseload data'!$C:$C,'divisional &amp; regional caseload%'!$T$50,'caseload data'!F:F),"")</f>
        <v/>
      </c>
      <c r="W54" s="167" t="str">
        <f>IFERROR(SUMIFS('caseload data'!G:G,'caseload data'!$C:$C,'divisional &amp; regional caseload%'!$T$50,'caseload data'!$D:$D,"TPO")/SUMIF('caseload data'!$C:$C,'divisional &amp; regional caseload%'!$T$50,'caseload data'!G:G),"")</f>
        <v/>
      </c>
      <c r="X54" s="167" t="str">
        <f>IFERROR(SUMIFS('caseload data'!H:H,'caseload data'!$C:$C,'divisional &amp; regional caseload%'!$T$50,'caseload data'!$D:$D,"TPO")/SUMIF('caseload data'!$C:$C,'divisional &amp; regional caseload%'!$T$50,'caseload data'!H:H),"")</f>
        <v/>
      </c>
      <c r="Y54" s="167" t="str">
        <f>IFERROR(SUMIFS('caseload data'!I:I,'caseload data'!$C:$C,'divisional &amp; regional caseload%'!$T$50,'caseload data'!$D:$D,"TPO")/SUMIF('caseload data'!$C:$C,'divisional &amp; regional caseload%'!$T$50,'caseload data'!I:I),"")</f>
        <v/>
      </c>
      <c r="Z54" s="167" t="str">
        <f>IFERROR(SUMIFS('caseload data'!J:J,'caseload data'!$C:$C,'divisional &amp; regional caseload%'!$T$50,'caseload data'!$D:$D,"TPO")/SUMIF('caseload data'!$C:$C,'divisional &amp; regional caseload%'!$T$50,'caseload data'!J:J),"")</f>
        <v/>
      </c>
      <c r="AA54" s="167" t="str">
        <f>IFERROR(SUMIFS('caseload data'!K:K,'caseload data'!$C:$C,'divisional &amp; regional caseload%'!$T$50,'caseload data'!$D:$D,"TPO")/SUMIF('caseload data'!$C:$C,'divisional &amp; regional caseload%'!$T$50,'caseload data'!K:K),"")</f>
        <v/>
      </c>
      <c r="AB54" s="167" t="str">
        <f>IFERROR(SUMIFS('caseload data'!L:L,'caseload data'!$C:$C,'divisional &amp; regional caseload%'!$T$50,'caseload data'!$D:$D,"TPO")/SUMIF('caseload data'!$C:$C,'divisional &amp; regional caseload%'!$T$50,'caseload data'!L:L),"")</f>
        <v/>
      </c>
      <c r="AC54" s="167" t="str">
        <f>IFERROR(SUMIFS('caseload data'!M:M,'caseload data'!$C:$C,'divisional &amp; regional caseload%'!$T$50,'caseload data'!$D:$D,"TPO")/SUMIF('caseload data'!$C:$C,'divisional &amp; regional caseload%'!$T$50,'caseload data'!M:M),"")</f>
        <v/>
      </c>
      <c r="AD54" s="167" t="str">
        <f>IFERROR(SUMIFS('caseload data'!N:N,'caseload data'!$C:$C,'divisional &amp; regional caseload%'!$T$50,'caseload data'!$D:$D,"TPO")/SUMIF('caseload data'!$C:$C,'divisional &amp; regional caseload%'!$T$50,'caseload data'!N:N),"")</f>
        <v/>
      </c>
      <c r="AE54" s="167" t="str">
        <f>IFERROR(SUMIFS('caseload data'!O:O,'caseload data'!$C:$C,'divisional &amp; regional caseload%'!$T$50,'caseload data'!$D:$D,"TPO")/SUMIF('caseload data'!$C:$C,'divisional &amp; regional caseload%'!$T$50,'caseload data'!O:O),"")</f>
        <v/>
      </c>
      <c r="AF54" s="167" t="str">
        <f>IFERROR(SUMIFS('caseload data'!P:P,'caseload data'!$C:$C,'divisional &amp; regional caseload%'!$T$50,'caseload data'!$D:$D,"TPO")/SUMIF('caseload data'!$C:$C,'divisional &amp; regional caseload%'!$T$50,'caseload data'!P:P),"")</f>
        <v/>
      </c>
      <c r="AG54" s="167" t="str">
        <f>IFERROR(SUMIFS('caseload data'!Q:Q,'caseload data'!$C:$C,'divisional &amp; regional caseload%'!$T$50,'caseload data'!$D:$D,"TPO")/SUMIF('caseload data'!$C:$C,'divisional &amp; regional caseload%'!$T$50,'caseload data'!Q:Q),"")</f>
        <v/>
      </c>
      <c r="AH54" s="167" t="str">
        <f>IFERROR(SUMIFS('caseload data'!R:R,'caseload data'!$C:$C,'divisional &amp; regional caseload%'!$T$50,'caseload data'!$D:$D,"TPO")/SUMIF('caseload data'!$C:$C,'divisional &amp; regional caseload%'!$T$50,'caseload data'!R:R),"")</f>
        <v/>
      </c>
      <c r="AI54" s="167" t="str">
        <f>IFERROR(SUMIFS('caseload data'!S:S,'caseload data'!$C:$C,'divisional &amp; regional caseload%'!$T$50,'caseload data'!$D:$D,"TPO")/SUMIF('caseload data'!$C:$C,'divisional &amp; regional caseload%'!$T$50,'caseload data'!S:S),"")</f>
        <v/>
      </c>
      <c r="AJ54" s="167" t="str">
        <f>IFERROR(SUMIFS('caseload data'!T:T,'caseload data'!$C:$C,'divisional &amp; regional caseload%'!$T$50,'caseload data'!$D:$D,"TPO")/SUMIF('caseload data'!$C:$C,'divisional &amp; regional caseload%'!$T$50,'caseload data'!T:T),"")</f>
        <v/>
      </c>
    </row>
    <row r="55" spans="2:36" x14ac:dyDescent="0.15">
      <c r="B55" s="98" t="s">
        <v>954</v>
      </c>
      <c r="C55" s="167" t="str">
        <f>IFERROR(SUMIFS('caseload data'!E:E,'caseload data'!$C:$C,'divisional &amp; regional caseload%'!$B$50,'caseload data'!$D:$D,"SPO")/SUMIF('caseload data'!$C:$C,'divisional &amp; regional caseload%'!$B$50,'caseload data'!E:E),"")</f>
        <v/>
      </c>
      <c r="D55" s="167" t="str">
        <f>IFERROR(SUMIFS('caseload data'!F:F,'caseload data'!$C:$C,'divisional &amp; regional caseload%'!$B$50,'caseload data'!$D:$D,"SPO")/SUMIF('caseload data'!$C:$C,'divisional &amp; regional caseload%'!$B$50,'caseload data'!F:F),"")</f>
        <v/>
      </c>
      <c r="E55" s="167" t="str">
        <f>IFERROR(SUMIFS('caseload data'!G:G,'caseload data'!$C:$C,'divisional &amp; regional caseload%'!$B$50,'caseload data'!$D:$D,"SPO")/SUMIF('caseload data'!$C:$C,'divisional &amp; regional caseload%'!$B$50,'caseload data'!G:G),"")</f>
        <v/>
      </c>
      <c r="F55" s="167" t="str">
        <f>IFERROR(SUMIFS('caseload data'!H:H,'caseload data'!$C:$C,'divisional &amp; regional caseload%'!$B$50,'caseload data'!$D:$D,"SPO")/SUMIF('caseload data'!$C:$C,'divisional &amp; regional caseload%'!$B$50,'caseload data'!H:H),"")</f>
        <v/>
      </c>
      <c r="G55" s="167" t="str">
        <f>IFERROR(SUMIFS('caseload data'!I:I,'caseload data'!$C:$C,'divisional &amp; regional caseload%'!$B$50,'caseload data'!$D:$D,"SPO")/SUMIF('caseload data'!$C:$C,'divisional &amp; regional caseload%'!$B$50,'caseload data'!I:I),"")</f>
        <v/>
      </c>
      <c r="H55" s="167" t="str">
        <f>IFERROR(SUMIFS('caseload data'!J:J,'caseload data'!$C:$C,'divisional &amp; regional caseload%'!$B$50,'caseload data'!$D:$D,"SPO")/SUMIF('caseload data'!$C:$C,'divisional &amp; regional caseload%'!$B$50,'caseload data'!J:J),"")</f>
        <v/>
      </c>
      <c r="I55" s="167" t="str">
        <f>IFERROR(SUMIFS('caseload data'!K:K,'caseload data'!$C:$C,'divisional &amp; regional caseload%'!$B$50,'caseload data'!$D:$D,"SPO")/SUMIF('caseload data'!$C:$C,'divisional &amp; regional caseload%'!$B$50,'caseload data'!K:K),"")</f>
        <v/>
      </c>
      <c r="J55" s="167" t="str">
        <f>IFERROR(SUMIFS('caseload data'!L:L,'caseload data'!$C:$C,'divisional &amp; regional caseload%'!$B$50,'caseload data'!$D:$D,"SPO")/SUMIF('caseload data'!$C:$C,'divisional &amp; regional caseload%'!$B$50,'caseload data'!L:L),"")</f>
        <v/>
      </c>
      <c r="K55" s="167" t="str">
        <f>IFERROR(SUMIFS('caseload data'!M:M,'caseload data'!$C:$C,'divisional &amp; regional caseload%'!$B$50,'caseload data'!$D:$D,"SPO")/SUMIF('caseload data'!$C:$C,'divisional &amp; regional caseload%'!$B$50,'caseload data'!M:M),"")</f>
        <v/>
      </c>
      <c r="L55" s="167" t="str">
        <f>IFERROR(SUMIFS('caseload data'!N:N,'caseload data'!$C:$C,'divisional &amp; regional caseload%'!$B$50,'caseload data'!$D:$D,"SPO")/SUMIF('caseload data'!$C:$C,'divisional &amp; regional caseload%'!$B$50,'caseload data'!N:N),"")</f>
        <v/>
      </c>
      <c r="M55" s="167" t="str">
        <f>IFERROR(SUMIFS('caseload data'!O:O,'caseload data'!$C:$C,'divisional &amp; regional caseload%'!$B$50,'caseload data'!$D:$D,"SPO")/SUMIF('caseload data'!$C:$C,'divisional &amp; regional caseload%'!$B$50,'caseload data'!O:O),"")</f>
        <v/>
      </c>
      <c r="N55" s="167" t="str">
        <f>IFERROR(SUMIFS('caseload data'!P:P,'caseload data'!$C:$C,'divisional &amp; regional caseload%'!$B$50,'caseload data'!$D:$D,"SPO")/SUMIF('caseload data'!$C:$C,'divisional &amp; regional caseload%'!$B$50,'caseload data'!P:P),"")</f>
        <v/>
      </c>
      <c r="O55" s="167" t="str">
        <f>IFERROR(SUMIFS('caseload data'!Q:Q,'caseload data'!$C:$C,'divisional &amp; regional caseload%'!$B$50,'caseload data'!$D:$D,"SPO")/SUMIF('caseload data'!$C:$C,'divisional &amp; regional caseload%'!$B$50,'caseload data'!Q:Q),"")</f>
        <v/>
      </c>
      <c r="P55" s="167" t="str">
        <f>IFERROR(SUMIFS('caseload data'!R:R,'caseload data'!$C:$C,'divisional &amp; regional caseload%'!$B$50,'caseload data'!$D:$D,"SPO")/SUMIF('caseload data'!$C:$C,'divisional &amp; regional caseload%'!$B$50,'caseload data'!R:R),"")</f>
        <v/>
      </c>
      <c r="Q55" s="167" t="str">
        <f>IFERROR(SUMIFS('caseload data'!S:S,'caseload data'!$C:$C,'divisional &amp; regional caseload%'!$B$50,'caseload data'!$D:$D,"SPO")/SUMIF('caseload data'!$C:$C,'divisional &amp; regional caseload%'!$B$50,'caseload data'!S:S),"")</f>
        <v/>
      </c>
      <c r="R55" s="167" t="str">
        <f>IFERROR(SUMIFS('caseload data'!T:T,'caseload data'!$C:$C,'divisional &amp; regional caseload%'!$B$50,'caseload data'!$D:$D,"SPO")/SUMIF('caseload data'!$C:$C,'divisional &amp; regional caseload%'!$B$50,'caseload data'!T:T),"")</f>
        <v/>
      </c>
      <c r="S55" s="64"/>
      <c r="T55" s="98" t="s">
        <v>954</v>
      </c>
      <c r="U55" s="167" t="str">
        <f>IFERROR(SUMIFS('caseload data'!E:E,'caseload data'!$C:$C,'divisional &amp; regional caseload%'!$T$50,'caseload data'!$D:$D,"SPO")/SUMIF('caseload data'!$C:$C,'divisional &amp; regional caseload%'!$T$50,'caseload data'!E:E),"")</f>
        <v/>
      </c>
      <c r="V55" s="167" t="str">
        <f>IFERROR(SUMIFS('caseload data'!F:F,'caseload data'!$C:$C,'divisional &amp; regional caseload%'!$T$50,'caseload data'!$D:$D,"SPO")/SUMIF('caseload data'!$C:$C,'divisional &amp; regional caseload%'!$T$50,'caseload data'!F:F),"")</f>
        <v/>
      </c>
      <c r="W55" s="167" t="str">
        <f>IFERROR(SUMIFS('caseload data'!G:G,'caseload data'!$C:$C,'divisional &amp; regional caseload%'!$T$50,'caseload data'!$D:$D,"SPO")/SUMIF('caseload data'!$C:$C,'divisional &amp; regional caseload%'!$T$50,'caseload data'!G:G),"")</f>
        <v/>
      </c>
      <c r="X55" s="167" t="str">
        <f>IFERROR(SUMIFS('caseload data'!H:H,'caseload data'!$C:$C,'divisional &amp; regional caseload%'!$T$50,'caseload data'!$D:$D,"SPO")/SUMIF('caseload data'!$C:$C,'divisional &amp; regional caseload%'!$T$50,'caseload data'!H:H),"")</f>
        <v/>
      </c>
      <c r="Y55" s="167" t="str">
        <f>IFERROR(SUMIFS('caseload data'!I:I,'caseload data'!$C:$C,'divisional &amp; regional caseload%'!$T$50,'caseload data'!$D:$D,"SPO")/SUMIF('caseload data'!$C:$C,'divisional &amp; regional caseload%'!$T$50,'caseload data'!I:I),"")</f>
        <v/>
      </c>
      <c r="Z55" s="167" t="str">
        <f>IFERROR(SUMIFS('caseload data'!J:J,'caseload data'!$C:$C,'divisional &amp; regional caseload%'!$T$50,'caseload data'!$D:$D,"SPO")/SUMIF('caseload data'!$C:$C,'divisional &amp; regional caseload%'!$T$50,'caseload data'!J:J),"")</f>
        <v/>
      </c>
      <c r="AA55" s="167" t="str">
        <f>IFERROR(SUMIFS('caseload data'!K:K,'caseload data'!$C:$C,'divisional &amp; regional caseload%'!$T$50,'caseload data'!$D:$D,"SPO")/SUMIF('caseload data'!$C:$C,'divisional &amp; regional caseload%'!$T$50,'caseload data'!K:K),"")</f>
        <v/>
      </c>
      <c r="AB55" s="167" t="str">
        <f>IFERROR(SUMIFS('caseload data'!L:L,'caseload data'!$C:$C,'divisional &amp; regional caseload%'!$T$50,'caseload data'!$D:$D,"SPO")/SUMIF('caseload data'!$C:$C,'divisional &amp; regional caseload%'!$T$50,'caseload data'!L:L),"")</f>
        <v/>
      </c>
      <c r="AC55" s="167" t="str">
        <f>IFERROR(SUMIFS('caseload data'!M:M,'caseload data'!$C:$C,'divisional &amp; regional caseload%'!$T$50,'caseload data'!$D:$D,"SPO")/SUMIF('caseload data'!$C:$C,'divisional &amp; regional caseload%'!$T$50,'caseload data'!M:M),"")</f>
        <v/>
      </c>
      <c r="AD55" s="167" t="str">
        <f>IFERROR(SUMIFS('caseload data'!N:N,'caseload data'!$C:$C,'divisional &amp; regional caseload%'!$T$50,'caseload data'!$D:$D,"SPO")/SUMIF('caseload data'!$C:$C,'divisional &amp; regional caseload%'!$T$50,'caseload data'!N:N),"")</f>
        <v/>
      </c>
      <c r="AE55" s="167" t="str">
        <f>IFERROR(SUMIFS('caseload data'!O:O,'caseload data'!$C:$C,'divisional &amp; regional caseload%'!$T$50,'caseload data'!$D:$D,"SPO")/SUMIF('caseload data'!$C:$C,'divisional &amp; regional caseload%'!$T$50,'caseload data'!O:O),"")</f>
        <v/>
      </c>
      <c r="AF55" s="167" t="str">
        <f>IFERROR(SUMIFS('caseload data'!P:P,'caseload data'!$C:$C,'divisional &amp; regional caseload%'!$T$50,'caseload data'!$D:$D,"SPO")/SUMIF('caseload data'!$C:$C,'divisional &amp; regional caseload%'!$T$50,'caseload data'!P:P),"")</f>
        <v/>
      </c>
      <c r="AG55" s="167" t="str">
        <f>IFERROR(SUMIFS('caseload data'!Q:Q,'caseload data'!$C:$C,'divisional &amp; regional caseload%'!$T$50,'caseload data'!$D:$D,"SPO")/SUMIF('caseload data'!$C:$C,'divisional &amp; regional caseload%'!$T$50,'caseload data'!Q:Q),"")</f>
        <v/>
      </c>
      <c r="AH55" s="167" t="str">
        <f>IFERROR(SUMIFS('caseload data'!R:R,'caseload data'!$C:$C,'divisional &amp; regional caseload%'!$T$50,'caseload data'!$D:$D,"SPO")/SUMIF('caseload data'!$C:$C,'divisional &amp; regional caseload%'!$T$50,'caseload data'!R:R),"")</f>
        <v/>
      </c>
      <c r="AI55" s="167" t="str">
        <f>IFERROR(SUMIFS('caseload data'!S:S,'caseload data'!$C:$C,'divisional &amp; regional caseload%'!$T$50,'caseload data'!$D:$D,"SPO")/SUMIF('caseload data'!$C:$C,'divisional &amp; regional caseload%'!$T$50,'caseload data'!S:S),"")</f>
        <v/>
      </c>
      <c r="AJ55" s="167" t="str">
        <f>IFERROR(SUMIFS('caseload data'!T:T,'caseload data'!$C:$C,'divisional &amp; regional caseload%'!$T$50,'caseload data'!$D:$D,"SPO")/SUMIF('caseload data'!$C:$C,'divisional &amp; regional caseload%'!$T$50,'caseload data'!T:T),"")</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288">
        <f>HLOOKUP($B$5,Region_Table,16,0)</f>
        <v>0</v>
      </c>
      <c r="C57" s="556" t="s">
        <v>1043</v>
      </c>
      <c r="D57" s="557"/>
      <c r="E57" s="557"/>
      <c r="F57" s="557"/>
      <c r="G57" s="557"/>
      <c r="H57" s="557"/>
      <c r="I57" s="557"/>
      <c r="J57" s="557"/>
      <c r="K57" s="557"/>
      <c r="L57" s="557"/>
      <c r="M57" s="558"/>
      <c r="N57" s="558"/>
      <c r="O57" s="559"/>
      <c r="P57" s="543">
        <f>SUMIF('caseload data'!$C:$C,'divisional &amp; regional caseload%'!B57,'caseload data'!V:V)</f>
        <v>0</v>
      </c>
      <c r="Q57" s="560"/>
      <c r="R57" s="561"/>
      <c r="S57" s="64"/>
      <c r="T57" s="288">
        <f>HLOOKUP($B$5,Region_Table,17,0)</f>
        <v>0</v>
      </c>
      <c r="U57" s="556" t="s">
        <v>1039</v>
      </c>
      <c r="V57" s="557"/>
      <c r="W57" s="557"/>
      <c r="X57" s="557"/>
      <c r="Y57" s="557"/>
      <c r="Z57" s="557"/>
      <c r="AA57" s="557"/>
      <c r="AB57" s="557"/>
      <c r="AC57" s="557"/>
      <c r="AD57" s="557"/>
      <c r="AE57" s="558"/>
      <c r="AF57" s="558"/>
      <c r="AG57" s="559"/>
      <c r="AH57" s="543">
        <f>SUMIF('caseload data'!$C:$C,'divisional &amp; regional caseload%'!T57,'caseload data'!V:V)</f>
        <v>0</v>
      </c>
      <c r="AI57" s="560"/>
      <c r="AJ57" s="561"/>
    </row>
    <row r="58" spans="2:36" x14ac:dyDescent="0.15">
      <c r="B58" s="95" t="s">
        <v>951</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951</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167" t="str">
        <f>IFERROR(SUMIFS('caseload data'!E:E,'caseload data'!$C:$C,'divisional &amp; regional caseload%'!$B$57,'caseload data'!$D:$D,"PO")/SUMIF('caseload data'!$C:$C,'divisional &amp; regional caseload%'!$B$57,'caseload data'!E:E),"")</f>
        <v/>
      </c>
      <c r="D59" s="167" t="str">
        <f>IFERROR(SUMIFS('caseload data'!F:F,'caseload data'!$C:$C,'divisional &amp; regional caseload%'!$B$57,'caseload data'!$D:$D,"PO")/SUMIF('caseload data'!$C:$C,'divisional &amp; regional caseload%'!$B$57,'caseload data'!F:F),"")</f>
        <v/>
      </c>
      <c r="E59" s="167" t="str">
        <f>IFERROR(SUMIFS('caseload data'!G:G,'caseload data'!$C:$C,'divisional &amp; regional caseload%'!$B$57,'caseload data'!$D:$D,"PO")/SUMIF('caseload data'!$C:$C,'divisional &amp; regional caseload%'!$B$57,'caseload data'!G:G),"")</f>
        <v/>
      </c>
      <c r="F59" s="167" t="str">
        <f>IFERROR(SUMIFS('caseload data'!H:H,'caseload data'!$C:$C,'divisional &amp; regional caseload%'!$B$57,'caseload data'!$D:$D,"PO")/SUMIF('caseload data'!$C:$C,'divisional &amp; regional caseload%'!$B$57,'caseload data'!H:H),"")</f>
        <v/>
      </c>
      <c r="G59" s="167" t="str">
        <f>IFERROR(SUMIFS('caseload data'!I:I,'caseload data'!$C:$C,'divisional &amp; regional caseload%'!$B$57,'caseload data'!$D:$D,"PO")/SUMIF('caseload data'!$C:$C,'divisional &amp; regional caseload%'!$B$57,'caseload data'!I:I),"")</f>
        <v/>
      </c>
      <c r="H59" s="167" t="str">
        <f>IFERROR(SUMIFS('caseload data'!J:J,'caseload data'!$C:$C,'divisional &amp; regional caseload%'!$B$57,'caseload data'!$D:$D,"PO")/SUMIF('caseload data'!$C:$C,'divisional &amp; regional caseload%'!$B$57,'caseload data'!J:J),"")</f>
        <v/>
      </c>
      <c r="I59" s="167" t="str">
        <f>IFERROR(SUMIFS('caseload data'!K:K,'caseload data'!$C:$C,'divisional &amp; regional caseload%'!$B$57,'caseload data'!$D:$D,"PO")/SUMIF('caseload data'!$C:$C,'divisional &amp; regional caseload%'!$B$57,'caseload data'!K:K),"")</f>
        <v/>
      </c>
      <c r="J59" s="167" t="str">
        <f>IFERROR(SUMIFS('caseload data'!L:L,'caseload data'!$C:$C,'divisional &amp; regional caseload%'!$B$57,'caseload data'!$D:$D,"PO")/SUMIF('caseload data'!$C:$C,'divisional &amp; regional caseload%'!$B$57,'caseload data'!L:L),"")</f>
        <v/>
      </c>
      <c r="K59" s="167" t="str">
        <f>IFERROR(SUMIFS('caseload data'!M:M,'caseload data'!$C:$C,'divisional &amp; regional caseload%'!$B$57,'caseload data'!$D:$D,"PO")/SUMIF('caseload data'!$C:$C,'divisional &amp; regional caseload%'!$B$57,'caseload data'!M:M),"")</f>
        <v/>
      </c>
      <c r="L59" s="167" t="str">
        <f>IFERROR(SUMIFS('caseload data'!N:N,'caseload data'!$C:$C,'divisional &amp; regional caseload%'!$B$57,'caseload data'!$D:$D,"PO")/SUMIF('caseload data'!$C:$C,'divisional &amp; regional caseload%'!$B$57,'caseload data'!N:N),"")</f>
        <v/>
      </c>
      <c r="M59" s="167" t="str">
        <f>IFERROR(SUMIFS('caseload data'!O:O,'caseload data'!$C:$C,'divisional &amp; regional caseload%'!$B$57,'caseload data'!$D:$D,"PO")/SUMIF('caseload data'!$C:$C,'divisional &amp; regional caseload%'!$B$57,'caseload data'!O:O),"")</f>
        <v/>
      </c>
      <c r="N59" s="167" t="str">
        <f>IFERROR(SUMIFS('caseload data'!P:P,'caseload data'!$C:$C,'divisional &amp; regional caseload%'!$B$57,'caseload data'!$D:$D,"PO")/SUMIF('caseload data'!$C:$C,'divisional &amp; regional caseload%'!$B$57,'caseload data'!P:P),"")</f>
        <v/>
      </c>
      <c r="O59" s="167" t="str">
        <f>IFERROR(SUMIFS('caseload data'!Q:Q,'caseload data'!$C:$C,'divisional &amp; regional caseload%'!$B$57,'caseload data'!$D:$D,"PO")/SUMIF('caseload data'!$C:$C,'divisional &amp; regional caseload%'!$B$57,'caseload data'!Q:Q),"")</f>
        <v/>
      </c>
      <c r="P59" s="167" t="str">
        <f>IFERROR(SUMIFS('caseload data'!R:R,'caseload data'!$C:$C,'divisional &amp; regional caseload%'!$B$57,'caseload data'!$D:$D,"PO")/SUMIF('caseload data'!$C:$C,'divisional &amp; regional caseload%'!$B$57,'caseload data'!R:R),"")</f>
        <v/>
      </c>
      <c r="Q59" s="167" t="str">
        <f>IFERROR(SUMIFS('caseload data'!S:S,'caseload data'!$C:$C,'divisional &amp; regional caseload%'!$B$57,'caseload data'!$D:$D,"PO")/SUMIF('caseload data'!$C:$C,'divisional &amp; regional caseload%'!$B$57,'caseload data'!S:S),"")</f>
        <v/>
      </c>
      <c r="R59" s="167" t="str">
        <f>IFERROR(SUMIFS('caseload data'!T:T,'caseload data'!$C:$C,'divisional &amp; regional caseload%'!$B$57,'caseload data'!$D:$D,"PO")/SUMIF('caseload data'!$C:$C,'divisional &amp; regional caseload%'!$B$57,'caseload data'!T:T),"")</f>
        <v/>
      </c>
      <c r="S59" s="64"/>
      <c r="T59" s="96" t="s">
        <v>947</v>
      </c>
      <c r="U59" s="167" t="str">
        <f>IFERROR(SUMIFS('caseload data'!E:E,'caseload data'!$C:$C,'divisional &amp; regional caseload%'!$T$57,'caseload data'!$D:$D,"PO")/SUMIF('caseload data'!$C:$C,'divisional &amp; regional caseload%'!$T$57,'caseload data'!E:E),"")</f>
        <v/>
      </c>
      <c r="V59" s="167" t="str">
        <f>IFERROR(SUMIFS('caseload data'!F:F,'caseload data'!$C:$C,'divisional &amp; regional caseload%'!$T$57,'caseload data'!$D:$D,"PO")/SUMIF('caseload data'!$C:$C,'divisional &amp; regional caseload%'!$T$57,'caseload data'!F:F),"")</f>
        <v/>
      </c>
      <c r="W59" s="167" t="str">
        <f>IFERROR(SUMIFS('caseload data'!G:G,'caseload data'!$C:$C,'divisional &amp; regional caseload%'!$T$57,'caseload data'!$D:$D,"PO")/SUMIF('caseload data'!$C:$C,'divisional &amp; regional caseload%'!$T$57,'caseload data'!G:G),"")</f>
        <v/>
      </c>
      <c r="X59" s="167" t="str">
        <f>IFERROR(SUMIFS('caseload data'!H:H,'caseload data'!$C:$C,'divisional &amp; regional caseload%'!$T$57,'caseload data'!$D:$D,"PO")/SUMIF('caseload data'!$C:$C,'divisional &amp; regional caseload%'!$T$57,'caseload data'!H:H),"")</f>
        <v/>
      </c>
      <c r="Y59" s="167" t="str">
        <f>IFERROR(SUMIFS('caseload data'!I:I,'caseload data'!$C:$C,'divisional &amp; regional caseload%'!$T$57,'caseload data'!$D:$D,"PO")/SUMIF('caseload data'!$C:$C,'divisional &amp; regional caseload%'!$T$57,'caseload data'!I:I),"")</f>
        <v/>
      </c>
      <c r="Z59" s="167" t="str">
        <f>IFERROR(SUMIFS('caseload data'!J:J,'caseload data'!$C:$C,'divisional &amp; regional caseload%'!$T$57,'caseload data'!$D:$D,"PO")/SUMIF('caseload data'!$C:$C,'divisional &amp; regional caseload%'!$T$57,'caseload data'!J:J),"")</f>
        <v/>
      </c>
      <c r="AA59" s="167" t="str">
        <f>IFERROR(SUMIFS('caseload data'!K:K,'caseload data'!$C:$C,'divisional &amp; regional caseload%'!$T$57,'caseload data'!$D:$D,"PO")/SUMIF('caseload data'!$C:$C,'divisional &amp; regional caseload%'!$T$57,'caseload data'!K:K),"")</f>
        <v/>
      </c>
      <c r="AB59" s="167" t="str">
        <f>IFERROR(SUMIFS('caseload data'!L:L,'caseload data'!$C:$C,'divisional &amp; regional caseload%'!$T$57,'caseload data'!$D:$D,"PO")/SUMIF('caseload data'!$C:$C,'divisional &amp; regional caseload%'!$T$57,'caseload data'!L:L),"")</f>
        <v/>
      </c>
      <c r="AC59" s="167" t="str">
        <f>IFERROR(SUMIFS('caseload data'!M:M,'caseload data'!$C:$C,'divisional &amp; regional caseload%'!$T$57,'caseload data'!$D:$D,"PO")/SUMIF('caseload data'!$C:$C,'divisional &amp; regional caseload%'!$T$57,'caseload data'!M:M),"")</f>
        <v/>
      </c>
      <c r="AD59" s="167" t="str">
        <f>IFERROR(SUMIFS('caseload data'!N:N,'caseload data'!$C:$C,'divisional &amp; regional caseload%'!$T$57,'caseload data'!$D:$D,"PO")/SUMIF('caseload data'!$C:$C,'divisional &amp; regional caseload%'!$T$57,'caseload data'!N:N),"")</f>
        <v/>
      </c>
      <c r="AE59" s="167" t="str">
        <f>IFERROR(SUMIFS('caseload data'!O:O,'caseload data'!$C:$C,'divisional &amp; regional caseload%'!$T$57,'caseload data'!$D:$D,"PO")/SUMIF('caseload data'!$C:$C,'divisional &amp; regional caseload%'!$T$57,'caseload data'!O:O),"")</f>
        <v/>
      </c>
      <c r="AF59" s="167" t="str">
        <f>IFERROR(SUMIFS('caseload data'!P:P,'caseload data'!$C:$C,'divisional &amp; regional caseload%'!$T$57,'caseload data'!$D:$D,"PO")/SUMIF('caseload data'!$C:$C,'divisional &amp; regional caseload%'!$T$57,'caseload data'!P:P),"")</f>
        <v/>
      </c>
      <c r="AG59" s="167" t="str">
        <f>IFERROR(SUMIFS('caseload data'!Q:Q,'caseload data'!$C:$C,'divisional &amp; regional caseload%'!$T$57,'caseload data'!$D:$D,"PO")/SUMIF('caseload data'!$C:$C,'divisional &amp; regional caseload%'!$T$57,'caseload data'!Q:Q),"")</f>
        <v/>
      </c>
      <c r="AH59" s="167" t="str">
        <f>IFERROR(SUMIFS('caseload data'!R:R,'caseload data'!$C:$C,'divisional &amp; regional caseload%'!$T$57,'caseload data'!$D:$D,"PO")/SUMIF('caseload data'!$C:$C,'divisional &amp; regional caseload%'!$T$57,'caseload data'!R:R),"")</f>
        <v/>
      </c>
      <c r="AI59" s="167" t="str">
        <f>IFERROR(SUMIFS('caseload data'!S:S,'caseload data'!$C:$C,'divisional &amp; regional caseload%'!$T$57,'caseload data'!$D:$D,"PO")/SUMIF('caseload data'!$C:$C,'divisional &amp; regional caseload%'!$T$57,'caseload data'!S:S),"")</f>
        <v/>
      </c>
      <c r="AJ59" s="167" t="str">
        <f>IFERROR(SUMIFS('caseload data'!T:T,'caseload data'!$C:$C,'divisional &amp; regional caseload%'!$T$57,'caseload data'!$D:$D,"PO")/SUMIF('caseload data'!$C:$C,'divisional &amp; regional caseload%'!$T$57,'caseload data'!T:T),"")</f>
        <v/>
      </c>
    </row>
    <row r="60" spans="2:36" x14ac:dyDescent="0.15">
      <c r="B60" s="97" t="s">
        <v>952</v>
      </c>
      <c r="C60" s="167" t="str">
        <f>IFERROR(SUMIFS('caseload data'!E:E,'caseload data'!$C:$C,'divisional &amp; regional caseload%'!$B$57,'caseload data'!$D:$D,"PSO")/SUMIF('caseload data'!$C:$C,'divisional &amp; regional caseload%'!$B$57,'caseload data'!E:E),"")</f>
        <v/>
      </c>
      <c r="D60" s="167" t="str">
        <f>IFERROR(SUMIFS('caseload data'!F:F,'caseload data'!$C:$C,'divisional &amp; regional caseload%'!$B$57,'caseload data'!$D:$D,"PSO")/SUMIF('caseload data'!$C:$C,'divisional &amp; regional caseload%'!$B$57,'caseload data'!F:F),"")</f>
        <v/>
      </c>
      <c r="E60" s="167" t="str">
        <f>IFERROR(SUMIFS('caseload data'!G:G,'caseload data'!$C:$C,'divisional &amp; regional caseload%'!$B$57,'caseload data'!$D:$D,"PSO")/SUMIF('caseload data'!$C:$C,'divisional &amp; regional caseload%'!$B$57,'caseload data'!G:G),"")</f>
        <v/>
      </c>
      <c r="F60" s="167" t="str">
        <f>IFERROR(SUMIFS('caseload data'!H:H,'caseload data'!$C:$C,'divisional &amp; regional caseload%'!$B$57,'caseload data'!$D:$D,"PSO")/SUMIF('caseload data'!$C:$C,'divisional &amp; regional caseload%'!$B$57,'caseload data'!H:H),"")</f>
        <v/>
      </c>
      <c r="G60" s="167" t="str">
        <f>IFERROR(SUMIFS('caseload data'!I:I,'caseload data'!$C:$C,'divisional &amp; regional caseload%'!$B$57,'caseload data'!$D:$D,"PSO")/SUMIF('caseload data'!$C:$C,'divisional &amp; regional caseload%'!$B$57,'caseload data'!I:I),"")</f>
        <v/>
      </c>
      <c r="H60" s="167" t="str">
        <f>IFERROR(SUMIFS('caseload data'!J:J,'caseload data'!$C:$C,'divisional &amp; regional caseload%'!$B$57,'caseload data'!$D:$D,"PSO")/SUMIF('caseload data'!$C:$C,'divisional &amp; regional caseload%'!$B$57,'caseload data'!J:J),"")</f>
        <v/>
      </c>
      <c r="I60" s="167" t="str">
        <f>IFERROR(SUMIFS('caseload data'!K:K,'caseload data'!$C:$C,'divisional &amp; regional caseload%'!$B$57,'caseload data'!$D:$D,"PSO")/SUMIF('caseload data'!$C:$C,'divisional &amp; regional caseload%'!$B$57,'caseload data'!K:K),"")</f>
        <v/>
      </c>
      <c r="J60" s="167" t="str">
        <f>IFERROR(SUMIFS('caseload data'!L:L,'caseload data'!$C:$C,'divisional &amp; regional caseload%'!$B$57,'caseload data'!$D:$D,"PSO")/SUMIF('caseload data'!$C:$C,'divisional &amp; regional caseload%'!$B$57,'caseload data'!L:L),"")</f>
        <v/>
      </c>
      <c r="K60" s="167" t="str">
        <f>IFERROR(SUMIFS('caseload data'!M:M,'caseload data'!$C:$C,'divisional &amp; regional caseload%'!$B$57,'caseload data'!$D:$D,"PSO")/SUMIF('caseload data'!$C:$C,'divisional &amp; regional caseload%'!$B$57,'caseload data'!M:M),"")</f>
        <v/>
      </c>
      <c r="L60" s="167" t="str">
        <f>IFERROR(SUMIFS('caseload data'!N:N,'caseload data'!$C:$C,'divisional &amp; regional caseload%'!$B$57,'caseload data'!$D:$D,"PSO")/SUMIF('caseload data'!$C:$C,'divisional &amp; regional caseload%'!$B$57,'caseload data'!N:N),"")</f>
        <v/>
      </c>
      <c r="M60" s="167" t="str">
        <f>IFERROR(SUMIFS('caseload data'!O:O,'caseload data'!$C:$C,'divisional &amp; regional caseload%'!$B$57,'caseload data'!$D:$D,"PSO")/SUMIF('caseload data'!$C:$C,'divisional &amp; regional caseload%'!$B$57,'caseload data'!O:O),"")</f>
        <v/>
      </c>
      <c r="N60" s="167" t="str">
        <f>IFERROR(SUMIFS('caseload data'!P:P,'caseload data'!$C:$C,'divisional &amp; regional caseload%'!$B$57,'caseload data'!$D:$D,"PSO")/SUMIF('caseload data'!$C:$C,'divisional &amp; regional caseload%'!$B$57,'caseload data'!P:P),"")</f>
        <v/>
      </c>
      <c r="O60" s="167" t="str">
        <f>IFERROR(SUMIFS('caseload data'!Q:Q,'caseload data'!$C:$C,'divisional &amp; regional caseload%'!$B$57,'caseload data'!$D:$D,"PSO")/SUMIF('caseload data'!$C:$C,'divisional &amp; regional caseload%'!$B$57,'caseload data'!Q:Q),"")</f>
        <v/>
      </c>
      <c r="P60" s="167" t="str">
        <f>IFERROR(SUMIFS('caseload data'!R:R,'caseload data'!$C:$C,'divisional &amp; regional caseload%'!$B$57,'caseload data'!$D:$D,"PSO")/SUMIF('caseload data'!$C:$C,'divisional &amp; regional caseload%'!$B$57,'caseload data'!R:R),"")</f>
        <v/>
      </c>
      <c r="Q60" s="167" t="str">
        <f>IFERROR(SUMIFS('caseload data'!S:S,'caseload data'!$C:$C,'divisional &amp; regional caseload%'!$B$57,'caseload data'!$D:$D,"PSO")/SUMIF('caseload data'!$C:$C,'divisional &amp; regional caseload%'!$B$57,'caseload data'!S:S),"")</f>
        <v/>
      </c>
      <c r="R60" s="167" t="str">
        <f>IFERROR(SUMIFS('caseload data'!T:T,'caseload data'!$C:$C,'divisional &amp; regional caseload%'!$B$57,'caseload data'!$D:$D,"PSO")/SUMIF('caseload data'!$C:$C,'divisional &amp; regional caseload%'!$B$57,'caseload data'!T:T),"")</f>
        <v/>
      </c>
      <c r="S60" s="64"/>
      <c r="T60" s="97" t="s">
        <v>952</v>
      </c>
      <c r="U60" s="167" t="str">
        <f>IFERROR(SUMIFS('caseload data'!E:E,'caseload data'!$C:$C,'divisional &amp; regional caseload%'!$T$57,'caseload data'!$D:$D,"PSO")/SUMIF('caseload data'!$C:$C,'divisional &amp; regional caseload%'!$T$57,'caseload data'!E:E),"")</f>
        <v/>
      </c>
      <c r="V60" s="167" t="str">
        <f>IFERROR(SUMIFS('caseload data'!F:F,'caseload data'!$C:$C,'divisional &amp; regional caseload%'!$T$57,'caseload data'!$D:$D,"PSO")/SUMIF('caseload data'!$C:$C,'divisional &amp; regional caseload%'!$T$57,'caseload data'!F:F),"")</f>
        <v/>
      </c>
      <c r="W60" s="167" t="str">
        <f>IFERROR(SUMIFS('caseload data'!G:G,'caseload data'!$C:$C,'divisional &amp; regional caseload%'!$T$57,'caseload data'!$D:$D,"PSO")/SUMIF('caseload data'!$C:$C,'divisional &amp; regional caseload%'!$T$57,'caseload data'!G:G),"")</f>
        <v/>
      </c>
      <c r="X60" s="167" t="str">
        <f>IFERROR(SUMIFS('caseload data'!H:H,'caseload data'!$C:$C,'divisional &amp; regional caseload%'!$T$57,'caseload data'!$D:$D,"PSO")/SUMIF('caseload data'!$C:$C,'divisional &amp; regional caseload%'!$T$57,'caseload data'!H:H),"")</f>
        <v/>
      </c>
      <c r="Y60" s="167" t="str">
        <f>IFERROR(SUMIFS('caseload data'!I:I,'caseload data'!$C:$C,'divisional &amp; regional caseload%'!$T$57,'caseload data'!$D:$D,"PSO")/SUMIF('caseload data'!$C:$C,'divisional &amp; regional caseload%'!$T$57,'caseload data'!I:I),"")</f>
        <v/>
      </c>
      <c r="Z60" s="167" t="str">
        <f>IFERROR(SUMIFS('caseload data'!J:J,'caseload data'!$C:$C,'divisional &amp; regional caseload%'!$T$57,'caseload data'!$D:$D,"PSO")/SUMIF('caseload data'!$C:$C,'divisional &amp; regional caseload%'!$T$57,'caseload data'!J:J),"")</f>
        <v/>
      </c>
      <c r="AA60" s="167" t="str">
        <f>IFERROR(SUMIFS('caseload data'!K:K,'caseload data'!$C:$C,'divisional &amp; regional caseload%'!$T$57,'caseload data'!$D:$D,"PSO")/SUMIF('caseload data'!$C:$C,'divisional &amp; regional caseload%'!$T$57,'caseload data'!K:K),"")</f>
        <v/>
      </c>
      <c r="AB60" s="167" t="str">
        <f>IFERROR(SUMIFS('caseload data'!L:L,'caseload data'!$C:$C,'divisional &amp; regional caseload%'!$T$57,'caseload data'!$D:$D,"PSO")/SUMIF('caseload data'!$C:$C,'divisional &amp; regional caseload%'!$T$57,'caseload data'!L:L),"")</f>
        <v/>
      </c>
      <c r="AC60" s="167" t="str">
        <f>IFERROR(SUMIFS('caseload data'!M:M,'caseload data'!$C:$C,'divisional &amp; regional caseload%'!$T$57,'caseload data'!$D:$D,"PSO")/SUMIF('caseload data'!$C:$C,'divisional &amp; regional caseload%'!$T$57,'caseload data'!M:M),"")</f>
        <v/>
      </c>
      <c r="AD60" s="167" t="str">
        <f>IFERROR(SUMIFS('caseload data'!N:N,'caseload data'!$C:$C,'divisional &amp; regional caseload%'!$T$57,'caseload data'!$D:$D,"PSO")/SUMIF('caseload data'!$C:$C,'divisional &amp; regional caseload%'!$T$57,'caseload data'!N:N),"")</f>
        <v/>
      </c>
      <c r="AE60" s="167" t="str">
        <f>IFERROR(SUMIFS('caseload data'!O:O,'caseload data'!$C:$C,'divisional &amp; regional caseload%'!$T$57,'caseload data'!$D:$D,"PSO")/SUMIF('caseload data'!$C:$C,'divisional &amp; regional caseload%'!$T$57,'caseload data'!O:O),"")</f>
        <v/>
      </c>
      <c r="AF60" s="167" t="str">
        <f>IFERROR(SUMIFS('caseload data'!P:P,'caseload data'!$C:$C,'divisional &amp; regional caseload%'!$T$57,'caseload data'!$D:$D,"PSO")/SUMIF('caseload data'!$C:$C,'divisional &amp; regional caseload%'!$T$57,'caseload data'!P:P),"")</f>
        <v/>
      </c>
      <c r="AG60" s="167" t="str">
        <f>IFERROR(SUMIFS('caseload data'!Q:Q,'caseload data'!$C:$C,'divisional &amp; regional caseload%'!$T$57,'caseload data'!$D:$D,"PSO")/SUMIF('caseload data'!$C:$C,'divisional &amp; regional caseload%'!$T$57,'caseload data'!Q:Q),"")</f>
        <v/>
      </c>
      <c r="AH60" s="167" t="str">
        <f>IFERROR(SUMIFS('caseload data'!R:R,'caseload data'!$C:$C,'divisional &amp; regional caseload%'!$T$57,'caseload data'!$D:$D,"PSO")/SUMIF('caseload data'!$C:$C,'divisional &amp; regional caseload%'!$T$57,'caseload data'!R:R),"")</f>
        <v/>
      </c>
      <c r="AI60" s="167" t="str">
        <f>IFERROR(SUMIFS('caseload data'!S:S,'caseload data'!$C:$C,'divisional &amp; regional caseload%'!$T$57,'caseload data'!$D:$D,"PSO")/SUMIF('caseload data'!$C:$C,'divisional &amp; regional caseload%'!$T$57,'caseload data'!S:S),"")</f>
        <v/>
      </c>
      <c r="AJ60" s="167" t="str">
        <f>IFERROR(SUMIFS('caseload data'!T:T,'caseload data'!$C:$C,'divisional &amp; regional caseload%'!$T$57,'caseload data'!$D:$D,"PSO")/SUMIF('caseload data'!$C:$C,'divisional &amp; regional caseload%'!$T$57,'caseload data'!T:T),"")</f>
        <v/>
      </c>
    </row>
    <row r="61" spans="2:36" x14ac:dyDescent="0.15">
      <c r="B61" s="97" t="s">
        <v>953</v>
      </c>
      <c r="C61" s="167" t="str">
        <f>IFERROR(SUMIFS('caseload data'!E:E,'caseload data'!$C:$C,'divisional &amp; regional caseload%'!$B$57,'caseload data'!$D:$D,"TPO")/SUMIF('caseload data'!$C:$C,'divisional &amp; regional caseload%'!$B$57,'caseload data'!E:E),"")</f>
        <v/>
      </c>
      <c r="D61" s="167" t="str">
        <f>IFERROR(SUMIFS('caseload data'!F:F,'caseload data'!$C:$C,'divisional &amp; regional caseload%'!$B$57,'caseload data'!$D:$D,"TPO")/SUMIF('caseload data'!$C:$C,'divisional &amp; regional caseload%'!$B$57,'caseload data'!F:F),"")</f>
        <v/>
      </c>
      <c r="E61" s="167" t="str">
        <f>IFERROR(SUMIFS('caseload data'!G:G,'caseload data'!$C:$C,'divisional &amp; regional caseload%'!$B$57,'caseload data'!$D:$D,"TPO")/SUMIF('caseload data'!$C:$C,'divisional &amp; regional caseload%'!$B$57,'caseload data'!G:G),"")</f>
        <v/>
      </c>
      <c r="F61" s="167" t="str">
        <f>IFERROR(SUMIFS('caseload data'!H:H,'caseload data'!$C:$C,'divisional &amp; regional caseload%'!$B$57,'caseload data'!$D:$D,"TPO")/SUMIF('caseload data'!$C:$C,'divisional &amp; regional caseload%'!$B$57,'caseload data'!H:H),"")</f>
        <v/>
      </c>
      <c r="G61" s="167" t="str">
        <f>IFERROR(SUMIFS('caseload data'!I:I,'caseload data'!$C:$C,'divisional &amp; regional caseload%'!$B$57,'caseload data'!$D:$D,"TPO")/SUMIF('caseload data'!$C:$C,'divisional &amp; regional caseload%'!$B$57,'caseload data'!I:I),"")</f>
        <v/>
      </c>
      <c r="H61" s="167" t="str">
        <f>IFERROR(SUMIFS('caseload data'!J:J,'caseload data'!$C:$C,'divisional &amp; regional caseload%'!$B$57,'caseload data'!$D:$D,"TPO")/SUMIF('caseload data'!$C:$C,'divisional &amp; regional caseload%'!$B$57,'caseload data'!J:J),"")</f>
        <v/>
      </c>
      <c r="I61" s="167" t="str">
        <f>IFERROR(SUMIFS('caseload data'!K:K,'caseload data'!$C:$C,'divisional &amp; regional caseload%'!$B$57,'caseload data'!$D:$D,"TPO")/SUMIF('caseload data'!$C:$C,'divisional &amp; regional caseload%'!$B$57,'caseload data'!K:K),"")</f>
        <v/>
      </c>
      <c r="J61" s="167" t="str">
        <f>IFERROR(SUMIFS('caseload data'!L:L,'caseload data'!$C:$C,'divisional &amp; regional caseload%'!$B$57,'caseload data'!$D:$D,"TPO")/SUMIF('caseload data'!$C:$C,'divisional &amp; regional caseload%'!$B$57,'caseload data'!L:L),"")</f>
        <v/>
      </c>
      <c r="K61" s="167" t="str">
        <f>IFERROR(SUMIFS('caseload data'!M:M,'caseload data'!$C:$C,'divisional &amp; regional caseload%'!$B$57,'caseload data'!$D:$D,"TPO")/SUMIF('caseload data'!$C:$C,'divisional &amp; regional caseload%'!$B$57,'caseload data'!M:M),"")</f>
        <v/>
      </c>
      <c r="L61" s="167" t="str">
        <f>IFERROR(SUMIFS('caseload data'!N:N,'caseload data'!$C:$C,'divisional &amp; regional caseload%'!$B$57,'caseload data'!$D:$D,"TPO")/SUMIF('caseload data'!$C:$C,'divisional &amp; regional caseload%'!$B$57,'caseload data'!N:N),"")</f>
        <v/>
      </c>
      <c r="M61" s="167" t="str">
        <f>IFERROR(SUMIFS('caseload data'!O:O,'caseload data'!$C:$C,'divisional &amp; regional caseload%'!$B$57,'caseload data'!$D:$D,"TPO")/SUMIF('caseload data'!$C:$C,'divisional &amp; regional caseload%'!$B$57,'caseload data'!O:O),"")</f>
        <v/>
      </c>
      <c r="N61" s="167" t="str">
        <f>IFERROR(SUMIFS('caseload data'!P:P,'caseload data'!$C:$C,'divisional &amp; regional caseload%'!$B$57,'caseload data'!$D:$D,"TPO")/SUMIF('caseload data'!$C:$C,'divisional &amp; regional caseload%'!$B$57,'caseload data'!P:P),"")</f>
        <v/>
      </c>
      <c r="O61" s="167" t="str">
        <f>IFERROR(SUMIFS('caseload data'!Q:Q,'caseload data'!$C:$C,'divisional &amp; regional caseload%'!$B$57,'caseload data'!$D:$D,"TPO")/SUMIF('caseload data'!$C:$C,'divisional &amp; regional caseload%'!$B$57,'caseload data'!Q:Q),"")</f>
        <v/>
      </c>
      <c r="P61" s="167" t="str">
        <f>IFERROR(SUMIFS('caseload data'!R:R,'caseload data'!$C:$C,'divisional &amp; regional caseload%'!$B$57,'caseload data'!$D:$D,"TPO")/SUMIF('caseload data'!$C:$C,'divisional &amp; regional caseload%'!$B$57,'caseload data'!R:R),"")</f>
        <v/>
      </c>
      <c r="Q61" s="167" t="str">
        <f>IFERROR(SUMIFS('caseload data'!S:S,'caseload data'!$C:$C,'divisional &amp; regional caseload%'!$B$57,'caseload data'!$D:$D,"TPO")/SUMIF('caseload data'!$C:$C,'divisional &amp; regional caseload%'!$B$57,'caseload data'!S:S),"")</f>
        <v/>
      </c>
      <c r="R61" s="167" t="str">
        <f>IFERROR(SUMIFS('caseload data'!T:T,'caseload data'!$C:$C,'divisional &amp; regional caseload%'!$B$57,'caseload data'!$D:$D,"TPO")/SUMIF('caseload data'!$C:$C,'divisional &amp; regional caseload%'!$B$57,'caseload data'!T:T),"")</f>
        <v/>
      </c>
      <c r="S61" s="64"/>
      <c r="T61" s="97" t="s">
        <v>953</v>
      </c>
      <c r="U61" s="167" t="str">
        <f>IFERROR(SUMIFS('caseload data'!E:E,'caseload data'!$C:$C,'divisional &amp; regional caseload%'!$T$57,'caseload data'!$D:$D,"TPO")/SUMIF('caseload data'!$C:$C,'divisional &amp; regional caseload%'!$T$57,'caseload data'!E:E),"")</f>
        <v/>
      </c>
      <c r="V61" s="167" t="str">
        <f>IFERROR(SUMIFS('caseload data'!F:F,'caseload data'!$C:$C,'divisional &amp; regional caseload%'!$T$57,'caseload data'!$D:$D,"TPO")/SUMIF('caseload data'!$C:$C,'divisional &amp; regional caseload%'!$T$57,'caseload data'!F:F),"")</f>
        <v/>
      </c>
      <c r="W61" s="167" t="str">
        <f>IFERROR(SUMIFS('caseload data'!G:G,'caseload data'!$C:$C,'divisional &amp; regional caseload%'!$T$57,'caseload data'!$D:$D,"TPO")/SUMIF('caseload data'!$C:$C,'divisional &amp; regional caseload%'!$T$57,'caseload data'!G:G),"")</f>
        <v/>
      </c>
      <c r="X61" s="167" t="str">
        <f>IFERROR(SUMIFS('caseload data'!H:H,'caseload data'!$C:$C,'divisional &amp; regional caseload%'!$T$57,'caseload data'!$D:$D,"TPO")/SUMIF('caseload data'!$C:$C,'divisional &amp; regional caseload%'!$T$57,'caseload data'!H:H),"")</f>
        <v/>
      </c>
      <c r="Y61" s="167" t="str">
        <f>IFERROR(SUMIFS('caseload data'!I:I,'caseload data'!$C:$C,'divisional &amp; regional caseload%'!$T$57,'caseload data'!$D:$D,"TPO")/SUMIF('caseload data'!$C:$C,'divisional &amp; regional caseload%'!$T$57,'caseload data'!I:I),"")</f>
        <v/>
      </c>
      <c r="Z61" s="167" t="str">
        <f>IFERROR(SUMIFS('caseload data'!J:J,'caseload data'!$C:$C,'divisional &amp; regional caseload%'!$T$57,'caseload data'!$D:$D,"TPO")/SUMIF('caseload data'!$C:$C,'divisional &amp; regional caseload%'!$T$57,'caseload data'!J:J),"")</f>
        <v/>
      </c>
      <c r="AA61" s="167" t="str">
        <f>IFERROR(SUMIFS('caseload data'!K:K,'caseload data'!$C:$C,'divisional &amp; regional caseload%'!$T$57,'caseload data'!$D:$D,"TPO")/SUMIF('caseload data'!$C:$C,'divisional &amp; regional caseload%'!$T$57,'caseload data'!K:K),"")</f>
        <v/>
      </c>
      <c r="AB61" s="167" t="str">
        <f>IFERROR(SUMIFS('caseload data'!L:L,'caseload data'!$C:$C,'divisional &amp; regional caseload%'!$T$57,'caseload data'!$D:$D,"TPO")/SUMIF('caseload data'!$C:$C,'divisional &amp; regional caseload%'!$T$57,'caseload data'!L:L),"")</f>
        <v/>
      </c>
      <c r="AC61" s="167" t="str">
        <f>IFERROR(SUMIFS('caseload data'!M:M,'caseload data'!$C:$C,'divisional &amp; regional caseload%'!$T$57,'caseload data'!$D:$D,"TPO")/SUMIF('caseload data'!$C:$C,'divisional &amp; regional caseload%'!$T$57,'caseload data'!M:M),"")</f>
        <v/>
      </c>
      <c r="AD61" s="167" t="str">
        <f>IFERROR(SUMIFS('caseload data'!N:N,'caseload data'!$C:$C,'divisional &amp; regional caseload%'!$T$57,'caseload data'!$D:$D,"TPO")/SUMIF('caseload data'!$C:$C,'divisional &amp; regional caseload%'!$T$57,'caseload data'!N:N),"")</f>
        <v/>
      </c>
      <c r="AE61" s="167" t="str">
        <f>IFERROR(SUMIFS('caseload data'!O:O,'caseload data'!$C:$C,'divisional &amp; regional caseload%'!$T$57,'caseload data'!$D:$D,"TPO")/SUMIF('caseload data'!$C:$C,'divisional &amp; regional caseload%'!$T$57,'caseload data'!O:O),"")</f>
        <v/>
      </c>
      <c r="AF61" s="167" t="str">
        <f>IFERROR(SUMIFS('caseload data'!P:P,'caseload data'!$C:$C,'divisional &amp; regional caseload%'!$T$57,'caseload data'!$D:$D,"TPO")/SUMIF('caseload data'!$C:$C,'divisional &amp; regional caseload%'!$T$57,'caseload data'!P:P),"")</f>
        <v/>
      </c>
      <c r="AG61" s="167" t="str">
        <f>IFERROR(SUMIFS('caseload data'!Q:Q,'caseload data'!$C:$C,'divisional &amp; regional caseload%'!$T$57,'caseload data'!$D:$D,"TPO")/SUMIF('caseload data'!$C:$C,'divisional &amp; regional caseload%'!$T$57,'caseload data'!Q:Q),"")</f>
        <v/>
      </c>
      <c r="AH61" s="167" t="str">
        <f>IFERROR(SUMIFS('caseload data'!R:R,'caseload data'!$C:$C,'divisional &amp; regional caseload%'!$T$57,'caseload data'!$D:$D,"TPO")/SUMIF('caseload data'!$C:$C,'divisional &amp; regional caseload%'!$T$57,'caseload data'!R:R),"")</f>
        <v/>
      </c>
      <c r="AI61" s="167" t="str">
        <f>IFERROR(SUMIFS('caseload data'!S:S,'caseload data'!$C:$C,'divisional &amp; regional caseload%'!$T$57,'caseload data'!$D:$D,"TPO")/SUMIF('caseload data'!$C:$C,'divisional &amp; regional caseload%'!$T$57,'caseload data'!S:S),"")</f>
        <v/>
      </c>
      <c r="AJ61" s="167" t="str">
        <f>IFERROR(SUMIFS('caseload data'!T:T,'caseload data'!$C:$C,'divisional &amp; regional caseload%'!$T$57,'caseload data'!$D:$D,"TPO")/SUMIF('caseload data'!$C:$C,'divisional &amp; regional caseload%'!$T$57,'caseload data'!T:T),"")</f>
        <v/>
      </c>
    </row>
    <row r="62" spans="2:36" x14ac:dyDescent="0.15">
      <c r="B62" s="98" t="s">
        <v>954</v>
      </c>
      <c r="C62" s="167" t="str">
        <f>IFERROR(SUMIFS('caseload data'!E:E,'caseload data'!$C:$C,'divisional &amp; regional caseload%'!$B$57,'caseload data'!$D:$D,"SPO")/SUMIF('caseload data'!$C:$C,'divisional &amp; regional caseload%'!$B$57,'caseload data'!E:E),"")</f>
        <v/>
      </c>
      <c r="D62" s="167" t="str">
        <f>IFERROR(SUMIFS('caseload data'!F:F,'caseload data'!$C:$C,'divisional &amp; regional caseload%'!$B$57,'caseload data'!$D:$D,"SPO")/SUMIF('caseload data'!$C:$C,'divisional &amp; regional caseload%'!$B$57,'caseload data'!F:F),"")</f>
        <v/>
      </c>
      <c r="E62" s="167" t="str">
        <f>IFERROR(SUMIFS('caseload data'!G:G,'caseload data'!$C:$C,'divisional &amp; regional caseload%'!$B$57,'caseload data'!$D:$D,"SPO")/SUMIF('caseload data'!$C:$C,'divisional &amp; regional caseload%'!$B$57,'caseload data'!G:G),"")</f>
        <v/>
      </c>
      <c r="F62" s="167" t="str">
        <f>IFERROR(SUMIFS('caseload data'!H:H,'caseload data'!$C:$C,'divisional &amp; regional caseload%'!$B$57,'caseload data'!$D:$D,"SPO")/SUMIF('caseload data'!$C:$C,'divisional &amp; regional caseload%'!$B$57,'caseload data'!H:H),"")</f>
        <v/>
      </c>
      <c r="G62" s="167" t="str">
        <f>IFERROR(SUMIFS('caseload data'!I:I,'caseload data'!$C:$C,'divisional &amp; regional caseload%'!$B$57,'caseload data'!$D:$D,"SPO")/SUMIF('caseload data'!$C:$C,'divisional &amp; regional caseload%'!$B$57,'caseload data'!I:I),"")</f>
        <v/>
      </c>
      <c r="H62" s="167" t="str">
        <f>IFERROR(SUMIFS('caseload data'!J:J,'caseload data'!$C:$C,'divisional &amp; regional caseload%'!$B$57,'caseload data'!$D:$D,"SPO")/SUMIF('caseload data'!$C:$C,'divisional &amp; regional caseload%'!$B$57,'caseload data'!J:J),"")</f>
        <v/>
      </c>
      <c r="I62" s="167" t="str">
        <f>IFERROR(SUMIFS('caseload data'!K:K,'caseload data'!$C:$C,'divisional &amp; regional caseload%'!$B$57,'caseload data'!$D:$D,"SPO")/SUMIF('caseload data'!$C:$C,'divisional &amp; regional caseload%'!$B$57,'caseload data'!K:K),"")</f>
        <v/>
      </c>
      <c r="J62" s="167" t="str">
        <f>IFERROR(SUMIFS('caseload data'!L:L,'caseload data'!$C:$C,'divisional &amp; regional caseload%'!$B$57,'caseload data'!$D:$D,"SPO")/SUMIF('caseload data'!$C:$C,'divisional &amp; regional caseload%'!$B$57,'caseload data'!L:L),"")</f>
        <v/>
      </c>
      <c r="K62" s="167" t="str">
        <f>IFERROR(SUMIFS('caseload data'!M:M,'caseload data'!$C:$C,'divisional &amp; regional caseload%'!$B$57,'caseload data'!$D:$D,"SPO")/SUMIF('caseload data'!$C:$C,'divisional &amp; regional caseload%'!$B$57,'caseload data'!M:M),"")</f>
        <v/>
      </c>
      <c r="L62" s="167" t="str">
        <f>IFERROR(SUMIFS('caseload data'!N:N,'caseload data'!$C:$C,'divisional &amp; regional caseload%'!$B$57,'caseload data'!$D:$D,"SPO")/SUMIF('caseload data'!$C:$C,'divisional &amp; regional caseload%'!$B$57,'caseload data'!N:N),"")</f>
        <v/>
      </c>
      <c r="M62" s="167" t="str">
        <f>IFERROR(SUMIFS('caseload data'!O:O,'caseload data'!$C:$C,'divisional &amp; regional caseload%'!$B$57,'caseload data'!$D:$D,"SPO")/SUMIF('caseload data'!$C:$C,'divisional &amp; regional caseload%'!$B$57,'caseload data'!O:O),"")</f>
        <v/>
      </c>
      <c r="N62" s="167" t="str">
        <f>IFERROR(SUMIFS('caseload data'!P:P,'caseload data'!$C:$C,'divisional &amp; regional caseload%'!$B$57,'caseload data'!$D:$D,"SPO")/SUMIF('caseload data'!$C:$C,'divisional &amp; regional caseload%'!$B$57,'caseload data'!P:P),"")</f>
        <v/>
      </c>
      <c r="O62" s="167" t="str">
        <f>IFERROR(SUMIFS('caseload data'!Q:Q,'caseload data'!$C:$C,'divisional &amp; regional caseload%'!$B$57,'caseload data'!$D:$D,"SPO")/SUMIF('caseload data'!$C:$C,'divisional &amp; regional caseload%'!$B$57,'caseload data'!Q:Q),"")</f>
        <v/>
      </c>
      <c r="P62" s="167" t="str">
        <f>IFERROR(SUMIFS('caseload data'!R:R,'caseload data'!$C:$C,'divisional &amp; regional caseload%'!$B$57,'caseload data'!$D:$D,"SPO")/SUMIF('caseload data'!$C:$C,'divisional &amp; regional caseload%'!$B$57,'caseload data'!R:R),"")</f>
        <v/>
      </c>
      <c r="Q62" s="167" t="str">
        <f>IFERROR(SUMIFS('caseload data'!S:S,'caseload data'!$C:$C,'divisional &amp; regional caseload%'!$B$57,'caseload data'!$D:$D,"SPO")/SUMIF('caseload data'!$C:$C,'divisional &amp; regional caseload%'!$B$57,'caseload data'!S:S),"")</f>
        <v/>
      </c>
      <c r="R62" s="167" t="str">
        <f>IFERROR(SUMIFS('caseload data'!T:T,'caseload data'!$C:$C,'divisional &amp; regional caseload%'!$B$57,'caseload data'!$D:$D,"SPO")/SUMIF('caseload data'!$C:$C,'divisional &amp; regional caseload%'!$B$57,'caseload data'!T:T),"")</f>
        <v/>
      </c>
      <c r="S62" s="64"/>
      <c r="T62" s="98" t="s">
        <v>954</v>
      </c>
      <c r="U62" s="167" t="str">
        <f>IFERROR(SUMIFS('caseload data'!E:E,'caseload data'!$C:$C,'divisional &amp; regional caseload%'!$T$57,'caseload data'!$D:$D,"SPO")/SUMIF('caseload data'!$C:$C,'divisional &amp; regional caseload%'!$T$57,'caseload data'!E:E),"")</f>
        <v/>
      </c>
      <c r="V62" s="167" t="str">
        <f>IFERROR(SUMIFS('caseload data'!F:F,'caseload data'!$C:$C,'divisional &amp; regional caseload%'!$T$57,'caseload data'!$D:$D,"SPO")/SUMIF('caseload data'!$C:$C,'divisional &amp; regional caseload%'!$T$57,'caseload data'!F:F),"")</f>
        <v/>
      </c>
      <c r="W62" s="167" t="str">
        <f>IFERROR(SUMIFS('caseload data'!G:G,'caseload data'!$C:$C,'divisional &amp; regional caseload%'!$T$57,'caseload data'!$D:$D,"SPO")/SUMIF('caseload data'!$C:$C,'divisional &amp; regional caseload%'!$T$57,'caseload data'!G:G),"")</f>
        <v/>
      </c>
      <c r="X62" s="167" t="str">
        <f>IFERROR(SUMIFS('caseload data'!H:H,'caseload data'!$C:$C,'divisional &amp; regional caseload%'!$T$57,'caseload data'!$D:$D,"SPO")/SUMIF('caseload data'!$C:$C,'divisional &amp; regional caseload%'!$T$57,'caseload data'!H:H),"")</f>
        <v/>
      </c>
      <c r="Y62" s="167" t="str">
        <f>IFERROR(SUMIFS('caseload data'!I:I,'caseload data'!$C:$C,'divisional &amp; regional caseload%'!$T$57,'caseload data'!$D:$D,"SPO")/SUMIF('caseload data'!$C:$C,'divisional &amp; regional caseload%'!$T$57,'caseload data'!I:I),"")</f>
        <v/>
      </c>
      <c r="Z62" s="167" t="str">
        <f>IFERROR(SUMIFS('caseload data'!J:J,'caseload data'!$C:$C,'divisional &amp; regional caseload%'!$T$57,'caseload data'!$D:$D,"SPO")/SUMIF('caseload data'!$C:$C,'divisional &amp; regional caseload%'!$T$57,'caseload data'!J:J),"")</f>
        <v/>
      </c>
      <c r="AA62" s="167" t="str">
        <f>IFERROR(SUMIFS('caseload data'!K:K,'caseload data'!$C:$C,'divisional &amp; regional caseload%'!$T$57,'caseload data'!$D:$D,"SPO")/SUMIF('caseload data'!$C:$C,'divisional &amp; regional caseload%'!$T$57,'caseload data'!K:K),"")</f>
        <v/>
      </c>
      <c r="AB62" s="167" t="str">
        <f>IFERROR(SUMIFS('caseload data'!L:L,'caseload data'!$C:$C,'divisional &amp; regional caseload%'!$T$57,'caseload data'!$D:$D,"SPO")/SUMIF('caseload data'!$C:$C,'divisional &amp; regional caseload%'!$T$57,'caseload data'!L:L),"")</f>
        <v/>
      </c>
      <c r="AC62" s="167" t="str">
        <f>IFERROR(SUMIFS('caseload data'!M:M,'caseload data'!$C:$C,'divisional &amp; regional caseload%'!$T$57,'caseload data'!$D:$D,"SPO")/SUMIF('caseload data'!$C:$C,'divisional &amp; regional caseload%'!$T$57,'caseload data'!M:M),"")</f>
        <v/>
      </c>
      <c r="AD62" s="167" t="str">
        <f>IFERROR(SUMIFS('caseload data'!N:N,'caseload data'!$C:$C,'divisional &amp; regional caseload%'!$T$57,'caseload data'!$D:$D,"SPO")/SUMIF('caseload data'!$C:$C,'divisional &amp; regional caseload%'!$T$57,'caseload data'!N:N),"")</f>
        <v/>
      </c>
      <c r="AE62" s="167" t="str">
        <f>IFERROR(SUMIFS('caseload data'!O:O,'caseload data'!$C:$C,'divisional &amp; regional caseload%'!$T$57,'caseload data'!$D:$D,"SPO")/SUMIF('caseload data'!$C:$C,'divisional &amp; regional caseload%'!$T$57,'caseload data'!O:O),"")</f>
        <v/>
      </c>
      <c r="AF62" s="167" t="str">
        <f>IFERROR(SUMIFS('caseload data'!P:P,'caseload data'!$C:$C,'divisional &amp; regional caseload%'!$T$57,'caseload data'!$D:$D,"SPO")/SUMIF('caseload data'!$C:$C,'divisional &amp; regional caseload%'!$T$57,'caseload data'!P:P),"")</f>
        <v/>
      </c>
      <c r="AG62" s="167" t="str">
        <f>IFERROR(SUMIFS('caseload data'!Q:Q,'caseload data'!$C:$C,'divisional &amp; regional caseload%'!$T$57,'caseload data'!$D:$D,"SPO")/SUMIF('caseload data'!$C:$C,'divisional &amp; regional caseload%'!$T$57,'caseload data'!Q:Q),"")</f>
        <v/>
      </c>
      <c r="AH62" s="167" t="str">
        <f>IFERROR(SUMIFS('caseload data'!R:R,'caseload data'!$C:$C,'divisional &amp; regional caseload%'!$T$57,'caseload data'!$D:$D,"SPO")/SUMIF('caseload data'!$C:$C,'divisional &amp; regional caseload%'!$T$57,'caseload data'!R:R),"")</f>
        <v/>
      </c>
      <c r="AI62" s="167" t="str">
        <f>IFERROR(SUMIFS('caseload data'!S:S,'caseload data'!$C:$C,'divisional &amp; regional caseload%'!$T$57,'caseload data'!$D:$D,"SPO")/SUMIF('caseload data'!$C:$C,'divisional &amp; regional caseload%'!$T$57,'caseload data'!S:S),"")</f>
        <v/>
      </c>
      <c r="AJ62" s="167" t="str">
        <f>IFERROR(SUMIFS('caseload data'!T:T,'caseload data'!$C:$C,'divisional &amp; regional caseload%'!$T$57,'caseload data'!$D:$D,"SPO")/SUMIF('caseload data'!$C:$C,'divisional &amp; regional caseload%'!$T$57,'caseload data'!T:T),"")</f>
        <v/>
      </c>
    </row>
    <row r="64" spans="2:36" ht="29.5" customHeight="1" x14ac:dyDescent="0.15">
      <c r="B64" s="288">
        <f>HLOOKUP($B$5,Region_Table,18,0)</f>
        <v>0</v>
      </c>
      <c r="C64" s="556" t="s">
        <v>1043</v>
      </c>
      <c r="D64" s="557"/>
      <c r="E64" s="557"/>
      <c r="F64" s="557"/>
      <c r="G64" s="557"/>
      <c r="H64" s="557"/>
      <c r="I64" s="557"/>
      <c r="J64" s="557"/>
      <c r="K64" s="557"/>
      <c r="L64" s="557"/>
      <c r="M64" s="558"/>
      <c r="N64" s="558"/>
      <c r="O64" s="559"/>
      <c r="P64" s="543">
        <f>SUMIF('caseload data'!$C:$C,'divisional &amp; regional caseload%'!B64,'caseload data'!V:V)</f>
        <v>0</v>
      </c>
      <c r="Q64" s="560"/>
      <c r="R64" s="561"/>
      <c r="S64" s="64"/>
      <c r="T64" s="288">
        <f>HLOOKUP($B$5,Region_Table,19,0)</f>
        <v>0</v>
      </c>
      <c r="U64" s="556" t="s">
        <v>1043</v>
      </c>
      <c r="V64" s="557"/>
      <c r="W64" s="557"/>
      <c r="X64" s="557"/>
      <c r="Y64" s="557"/>
      <c r="Z64" s="557"/>
      <c r="AA64" s="557"/>
      <c r="AB64" s="557"/>
      <c r="AC64" s="557"/>
      <c r="AD64" s="557"/>
      <c r="AE64" s="558"/>
      <c r="AF64" s="558"/>
      <c r="AG64" s="559"/>
      <c r="AH64" s="543">
        <f>SUMIF('caseload data'!$C:$C,'divisional &amp; regional caseload%'!T64,'caseload data'!V:V)</f>
        <v>0</v>
      </c>
      <c r="AI64" s="560"/>
      <c r="AJ64" s="561"/>
    </row>
    <row r="65" spans="2:36" x14ac:dyDescent="0.15">
      <c r="B65" s="95"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951</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167" t="str">
        <f>IFERROR(SUMIFS('caseload data'!E:E,'caseload data'!$C:$C,'divisional &amp; regional caseload%'!$B$64,'caseload data'!$D:$D,"PO")/SUMIF('caseload data'!$C:$C,'divisional &amp; regional caseload%'!$B$64,'caseload data'!E:E),"")</f>
        <v/>
      </c>
      <c r="D66" s="167" t="str">
        <f>IFERROR(SUMIFS('caseload data'!F:F,'caseload data'!$C:$C,'divisional &amp; regional caseload%'!$B$64,'caseload data'!$D:$D,"PO")/SUMIF('caseload data'!$C:$C,'divisional &amp; regional caseload%'!$B$64,'caseload data'!F:F),"")</f>
        <v/>
      </c>
      <c r="E66" s="167" t="str">
        <f>IFERROR(SUMIFS('caseload data'!G:G,'caseload data'!$C:$C,'divisional &amp; regional caseload%'!$B$64,'caseload data'!$D:$D,"PO")/SUMIF('caseload data'!$C:$C,'divisional &amp; regional caseload%'!$B$64,'caseload data'!G:G),"")</f>
        <v/>
      </c>
      <c r="F66" s="167" t="str">
        <f>IFERROR(SUMIFS('caseload data'!H:H,'caseload data'!$C:$C,'divisional &amp; regional caseload%'!$B$64,'caseload data'!$D:$D,"PO")/SUMIF('caseload data'!$C:$C,'divisional &amp; regional caseload%'!$B$64,'caseload data'!H:H),"")</f>
        <v/>
      </c>
      <c r="G66" s="167" t="str">
        <f>IFERROR(SUMIFS('caseload data'!I:I,'caseload data'!$C:$C,'divisional &amp; regional caseload%'!$B$64,'caseload data'!$D:$D,"PO")/SUMIF('caseload data'!$C:$C,'divisional &amp; regional caseload%'!$B$64,'caseload data'!I:I),"")</f>
        <v/>
      </c>
      <c r="H66" s="167" t="str">
        <f>IFERROR(SUMIFS('caseload data'!J:J,'caseload data'!$C:$C,'divisional &amp; regional caseload%'!$B$64,'caseload data'!$D:$D,"PO")/SUMIF('caseload data'!$C:$C,'divisional &amp; regional caseload%'!$B$64,'caseload data'!J:J),"")</f>
        <v/>
      </c>
      <c r="I66" s="167" t="str">
        <f>IFERROR(SUMIFS('caseload data'!K:K,'caseload data'!$C:$C,'divisional &amp; regional caseload%'!$B$64,'caseload data'!$D:$D,"PO")/SUMIF('caseload data'!$C:$C,'divisional &amp; regional caseload%'!$B$64,'caseload data'!K:K),"")</f>
        <v/>
      </c>
      <c r="J66" s="167" t="str">
        <f>IFERROR(SUMIFS('caseload data'!L:L,'caseload data'!$C:$C,'divisional &amp; regional caseload%'!$B$64,'caseload data'!$D:$D,"PO")/SUMIF('caseload data'!$C:$C,'divisional &amp; regional caseload%'!$B$64,'caseload data'!L:L),"")</f>
        <v/>
      </c>
      <c r="K66" s="167" t="str">
        <f>IFERROR(SUMIFS('caseload data'!M:M,'caseload data'!$C:$C,'divisional &amp; regional caseload%'!$B$64,'caseload data'!$D:$D,"PO")/SUMIF('caseload data'!$C:$C,'divisional &amp; regional caseload%'!$B$64,'caseload data'!M:M),"")</f>
        <v/>
      </c>
      <c r="L66" s="167" t="str">
        <f>IFERROR(SUMIFS('caseload data'!N:N,'caseload data'!$C:$C,'divisional &amp; regional caseload%'!$B$64,'caseload data'!$D:$D,"PO")/SUMIF('caseload data'!$C:$C,'divisional &amp; regional caseload%'!$B$64,'caseload data'!N:N),"")</f>
        <v/>
      </c>
      <c r="M66" s="167" t="str">
        <f>IFERROR(SUMIFS('caseload data'!O:O,'caseload data'!$C:$C,'divisional &amp; regional caseload%'!$B$64,'caseload data'!$D:$D,"PO")/SUMIF('caseload data'!$C:$C,'divisional &amp; regional caseload%'!$B$64,'caseload data'!O:O),"")</f>
        <v/>
      </c>
      <c r="N66" s="167" t="str">
        <f>IFERROR(SUMIFS('caseload data'!P:P,'caseload data'!$C:$C,'divisional &amp; regional caseload%'!$B$64,'caseload data'!$D:$D,"PO")/SUMIF('caseload data'!$C:$C,'divisional &amp; regional caseload%'!$B$64,'caseload data'!P:P),"")</f>
        <v/>
      </c>
      <c r="O66" s="167" t="str">
        <f>IFERROR(SUMIFS('caseload data'!Q:Q,'caseload data'!$C:$C,'divisional &amp; regional caseload%'!$B$64,'caseload data'!$D:$D,"PO")/SUMIF('caseload data'!$C:$C,'divisional &amp; regional caseload%'!$B$64,'caseload data'!Q:Q),"")</f>
        <v/>
      </c>
      <c r="P66" s="167" t="str">
        <f>IFERROR(SUMIFS('caseload data'!R:R,'caseload data'!$C:$C,'divisional &amp; regional caseload%'!$B$64,'caseload data'!$D:$D,"PO")/SUMIF('caseload data'!$C:$C,'divisional &amp; regional caseload%'!$B$64,'caseload data'!R:R),"")</f>
        <v/>
      </c>
      <c r="Q66" s="167" t="str">
        <f>IFERROR(SUMIFS('caseload data'!S:S,'caseload data'!$C:$C,'divisional &amp; regional caseload%'!$B$64,'caseload data'!$D:$D,"PO")/SUMIF('caseload data'!$C:$C,'divisional &amp; regional caseload%'!$B$64,'caseload data'!S:S),"")</f>
        <v/>
      </c>
      <c r="R66" s="167" t="str">
        <f>IFERROR(SUMIFS('caseload data'!T:T,'caseload data'!$C:$C,'divisional &amp; regional caseload%'!$B$64,'caseload data'!$D:$D,"PO")/SUMIF('caseload data'!$C:$C,'divisional &amp; regional caseload%'!$B$64,'caseload data'!T:T),"")</f>
        <v/>
      </c>
      <c r="S66" s="64"/>
      <c r="T66" s="96" t="s">
        <v>947</v>
      </c>
      <c r="U66" s="167" t="str">
        <f>IFERROR(SUMIFS('caseload data'!E:E,'caseload data'!$C:$C,'divisional &amp; regional caseload%'!$T$64,'caseload data'!$D:$D,"PO")/SUMIF('caseload data'!$C:$C,'divisional &amp; regional caseload%'!$T$64,'caseload data'!E:E),"")</f>
        <v/>
      </c>
      <c r="V66" s="167" t="str">
        <f>IFERROR(SUMIFS('caseload data'!F:F,'caseload data'!$C:$C,'divisional &amp; regional caseload%'!$T$64,'caseload data'!$D:$D,"PO")/SUMIF('caseload data'!$C:$C,'divisional &amp; regional caseload%'!$T$64,'caseload data'!F:F),"")</f>
        <v/>
      </c>
      <c r="W66" s="167" t="str">
        <f>IFERROR(SUMIFS('caseload data'!G:G,'caseload data'!$C:$C,'divisional &amp; regional caseload%'!$T$64,'caseload data'!$D:$D,"PO")/SUMIF('caseload data'!$C:$C,'divisional &amp; regional caseload%'!$T$64,'caseload data'!G:G),"")</f>
        <v/>
      </c>
      <c r="X66" s="167" t="str">
        <f>IFERROR(SUMIFS('caseload data'!H:H,'caseload data'!$C:$C,'divisional &amp; regional caseload%'!$T$64,'caseload data'!$D:$D,"PO")/SUMIF('caseload data'!$C:$C,'divisional &amp; regional caseload%'!$T$64,'caseload data'!H:H),"")</f>
        <v/>
      </c>
      <c r="Y66" s="167" t="str">
        <f>IFERROR(SUMIFS('caseload data'!I:I,'caseload data'!$C:$C,'divisional &amp; regional caseload%'!$T$64,'caseload data'!$D:$D,"PO")/SUMIF('caseload data'!$C:$C,'divisional &amp; regional caseload%'!$T$64,'caseload data'!I:I),"")</f>
        <v/>
      </c>
      <c r="Z66" s="167" t="str">
        <f>IFERROR(SUMIFS('caseload data'!J:J,'caseload data'!$C:$C,'divisional &amp; regional caseload%'!$T$64,'caseload data'!$D:$D,"PO")/SUMIF('caseload data'!$C:$C,'divisional &amp; regional caseload%'!$T$64,'caseload data'!J:J),"")</f>
        <v/>
      </c>
      <c r="AA66" s="167" t="str">
        <f>IFERROR(SUMIFS('caseload data'!K:K,'caseload data'!$C:$C,'divisional &amp; regional caseload%'!$T$64,'caseload data'!$D:$D,"PO")/SUMIF('caseload data'!$C:$C,'divisional &amp; regional caseload%'!$T$64,'caseload data'!K:K),"")</f>
        <v/>
      </c>
      <c r="AB66" s="167" t="str">
        <f>IFERROR(SUMIFS('caseload data'!L:L,'caseload data'!$C:$C,'divisional &amp; regional caseload%'!$T$64,'caseload data'!$D:$D,"PO")/SUMIF('caseload data'!$C:$C,'divisional &amp; regional caseload%'!$T$64,'caseload data'!L:L),"")</f>
        <v/>
      </c>
      <c r="AC66" s="167" t="str">
        <f>IFERROR(SUMIFS('caseload data'!M:M,'caseload data'!$C:$C,'divisional &amp; regional caseload%'!$T$64,'caseload data'!$D:$D,"PO")/SUMIF('caseload data'!$C:$C,'divisional &amp; regional caseload%'!$T$64,'caseload data'!M:M),"")</f>
        <v/>
      </c>
      <c r="AD66" s="167" t="str">
        <f>IFERROR(SUMIFS('caseload data'!N:N,'caseload data'!$C:$C,'divisional &amp; regional caseload%'!$T$64,'caseload data'!$D:$D,"PO")/SUMIF('caseload data'!$C:$C,'divisional &amp; regional caseload%'!$T$64,'caseload data'!N:N),"")</f>
        <v/>
      </c>
      <c r="AE66" s="167" t="str">
        <f>IFERROR(SUMIFS('caseload data'!O:O,'caseload data'!$C:$C,'divisional &amp; regional caseload%'!$T$64,'caseload data'!$D:$D,"PO")/SUMIF('caseload data'!$C:$C,'divisional &amp; regional caseload%'!$T$64,'caseload data'!O:O),"")</f>
        <v/>
      </c>
      <c r="AF66" s="167" t="str">
        <f>IFERROR(SUMIFS('caseload data'!P:P,'caseload data'!$C:$C,'divisional &amp; regional caseload%'!$T$64,'caseload data'!$D:$D,"PO")/SUMIF('caseload data'!$C:$C,'divisional &amp; regional caseload%'!$T$64,'caseload data'!P:P),"")</f>
        <v/>
      </c>
      <c r="AG66" s="167" t="str">
        <f>IFERROR(SUMIFS('caseload data'!Q:Q,'caseload data'!$C:$C,'divisional &amp; regional caseload%'!$T$64,'caseload data'!$D:$D,"PO")/SUMIF('caseload data'!$C:$C,'divisional &amp; regional caseload%'!$T$64,'caseload data'!Q:Q),"")</f>
        <v/>
      </c>
      <c r="AH66" s="167" t="str">
        <f>IFERROR(SUMIFS('caseload data'!R:R,'caseload data'!$C:$C,'divisional &amp; regional caseload%'!$T$64,'caseload data'!$D:$D,"PO")/SUMIF('caseload data'!$C:$C,'divisional &amp; regional caseload%'!$T$64,'caseload data'!R:R),"")</f>
        <v/>
      </c>
      <c r="AI66" s="167" t="str">
        <f>IFERROR(SUMIFS('caseload data'!S:S,'caseload data'!$C:$C,'divisional &amp; regional caseload%'!$T$64,'caseload data'!$D:$D,"PO")/SUMIF('caseload data'!$C:$C,'divisional &amp; regional caseload%'!$T$64,'caseload data'!S:S),"")</f>
        <v/>
      </c>
      <c r="AJ66" s="167" t="str">
        <f>IFERROR(SUMIFS('caseload data'!T:T,'caseload data'!$C:$C,'divisional &amp; regional caseload%'!$T$64,'caseload data'!$D:$D,"PO")/SUMIF('caseload data'!$C:$C,'divisional &amp; regional caseload%'!$T$64,'caseload data'!T:T),"")</f>
        <v/>
      </c>
    </row>
    <row r="67" spans="2:36" x14ac:dyDescent="0.15">
      <c r="B67" s="97" t="s">
        <v>952</v>
      </c>
      <c r="C67" s="167" t="str">
        <f>IFERROR(SUMIFS('caseload data'!E:E,'caseload data'!$C:$C,'divisional &amp; regional caseload%'!$B$64,'caseload data'!$D:$D,"PSO")/SUMIF('caseload data'!$C:$C,'divisional &amp; regional caseload%'!$B$64,'caseload data'!E:E),"")</f>
        <v/>
      </c>
      <c r="D67" s="167" t="str">
        <f>IFERROR(SUMIFS('caseload data'!F:F,'caseload data'!$C:$C,'divisional &amp; regional caseload%'!$B$64,'caseload data'!$D:$D,"PSO")/SUMIF('caseload data'!$C:$C,'divisional &amp; regional caseload%'!$B$64,'caseload data'!F:F),"")</f>
        <v/>
      </c>
      <c r="E67" s="167" t="str">
        <f>IFERROR(SUMIFS('caseload data'!G:G,'caseload data'!$C:$C,'divisional &amp; regional caseload%'!$B$64,'caseload data'!$D:$D,"PSO")/SUMIF('caseload data'!$C:$C,'divisional &amp; regional caseload%'!$B$64,'caseload data'!G:G),"")</f>
        <v/>
      </c>
      <c r="F67" s="167" t="str">
        <f>IFERROR(SUMIFS('caseload data'!H:H,'caseload data'!$C:$C,'divisional &amp; regional caseload%'!$B$64,'caseload data'!$D:$D,"PSO")/SUMIF('caseload data'!$C:$C,'divisional &amp; regional caseload%'!$B$64,'caseload data'!H:H),"")</f>
        <v/>
      </c>
      <c r="G67" s="167" t="str">
        <f>IFERROR(SUMIFS('caseload data'!I:I,'caseload data'!$C:$C,'divisional &amp; regional caseload%'!$B$64,'caseload data'!$D:$D,"PSO")/SUMIF('caseload data'!$C:$C,'divisional &amp; regional caseload%'!$B$64,'caseload data'!I:I),"")</f>
        <v/>
      </c>
      <c r="H67" s="167" t="str">
        <f>IFERROR(SUMIFS('caseload data'!J:J,'caseload data'!$C:$C,'divisional &amp; regional caseload%'!$B$64,'caseload data'!$D:$D,"PSO")/SUMIF('caseload data'!$C:$C,'divisional &amp; regional caseload%'!$B$64,'caseload data'!J:J),"")</f>
        <v/>
      </c>
      <c r="I67" s="167" t="str">
        <f>IFERROR(SUMIFS('caseload data'!K:K,'caseload data'!$C:$C,'divisional &amp; regional caseload%'!$B$64,'caseload data'!$D:$D,"PSO")/SUMIF('caseload data'!$C:$C,'divisional &amp; regional caseload%'!$B$64,'caseload data'!K:K),"")</f>
        <v/>
      </c>
      <c r="J67" s="167" t="str">
        <f>IFERROR(SUMIFS('caseload data'!L:L,'caseload data'!$C:$C,'divisional &amp; regional caseload%'!$B$64,'caseload data'!$D:$D,"PSO")/SUMIF('caseload data'!$C:$C,'divisional &amp; regional caseload%'!$B$64,'caseload data'!L:L),"")</f>
        <v/>
      </c>
      <c r="K67" s="167" t="str">
        <f>IFERROR(SUMIFS('caseload data'!M:M,'caseload data'!$C:$C,'divisional &amp; regional caseload%'!$B$64,'caseload data'!$D:$D,"PSO")/SUMIF('caseload data'!$C:$C,'divisional &amp; regional caseload%'!$B$64,'caseload data'!M:M),"")</f>
        <v/>
      </c>
      <c r="L67" s="167" t="str">
        <f>IFERROR(SUMIFS('caseload data'!N:N,'caseload data'!$C:$C,'divisional &amp; regional caseload%'!$B$64,'caseload data'!$D:$D,"PSO")/SUMIF('caseload data'!$C:$C,'divisional &amp; regional caseload%'!$B$64,'caseload data'!N:N),"")</f>
        <v/>
      </c>
      <c r="M67" s="167" t="str">
        <f>IFERROR(SUMIFS('caseload data'!O:O,'caseload data'!$C:$C,'divisional &amp; regional caseload%'!$B$64,'caseload data'!$D:$D,"PSO")/SUMIF('caseload data'!$C:$C,'divisional &amp; regional caseload%'!$B$64,'caseload data'!O:O),"")</f>
        <v/>
      </c>
      <c r="N67" s="167" t="str">
        <f>IFERROR(SUMIFS('caseload data'!P:P,'caseload data'!$C:$C,'divisional &amp; regional caseload%'!$B$64,'caseload data'!$D:$D,"PSO")/SUMIF('caseload data'!$C:$C,'divisional &amp; regional caseload%'!$B$64,'caseload data'!P:P),"")</f>
        <v/>
      </c>
      <c r="O67" s="167" t="str">
        <f>IFERROR(SUMIFS('caseload data'!Q:Q,'caseload data'!$C:$C,'divisional &amp; regional caseload%'!$B$64,'caseload data'!$D:$D,"PSO")/SUMIF('caseload data'!$C:$C,'divisional &amp; regional caseload%'!$B$64,'caseload data'!Q:Q),"")</f>
        <v/>
      </c>
      <c r="P67" s="167" t="str">
        <f>IFERROR(SUMIFS('caseload data'!R:R,'caseload data'!$C:$C,'divisional &amp; regional caseload%'!$B$64,'caseload data'!$D:$D,"PSO")/SUMIF('caseload data'!$C:$C,'divisional &amp; regional caseload%'!$B$64,'caseload data'!R:R),"")</f>
        <v/>
      </c>
      <c r="Q67" s="167" t="str">
        <f>IFERROR(SUMIFS('caseload data'!S:S,'caseload data'!$C:$C,'divisional &amp; regional caseload%'!$B$64,'caseload data'!$D:$D,"PSO")/SUMIF('caseload data'!$C:$C,'divisional &amp; regional caseload%'!$B$64,'caseload data'!S:S),"")</f>
        <v/>
      </c>
      <c r="R67" s="167" t="str">
        <f>IFERROR(SUMIFS('caseload data'!T:T,'caseload data'!$C:$C,'divisional &amp; regional caseload%'!$B$64,'caseload data'!$D:$D,"PSO")/SUMIF('caseload data'!$C:$C,'divisional &amp; regional caseload%'!$B$64,'caseload data'!T:T),"")</f>
        <v/>
      </c>
      <c r="S67" s="64"/>
      <c r="T67" s="97" t="s">
        <v>952</v>
      </c>
      <c r="U67" s="167" t="str">
        <f>IFERROR(SUMIFS('caseload data'!E:E,'caseload data'!$C:$C,'divisional &amp; regional caseload%'!$T$64,'caseload data'!$D:$D,"PSO")/SUMIF('caseload data'!$C:$C,'divisional &amp; regional caseload%'!$T$64,'caseload data'!E:E),"")</f>
        <v/>
      </c>
      <c r="V67" s="167" t="str">
        <f>IFERROR(SUMIFS('caseload data'!F:F,'caseload data'!$C:$C,'divisional &amp; regional caseload%'!$T$64,'caseload data'!$D:$D,"PSO")/SUMIF('caseload data'!$C:$C,'divisional &amp; regional caseload%'!$T$64,'caseload data'!F:F),"")</f>
        <v/>
      </c>
      <c r="W67" s="167" t="str">
        <f>IFERROR(SUMIFS('caseload data'!G:G,'caseload data'!$C:$C,'divisional &amp; regional caseload%'!$T$64,'caseload data'!$D:$D,"PSO")/SUMIF('caseload data'!$C:$C,'divisional &amp; regional caseload%'!$T$64,'caseload data'!G:G),"")</f>
        <v/>
      </c>
      <c r="X67" s="167" t="str">
        <f>IFERROR(SUMIFS('caseload data'!H:H,'caseload data'!$C:$C,'divisional &amp; regional caseload%'!$T$64,'caseload data'!$D:$D,"PSO")/SUMIF('caseload data'!$C:$C,'divisional &amp; regional caseload%'!$T$64,'caseload data'!H:H),"")</f>
        <v/>
      </c>
      <c r="Y67" s="167" t="str">
        <f>IFERROR(SUMIFS('caseload data'!I:I,'caseload data'!$C:$C,'divisional &amp; regional caseload%'!$T$64,'caseload data'!$D:$D,"PSO")/SUMIF('caseload data'!$C:$C,'divisional &amp; regional caseload%'!$T$64,'caseload data'!I:I),"")</f>
        <v/>
      </c>
      <c r="Z67" s="167" t="str">
        <f>IFERROR(SUMIFS('caseload data'!J:J,'caseload data'!$C:$C,'divisional &amp; regional caseload%'!$T$64,'caseload data'!$D:$D,"PSO")/SUMIF('caseload data'!$C:$C,'divisional &amp; regional caseload%'!$T$64,'caseload data'!J:J),"")</f>
        <v/>
      </c>
      <c r="AA67" s="167" t="str">
        <f>IFERROR(SUMIFS('caseload data'!K:K,'caseload data'!$C:$C,'divisional &amp; regional caseload%'!$T$64,'caseload data'!$D:$D,"PSO")/SUMIF('caseload data'!$C:$C,'divisional &amp; regional caseload%'!$T$64,'caseload data'!K:K),"")</f>
        <v/>
      </c>
      <c r="AB67" s="167" t="str">
        <f>IFERROR(SUMIFS('caseload data'!L:L,'caseload data'!$C:$C,'divisional &amp; regional caseload%'!$T$64,'caseload data'!$D:$D,"PSO")/SUMIF('caseload data'!$C:$C,'divisional &amp; regional caseload%'!$T$64,'caseload data'!L:L),"")</f>
        <v/>
      </c>
      <c r="AC67" s="167" t="str">
        <f>IFERROR(SUMIFS('caseload data'!M:M,'caseload data'!$C:$C,'divisional &amp; regional caseload%'!$T$64,'caseload data'!$D:$D,"PSO")/SUMIF('caseload data'!$C:$C,'divisional &amp; regional caseload%'!$T$64,'caseload data'!M:M),"")</f>
        <v/>
      </c>
      <c r="AD67" s="167" t="str">
        <f>IFERROR(SUMIFS('caseload data'!N:N,'caseload data'!$C:$C,'divisional &amp; regional caseload%'!$T$64,'caseload data'!$D:$D,"PSO")/SUMIF('caseload data'!$C:$C,'divisional &amp; regional caseload%'!$T$64,'caseload data'!N:N),"")</f>
        <v/>
      </c>
      <c r="AE67" s="167" t="str">
        <f>IFERROR(SUMIFS('caseload data'!O:O,'caseload data'!$C:$C,'divisional &amp; regional caseload%'!$T$64,'caseload data'!$D:$D,"PSO")/SUMIF('caseload data'!$C:$C,'divisional &amp; regional caseload%'!$T$64,'caseload data'!O:O),"")</f>
        <v/>
      </c>
      <c r="AF67" s="167" t="str">
        <f>IFERROR(SUMIFS('caseload data'!P:P,'caseload data'!$C:$C,'divisional &amp; regional caseload%'!$T$64,'caseload data'!$D:$D,"PSO")/SUMIF('caseload data'!$C:$C,'divisional &amp; regional caseload%'!$T$64,'caseload data'!P:P),"")</f>
        <v/>
      </c>
      <c r="AG67" s="167" t="str">
        <f>IFERROR(SUMIFS('caseload data'!Q:Q,'caseload data'!$C:$C,'divisional &amp; regional caseload%'!$T$64,'caseload data'!$D:$D,"PSO")/SUMIF('caseload data'!$C:$C,'divisional &amp; regional caseload%'!$T$64,'caseload data'!Q:Q),"")</f>
        <v/>
      </c>
      <c r="AH67" s="167" t="str">
        <f>IFERROR(SUMIFS('caseload data'!R:R,'caseload data'!$C:$C,'divisional &amp; regional caseload%'!$T$64,'caseload data'!$D:$D,"PSO")/SUMIF('caseload data'!$C:$C,'divisional &amp; regional caseload%'!$T$64,'caseload data'!R:R),"")</f>
        <v/>
      </c>
      <c r="AI67" s="167" t="str">
        <f>IFERROR(SUMIFS('caseload data'!S:S,'caseload data'!$C:$C,'divisional &amp; regional caseload%'!$T$64,'caseload data'!$D:$D,"PSO")/SUMIF('caseload data'!$C:$C,'divisional &amp; regional caseload%'!$T$64,'caseload data'!S:S),"")</f>
        <v/>
      </c>
      <c r="AJ67" s="167" t="str">
        <f>IFERROR(SUMIFS('caseload data'!T:T,'caseload data'!$C:$C,'divisional &amp; regional caseload%'!$T$64,'caseload data'!$D:$D,"PSO")/SUMIF('caseload data'!$C:$C,'divisional &amp; regional caseload%'!$T$64,'caseload data'!T:T),"")</f>
        <v/>
      </c>
    </row>
    <row r="68" spans="2:36" x14ac:dyDescent="0.15">
      <c r="B68" s="97" t="s">
        <v>953</v>
      </c>
      <c r="C68" s="167" t="str">
        <f>IFERROR(SUMIFS('caseload data'!E:E,'caseload data'!$C:$C,'divisional &amp; regional caseload%'!$B$64,'caseload data'!$D:$D,"TPO")/SUMIF('caseload data'!$C:$C,'divisional &amp; regional caseload%'!$B$64,'caseload data'!E:E),"")</f>
        <v/>
      </c>
      <c r="D68" s="167" t="str">
        <f>IFERROR(SUMIFS('caseload data'!F:F,'caseload data'!$C:$C,'divisional &amp; regional caseload%'!$B$64,'caseload data'!$D:$D,"TPO")/SUMIF('caseload data'!$C:$C,'divisional &amp; regional caseload%'!$B$64,'caseload data'!F:F),"")</f>
        <v/>
      </c>
      <c r="E68" s="167" t="str">
        <f>IFERROR(SUMIFS('caseload data'!G:G,'caseload data'!$C:$C,'divisional &amp; regional caseload%'!$B$64,'caseload data'!$D:$D,"TPO")/SUMIF('caseload data'!$C:$C,'divisional &amp; regional caseload%'!$B$64,'caseload data'!G:G),"")</f>
        <v/>
      </c>
      <c r="F68" s="167" t="str">
        <f>IFERROR(SUMIFS('caseload data'!H:H,'caseload data'!$C:$C,'divisional &amp; regional caseload%'!$B$64,'caseload data'!$D:$D,"TPO")/SUMIF('caseload data'!$C:$C,'divisional &amp; regional caseload%'!$B$64,'caseload data'!H:H),"")</f>
        <v/>
      </c>
      <c r="G68" s="167" t="str">
        <f>IFERROR(SUMIFS('caseload data'!I:I,'caseload data'!$C:$C,'divisional &amp; regional caseload%'!$B$64,'caseload data'!$D:$D,"TPO")/SUMIF('caseload data'!$C:$C,'divisional &amp; regional caseload%'!$B$64,'caseload data'!I:I),"")</f>
        <v/>
      </c>
      <c r="H68" s="167" t="str">
        <f>IFERROR(SUMIFS('caseload data'!J:J,'caseload data'!$C:$C,'divisional &amp; regional caseload%'!$B$64,'caseload data'!$D:$D,"TPO")/SUMIF('caseload data'!$C:$C,'divisional &amp; regional caseload%'!$B$64,'caseload data'!J:J),"")</f>
        <v/>
      </c>
      <c r="I68" s="167" t="str">
        <f>IFERROR(SUMIFS('caseload data'!K:K,'caseload data'!$C:$C,'divisional &amp; regional caseload%'!$B$64,'caseload data'!$D:$D,"TPO")/SUMIF('caseload data'!$C:$C,'divisional &amp; regional caseload%'!$B$64,'caseload data'!K:K),"")</f>
        <v/>
      </c>
      <c r="J68" s="167" t="str">
        <f>IFERROR(SUMIFS('caseload data'!L:L,'caseload data'!$C:$C,'divisional &amp; regional caseload%'!$B$64,'caseload data'!$D:$D,"TPO")/SUMIF('caseload data'!$C:$C,'divisional &amp; regional caseload%'!$B$64,'caseload data'!L:L),"")</f>
        <v/>
      </c>
      <c r="K68" s="167" t="str">
        <f>IFERROR(SUMIFS('caseload data'!M:M,'caseload data'!$C:$C,'divisional &amp; regional caseload%'!$B$64,'caseload data'!$D:$D,"TPO")/SUMIF('caseload data'!$C:$C,'divisional &amp; regional caseload%'!$B$64,'caseload data'!M:M),"")</f>
        <v/>
      </c>
      <c r="L68" s="167" t="str">
        <f>IFERROR(SUMIFS('caseload data'!N:N,'caseload data'!$C:$C,'divisional &amp; regional caseload%'!$B$64,'caseload data'!$D:$D,"TPO")/SUMIF('caseload data'!$C:$C,'divisional &amp; regional caseload%'!$B$64,'caseload data'!N:N),"")</f>
        <v/>
      </c>
      <c r="M68" s="167" t="str">
        <f>IFERROR(SUMIFS('caseload data'!O:O,'caseload data'!$C:$C,'divisional &amp; regional caseload%'!$B$64,'caseload data'!$D:$D,"TPO")/SUMIF('caseload data'!$C:$C,'divisional &amp; regional caseload%'!$B$64,'caseload data'!O:O),"")</f>
        <v/>
      </c>
      <c r="N68" s="167" t="str">
        <f>IFERROR(SUMIFS('caseload data'!P:P,'caseload data'!$C:$C,'divisional &amp; regional caseload%'!$B$64,'caseload data'!$D:$D,"TPO")/SUMIF('caseload data'!$C:$C,'divisional &amp; regional caseload%'!$B$64,'caseload data'!P:P),"")</f>
        <v/>
      </c>
      <c r="O68" s="167" t="str">
        <f>IFERROR(SUMIFS('caseload data'!Q:Q,'caseload data'!$C:$C,'divisional &amp; regional caseload%'!$B$64,'caseload data'!$D:$D,"TPO")/SUMIF('caseload data'!$C:$C,'divisional &amp; regional caseload%'!$B$64,'caseload data'!Q:Q),"")</f>
        <v/>
      </c>
      <c r="P68" s="167" t="str">
        <f>IFERROR(SUMIFS('caseload data'!R:R,'caseload data'!$C:$C,'divisional &amp; regional caseload%'!$B$64,'caseload data'!$D:$D,"TPO")/SUMIF('caseload data'!$C:$C,'divisional &amp; regional caseload%'!$B$64,'caseload data'!R:R),"")</f>
        <v/>
      </c>
      <c r="Q68" s="167" t="str">
        <f>IFERROR(SUMIFS('caseload data'!S:S,'caseload data'!$C:$C,'divisional &amp; regional caseload%'!$B$64,'caseload data'!$D:$D,"TPO")/SUMIF('caseload data'!$C:$C,'divisional &amp; regional caseload%'!$B$64,'caseload data'!S:S),"")</f>
        <v/>
      </c>
      <c r="R68" s="167" t="str">
        <f>IFERROR(SUMIFS('caseload data'!T:T,'caseload data'!$C:$C,'divisional &amp; regional caseload%'!$B$64,'caseload data'!$D:$D,"TPO")/SUMIF('caseload data'!$C:$C,'divisional &amp; regional caseload%'!$B$64,'caseload data'!T:T),"")</f>
        <v/>
      </c>
      <c r="S68" s="64"/>
      <c r="T68" s="97" t="s">
        <v>953</v>
      </c>
      <c r="U68" s="167" t="str">
        <f>IFERROR(SUMIFS('caseload data'!E:E,'caseload data'!$C:$C,'divisional &amp; regional caseload%'!$T$64,'caseload data'!$D:$D,"TPO")/SUMIF('caseload data'!$C:$C,'divisional &amp; regional caseload%'!$T$64,'caseload data'!E:E),"")</f>
        <v/>
      </c>
      <c r="V68" s="167" t="str">
        <f>IFERROR(SUMIFS('caseload data'!F:F,'caseload data'!$C:$C,'divisional &amp; regional caseload%'!$T$64,'caseload data'!$D:$D,"TPO")/SUMIF('caseload data'!$C:$C,'divisional &amp; regional caseload%'!$T$64,'caseload data'!F:F),"")</f>
        <v/>
      </c>
      <c r="W68" s="167" t="str">
        <f>IFERROR(SUMIFS('caseload data'!G:G,'caseload data'!$C:$C,'divisional &amp; regional caseload%'!$T$64,'caseload data'!$D:$D,"TPO")/SUMIF('caseload data'!$C:$C,'divisional &amp; regional caseload%'!$T$64,'caseload data'!G:G),"")</f>
        <v/>
      </c>
      <c r="X68" s="167" t="str">
        <f>IFERROR(SUMIFS('caseload data'!H:H,'caseload data'!$C:$C,'divisional &amp; regional caseload%'!$T$64,'caseload data'!$D:$D,"TPO")/SUMIF('caseload data'!$C:$C,'divisional &amp; regional caseload%'!$T$64,'caseload data'!H:H),"")</f>
        <v/>
      </c>
      <c r="Y68" s="167" t="str">
        <f>IFERROR(SUMIFS('caseload data'!I:I,'caseload data'!$C:$C,'divisional &amp; regional caseload%'!$T$64,'caseload data'!$D:$D,"TPO")/SUMIF('caseload data'!$C:$C,'divisional &amp; regional caseload%'!$T$64,'caseload data'!I:I),"")</f>
        <v/>
      </c>
      <c r="Z68" s="167" t="str">
        <f>IFERROR(SUMIFS('caseload data'!J:J,'caseload data'!$C:$C,'divisional &amp; regional caseload%'!$T$64,'caseload data'!$D:$D,"TPO")/SUMIF('caseload data'!$C:$C,'divisional &amp; regional caseload%'!$T$64,'caseload data'!J:J),"")</f>
        <v/>
      </c>
      <c r="AA68" s="167" t="str">
        <f>IFERROR(SUMIFS('caseload data'!K:K,'caseload data'!$C:$C,'divisional &amp; regional caseload%'!$T$64,'caseload data'!$D:$D,"TPO")/SUMIF('caseload data'!$C:$C,'divisional &amp; regional caseload%'!$T$64,'caseload data'!K:K),"")</f>
        <v/>
      </c>
      <c r="AB68" s="167" t="str">
        <f>IFERROR(SUMIFS('caseload data'!L:L,'caseload data'!$C:$C,'divisional &amp; regional caseload%'!$T$64,'caseload data'!$D:$D,"TPO")/SUMIF('caseload data'!$C:$C,'divisional &amp; regional caseload%'!$T$64,'caseload data'!L:L),"")</f>
        <v/>
      </c>
      <c r="AC68" s="167" t="str">
        <f>IFERROR(SUMIFS('caseload data'!M:M,'caseload data'!$C:$C,'divisional &amp; regional caseload%'!$T$64,'caseload data'!$D:$D,"TPO")/SUMIF('caseload data'!$C:$C,'divisional &amp; regional caseload%'!$T$64,'caseload data'!M:M),"")</f>
        <v/>
      </c>
      <c r="AD68" s="167" t="str">
        <f>IFERROR(SUMIFS('caseload data'!N:N,'caseload data'!$C:$C,'divisional &amp; regional caseload%'!$T$64,'caseload data'!$D:$D,"TPO")/SUMIF('caseload data'!$C:$C,'divisional &amp; regional caseload%'!$T$64,'caseload data'!N:N),"")</f>
        <v/>
      </c>
      <c r="AE68" s="167" t="str">
        <f>IFERROR(SUMIFS('caseload data'!O:O,'caseload data'!$C:$C,'divisional &amp; regional caseload%'!$T$64,'caseload data'!$D:$D,"TPO")/SUMIF('caseload data'!$C:$C,'divisional &amp; regional caseload%'!$T$64,'caseload data'!O:O),"")</f>
        <v/>
      </c>
      <c r="AF68" s="167" t="str">
        <f>IFERROR(SUMIFS('caseload data'!P:P,'caseload data'!$C:$C,'divisional &amp; regional caseload%'!$T$64,'caseload data'!$D:$D,"TPO")/SUMIF('caseload data'!$C:$C,'divisional &amp; regional caseload%'!$T$64,'caseload data'!P:P),"")</f>
        <v/>
      </c>
      <c r="AG68" s="167" t="str">
        <f>IFERROR(SUMIFS('caseload data'!Q:Q,'caseload data'!$C:$C,'divisional &amp; regional caseload%'!$T$64,'caseload data'!$D:$D,"TPO")/SUMIF('caseload data'!$C:$C,'divisional &amp; regional caseload%'!$T$64,'caseload data'!Q:Q),"")</f>
        <v/>
      </c>
      <c r="AH68" s="167" t="str">
        <f>IFERROR(SUMIFS('caseload data'!R:R,'caseload data'!$C:$C,'divisional &amp; regional caseload%'!$T$64,'caseload data'!$D:$D,"TPO")/SUMIF('caseload data'!$C:$C,'divisional &amp; regional caseload%'!$T$64,'caseload data'!R:R),"")</f>
        <v/>
      </c>
      <c r="AI68" s="167" t="str">
        <f>IFERROR(SUMIFS('caseload data'!S:S,'caseload data'!$C:$C,'divisional &amp; regional caseload%'!$T$64,'caseload data'!$D:$D,"TPO")/SUMIF('caseload data'!$C:$C,'divisional &amp; regional caseload%'!$T$64,'caseload data'!S:S),"")</f>
        <v/>
      </c>
      <c r="AJ68" s="167" t="str">
        <f>IFERROR(SUMIFS('caseload data'!T:T,'caseload data'!$C:$C,'divisional &amp; regional caseload%'!$T$64,'caseload data'!$D:$D,"TPO")/SUMIF('caseload data'!$C:$C,'divisional &amp; regional caseload%'!$T$64,'caseload data'!T:T),"")</f>
        <v/>
      </c>
    </row>
    <row r="69" spans="2:36" x14ac:dyDescent="0.15">
      <c r="B69" s="98" t="s">
        <v>954</v>
      </c>
      <c r="C69" s="167" t="str">
        <f>IFERROR(SUMIFS('caseload data'!E:E,'caseload data'!$C:$C,'divisional &amp; regional caseload%'!$B$64,'caseload data'!$D:$D,"SPO")/SUMIF('caseload data'!$C:$C,'divisional &amp; regional caseload%'!$B$64,'caseload data'!E:E),"")</f>
        <v/>
      </c>
      <c r="D69" s="167" t="str">
        <f>IFERROR(SUMIFS('caseload data'!F:F,'caseload data'!$C:$C,'divisional &amp; regional caseload%'!$B$64,'caseload data'!$D:$D,"SPO")/SUMIF('caseload data'!$C:$C,'divisional &amp; regional caseload%'!$B$64,'caseload data'!F:F),"")</f>
        <v/>
      </c>
      <c r="E69" s="167" t="str">
        <f>IFERROR(SUMIFS('caseload data'!G:G,'caseload data'!$C:$C,'divisional &amp; regional caseload%'!$B$64,'caseload data'!$D:$D,"SPO")/SUMIF('caseload data'!$C:$C,'divisional &amp; regional caseload%'!$B$64,'caseload data'!G:G),"")</f>
        <v/>
      </c>
      <c r="F69" s="167" t="str">
        <f>IFERROR(SUMIFS('caseload data'!H:H,'caseload data'!$C:$C,'divisional &amp; regional caseload%'!$B$64,'caseload data'!$D:$D,"SPO")/SUMIF('caseload data'!$C:$C,'divisional &amp; regional caseload%'!$B$64,'caseload data'!H:H),"")</f>
        <v/>
      </c>
      <c r="G69" s="167" t="str">
        <f>IFERROR(SUMIFS('caseload data'!I:I,'caseload data'!$C:$C,'divisional &amp; regional caseload%'!$B$64,'caseload data'!$D:$D,"SPO")/SUMIF('caseload data'!$C:$C,'divisional &amp; regional caseload%'!$B$64,'caseload data'!I:I),"")</f>
        <v/>
      </c>
      <c r="H69" s="167" t="str">
        <f>IFERROR(SUMIFS('caseload data'!J:J,'caseload data'!$C:$C,'divisional &amp; regional caseload%'!$B$64,'caseload data'!$D:$D,"SPO")/SUMIF('caseload data'!$C:$C,'divisional &amp; regional caseload%'!$B$64,'caseload data'!J:J),"")</f>
        <v/>
      </c>
      <c r="I69" s="167" t="str">
        <f>IFERROR(SUMIFS('caseload data'!K:K,'caseload data'!$C:$C,'divisional &amp; regional caseload%'!$B$64,'caseload data'!$D:$D,"SPO")/SUMIF('caseload data'!$C:$C,'divisional &amp; regional caseload%'!$B$64,'caseload data'!K:K),"")</f>
        <v/>
      </c>
      <c r="J69" s="167" t="str">
        <f>IFERROR(SUMIFS('caseload data'!L:L,'caseload data'!$C:$C,'divisional &amp; regional caseload%'!$B$64,'caseload data'!$D:$D,"SPO")/SUMIF('caseload data'!$C:$C,'divisional &amp; regional caseload%'!$B$64,'caseload data'!L:L),"")</f>
        <v/>
      </c>
      <c r="K69" s="167" t="str">
        <f>IFERROR(SUMIFS('caseload data'!M:M,'caseload data'!$C:$C,'divisional &amp; regional caseload%'!$B$64,'caseload data'!$D:$D,"SPO")/SUMIF('caseload data'!$C:$C,'divisional &amp; regional caseload%'!$B$64,'caseload data'!M:M),"")</f>
        <v/>
      </c>
      <c r="L69" s="167" t="str">
        <f>IFERROR(SUMIFS('caseload data'!N:N,'caseload data'!$C:$C,'divisional &amp; regional caseload%'!$B$64,'caseload data'!$D:$D,"SPO")/SUMIF('caseload data'!$C:$C,'divisional &amp; regional caseload%'!$B$64,'caseload data'!N:N),"")</f>
        <v/>
      </c>
      <c r="M69" s="167" t="str">
        <f>IFERROR(SUMIFS('caseload data'!O:O,'caseload data'!$C:$C,'divisional &amp; regional caseload%'!$B$64,'caseload data'!$D:$D,"SPO")/SUMIF('caseload data'!$C:$C,'divisional &amp; regional caseload%'!$B$64,'caseload data'!O:O),"")</f>
        <v/>
      </c>
      <c r="N69" s="167" t="str">
        <f>IFERROR(SUMIFS('caseload data'!P:P,'caseload data'!$C:$C,'divisional &amp; regional caseload%'!$B$64,'caseload data'!$D:$D,"SPO")/SUMIF('caseload data'!$C:$C,'divisional &amp; regional caseload%'!$B$64,'caseload data'!P:P),"")</f>
        <v/>
      </c>
      <c r="O69" s="167" t="str">
        <f>IFERROR(SUMIFS('caseload data'!Q:Q,'caseload data'!$C:$C,'divisional &amp; regional caseload%'!$B$64,'caseload data'!$D:$D,"SPO")/SUMIF('caseload data'!$C:$C,'divisional &amp; regional caseload%'!$B$64,'caseload data'!Q:Q),"")</f>
        <v/>
      </c>
      <c r="P69" s="167" t="str">
        <f>IFERROR(SUMIFS('caseload data'!R:R,'caseload data'!$C:$C,'divisional &amp; regional caseload%'!$B$64,'caseload data'!$D:$D,"SPO")/SUMIF('caseload data'!$C:$C,'divisional &amp; regional caseload%'!$B$64,'caseload data'!R:R),"")</f>
        <v/>
      </c>
      <c r="Q69" s="167" t="str">
        <f>IFERROR(SUMIFS('caseload data'!S:S,'caseload data'!$C:$C,'divisional &amp; regional caseload%'!$B$64,'caseload data'!$D:$D,"SPO")/SUMIF('caseload data'!$C:$C,'divisional &amp; regional caseload%'!$B$64,'caseload data'!S:S),"")</f>
        <v/>
      </c>
      <c r="R69" s="167" t="str">
        <f>IFERROR(SUMIFS('caseload data'!T:T,'caseload data'!$C:$C,'divisional &amp; regional caseload%'!$B$64,'caseload data'!$D:$D,"SPO")/SUMIF('caseload data'!$C:$C,'divisional &amp; regional caseload%'!$B$64,'caseload data'!T:T),"")</f>
        <v/>
      </c>
      <c r="S69" s="64"/>
      <c r="T69" s="98" t="s">
        <v>954</v>
      </c>
      <c r="U69" s="167" t="str">
        <f>IFERROR(SUMIFS('caseload data'!E:E,'caseload data'!$C:$C,'divisional &amp; regional caseload%'!$T$64,'caseload data'!$D:$D,"SPO")/SUMIF('caseload data'!$C:$C,'divisional &amp; regional caseload%'!$T$64,'caseload data'!E:E),"")</f>
        <v/>
      </c>
      <c r="V69" s="167" t="str">
        <f>IFERROR(SUMIFS('caseload data'!F:F,'caseload data'!$C:$C,'divisional &amp; regional caseload%'!$T$64,'caseload data'!$D:$D,"SPO")/SUMIF('caseload data'!$C:$C,'divisional &amp; regional caseload%'!$T$64,'caseload data'!F:F),"")</f>
        <v/>
      </c>
      <c r="W69" s="167" t="str">
        <f>IFERROR(SUMIFS('caseload data'!G:G,'caseload data'!$C:$C,'divisional &amp; regional caseload%'!$T$64,'caseload data'!$D:$D,"SPO")/SUMIF('caseload data'!$C:$C,'divisional &amp; regional caseload%'!$T$64,'caseload data'!G:G),"")</f>
        <v/>
      </c>
      <c r="X69" s="167" t="str">
        <f>IFERROR(SUMIFS('caseload data'!H:H,'caseload data'!$C:$C,'divisional &amp; regional caseload%'!$T$64,'caseload data'!$D:$D,"SPO")/SUMIF('caseload data'!$C:$C,'divisional &amp; regional caseload%'!$T$64,'caseload data'!H:H),"")</f>
        <v/>
      </c>
      <c r="Y69" s="167" t="str">
        <f>IFERROR(SUMIFS('caseload data'!I:I,'caseload data'!$C:$C,'divisional &amp; regional caseload%'!$T$64,'caseload data'!$D:$D,"SPO")/SUMIF('caseload data'!$C:$C,'divisional &amp; regional caseload%'!$T$64,'caseload data'!I:I),"")</f>
        <v/>
      </c>
      <c r="Z69" s="167" t="str">
        <f>IFERROR(SUMIFS('caseload data'!J:J,'caseload data'!$C:$C,'divisional &amp; regional caseload%'!$T$64,'caseload data'!$D:$D,"SPO")/SUMIF('caseload data'!$C:$C,'divisional &amp; regional caseload%'!$T$64,'caseload data'!J:J),"")</f>
        <v/>
      </c>
      <c r="AA69" s="167" t="str">
        <f>IFERROR(SUMIFS('caseload data'!K:K,'caseload data'!$C:$C,'divisional &amp; regional caseload%'!$T$64,'caseload data'!$D:$D,"SPO")/SUMIF('caseload data'!$C:$C,'divisional &amp; regional caseload%'!$T$64,'caseload data'!K:K),"")</f>
        <v/>
      </c>
      <c r="AB69" s="167" t="str">
        <f>IFERROR(SUMIFS('caseload data'!L:L,'caseload data'!$C:$C,'divisional &amp; regional caseload%'!$T$64,'caseload data'!$D:$D,"SPO")/SUMIF('caseload data'!$C:$C,'divisional &amp; regional caseload%'!$T$64,'caseload data'!L:L),"")</f>
        <v/>
      </c>
      <c r="AC69" s="167" t="str">
        <f>IFERROR(SUMIFS('caseload data'!M:M,'caseload data'!$C:$C,'divisional &amp; regional caseload%'!$T$64,'caseload data'!$D:$D,"SPO")/SUMIF('caseload data'!$C:$C,'divisional &amp; regional caseload%'!$T$64,'caseload data'!M:M),"")</f>
        <v/>
      </c>
      <c r="AD69" s="167" t="str">
        <f>IFERROR(SUMIFS('caseload data'!N:N,'caseload data'!$C:$C,'divisional &amp; regional caseload%'!$T$64,'caseload data'!$D:$D,"SPO")/SUMIF('caseload data'!$C:$C,'divisional &amp; regional caseload%'!$T$64,'caseload data'!N:N),"")</f>
        <v/>
      </c>
      <c r="AE69" s="167" t="str">
        <f>IFERROR(SUMIFS('caseload data'!O:O,'caseload data'!$C:$C,'divisional &amp; regional caseload%'!$T$64,'caseload data'!$D:$D,"SPO")/SUMIF('caseload data'!$C:$C,'divisional &amp; regional caseload%'!$T$64,'caseload data'!O:O),"")</f>
        <v/>
      </c>
      <c r="AF69" s="167" t="str">
        <f>IFERROR(SUMIFS('caseload data'!P:P,'caseload data'!$C:$C,'divisional &amp; regional caseload%'!$T$64,'caseload data'!$D:$D,"SPO")/SUMIF('caseload data'!$C:$C,'divisional &amp; regional caseload%'!$T$64,'caseload data'!P:P),"")</f>
        <v/>
      </c>
      <c r="AG69" s="167" t="str">
        <f>IFERROR(SUMIFS('caseload data'!Q:Q,'caseload data'!$C:$C,'divisional &amp; regional caseload%'!$T$64,'caseload data'!$D:$D,"SPO")/SUMIF('caseload data'!$C:$C,'divisional &amp; regional caseload%'!$T$64,'caseload data'!Q:Q),"")</f>
        <v/>
      </c>
      <c r="AH69" s="167" t="str">
        <f>IFERROR(SUMIFS('caseload data'!R:R,'caseload data'!$C:$C,'divisional &amp; regional caseload%'!$T$64,'caseload data'!$D:$D,"SPO")/SUMIF('caseload data'!$C:$C,'divisional &amp; regional caseload%'!$T$64,'caseload data'!R:R),"")</f>
        <v/>
      </c>
      <c r="AI69" s="167" t="str">
        <f>IFERROR(SUMIFS('caseload data'!S:S,'caseload data'!$C:$C,'divisional &amp; regional caseload%'!$T$64,'caseload data'!$D:$D,"SPO")/SUMIF('caseload data'!$C:$C,'divisional &amp; regional caseload%'!$T$64,'caseload data'!S:S),"")</f>
        <v/>
      </c>
      <c r="AJ69" s="167" t="str">
        <f>IFERROR(SUMIFS('caseload data'!T:T,'caseload data'!$C:$C,'divisional &amp; regional caseload%'!$T$64,'caseload data'!$D:$D,"SPO")/SUMIF('caseload data'!$C:$C,'divisional &amp; regional caseload%'!$T$64,'caseload data'!T:T),"")</f>
        <v/>
      </c>
    </row>
    <row r="71" spans="2:36" ht="27.75" customHeight="1" x14ac:dyDescent="0.15">
      <c r="B71" s="288">
        <f>HLOOKUP($B$5,Region_Table,20,0)</f>
        <v>0</v>
      </c>
      <c r="C71" s="556" t="s">
        <v>1043</v>
      </c>
      <c r="D71" s="557"/>
      <c r="E71" s="557"/>
      <c r="F71" s="557"/>
      <c r="G71" s="557"/>
      <c r="H71" s="557"/>
      <c r="I71" s="557"/>
      <c r="J71" s="557"/>
      <c r="K71" s="557"/>
      <c r="L71" s="557"/>
      <c r="M71" s="558"/>
      <c r="N71" s="558"/>
      <c r="O71" s="559"/>
      <c r="P71" s="543">
        <f>SUMIF('caseload data'!$C:$C,'divisional &amp; regional caseload%'!B71,'caseload data'!V:V)</f>
        <v>0</v>
      </c>
      <c r="Q71" s="560"/>
      <c r="R71" s="561"/>
      <c r="T71" s="288">
        <f>HLOOKUP($B$5,Region_Table,21,0)</f>
        <v>0</v>
      </c>
      <c r="U71" s="556" t="s">
        <v>1043</v>
      </c>
      <c r="V71" s="557"/>
      <c r="W71" s="557"/>
      <c r="X71" s="557"/>
      <c r="Y71" s="557"/>
      <c r="Z71" s="557"/>
      <c r="AA71" s="557"/>
      <c r="AB71" s="557"/>
      <c r="AC71" s="557"/>
      <c r="AD71" s="557"/>
      <c r="AE71" s="558"/>
      <c r="AF71" s="558"/>
      <c r="AG71" s="559"/>
      <c r="AH71" s="543">
        <f>SUMIF('caseload data'!$C:$C,'divisional &amp; regional caseload%'!T71,'caseload data'!V:V)</f>
        <v>0</v>
      </c>
      <c r="AI71" s="560"/>
      <c r="AJ71" s="561"/>
    </row>
    <row r="72" spans="2:36" x14ac:dyDescent="0.15">
      <c r="B72" s="95" t="s">
        <v>951</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951</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167" t="str">
        <f>IFERROR(SUMIFS('caseload data'!E:E,'caseload data'!$C:$C,'divisional &amp; regional caseload%'!$B$71,'caseload data'!$D:$D,"PO")/SUMIF('caseload data'!$C:$C,'divisional &amp; regional caseload%'!$B$71,'caseload data'!E:E),"")</f>
        <v/>
      </c>
      <c r="D73" s="167" t="str">
        <f>IFERROR(SUMIFS('caseload data'!F:F,'caseload data'!$C:$C,'divisional &amp; regional caseload%'!$B$71,'caseload data'!$D:$D,"PO")/SUMIF('caseload data'!$C:$C,'divisional &amp; regional caseload%'!$B$71,'caseload data'!F:F),"")</f>
        <v/>
      </c>
      <c r="E73" s="167" t="str">
        <f>IFERROR(SUMIFS('caseload data'!G:G,'caseload data'!$C:$C,'divisional &amp; regional caseload%'!$B$71,'caseload data'!$D:$D,"PO")/SUMIF('caseload data'!$C:$C,'divisional &amp; regional caseload%'!$B$71,'caseload data'!G:G),"")</f>
        <v/>
      </c>
      <c r="F73" s="167" t="str">
        <f>IFERROR(SUMIFS('caseload data'!H:H,'caseload data'!$C:$C,'divisional &amp; regional caseload%'!$B$71,'caseload data'!$D:$D,"PO")/SUMIF('caseload data'!$C:$C,'divisional &amp; regional caseload%'!$B$71,'caseload data'!H:H),"")</f>
        <v/>
      </c>
      <c r="G73" s="167" t="str">
        <f>IFERROR(SUMIFS('caseload data'!I:I,'caseload data'!$C:$C,'divisional &amp; regional caseload%'!$B$71,'caseload data'!$D:$D,"PO")/SUMIF('caseload data'!$C:$C,'divisional &amp; regional caseload%'!$B$71,'caseload data'!I:I),"")</f>
        <v/>
      </c>
      <c r="H73" s="167" t="str">
        <f>IFERROR(SUMIFS('caseload data'!J:J,'caseload data'!$C:$C,'divisional &amp; regional caseload%'!$B$71,'caseload data'!$D:$D,"PO")/SUMIF('caseload data'!$C:$C,'divisional &amp; regional caseload%'!$B$71,'caseload data'!J:J),"")</f>
        <v/>
      </c>
      <c r="I73" s="167" t="str">
        <f>IFERROR(SUMIFS('caseload data'!K:K,'caseload data'!$C:$C,'divisional &amp; regional caseload%'!$B$71,'caseload data'!$D:$D,"PO")/SUMIF('caseload data'!$C:$C,'divisional &amp; regional caseload%'!$B$71,'caseload data'!K:K),"")</f>
        <v/>
      </c>
      <c r="J73" s="167" t="str">
        <f>IFERROR(SUMIFS('caseload data'!L:L,'caseload data'!$C:$C,'divisional &amp; regional caseload%'!$B$71,'caseload data'!$D:$D,"PO")/SUMIF('caseload data'!$C:$C,'divisional &amp; regional caseload%'!$B$71,'caseload data'!L:L),"")</f>
        <v/>
      </c>
      <c r="K73" s="167" t="str">
        <f>IFERROR(SUMIFS('caseload data'!M:M,'caseload data'!$C:$C,'divisional &amp; regional caseload%'!$B$71,'caseload data'!$D:$D,"PO")/SUMIF('caseload data'!$C:$C,'divisional &amp; regional caseload%'!$B$71,'caseload data'!M:M),"")</f>
        <v/>
      </c>
      <c r="L73" s="167" t="str">
        <f>IFERROR(SUMIFS('caseload data'!N:N,'caseload data'!$C:$C,'divisional &amp; regional caseload%'!$B$71,'caseload data'!$D:$D,"PO")/SUMIF('caseload data'!$C:$C,'divisional &amp; regional caseload%'!$B$71,'caseload data'!N:N),"")</f>
        <v/>
      </c>
      <c r="M73" s="167" t="str">
        <f>IFERROR(SUMIFS('caseload data'!O:O,'caseload data'!$C:$C,'divisional &amp; regional caseload%'!$B$71,'caseload data'!$D:$D,"PO")/SUMIF('caseload data'!$C:$C,'divisional &amp; regional caseload%'!$B$71,'caseload data'!O:O),"")</f>
        <v/>
      </c>
      <c r="N73" s="167" t="str">
        <f>IFERROR(SUMIFS('caseload data'!P:P,'caseload data'!$C:$C,'divisional &amp; regional caseload%'!$B$71,'caseload data'!$D:$D,"PO")/SUMIF('caseload data'!$C:$C,'divisional &amp; regional caseload%'!$B$71,'caseload data'!P:P),"")</f>
        <v/>
      </c>
      <c r="O73" s="167" t="str">
        <f>IFERROR(SUMIFS('caseload data'!Q:Q,'caseload data'!$C:$C,'divisional &amp; regional caseload%'!$B$71,'caseload data'!$D:$D,"PO")/SUMIF('caseload data'!$C:$C,'divisional &amp; regional caseload%'!$B$71,'caseload data'!Q:Q),"")</f>
        <v/>
      </c>
      <c r="P73" s="167" t="str">
        <f>IFERROR(SUMIFS('caseload data'!R:R,'caseload data'!$C:$C,'divisional &amp; regional caseload%'!$B$71,'caseload data'!$D:$D,"PO")/SUMIF('caseload data'!$C:$C,'divisional &amp; regional caseload%'!$B$71,'caseload data'!R:R),"")</f>
        <v/>
      </c>
      <c r="Q73" s="167" t="str">
        <f>IFERROR(SUMIFS('caseload data'!S:S,'caseload data'!$C:$C,'divisional &amp; regional caseload%'!$B$71,'caseload data'!$D:$D,"PO")/SUMIF('caseload data'!$C:$C,'divisional &amp; regional caseload%'!$B$71,'caseload data'!S:S),"")</f>
        <v/>
      </c>
      <c r="R73" s="167" t="str">
        <f>IFERROR(SUMIFS('caseload data'!T:T,'caseload data'!$C:$C,'divisional &amp; regional caseload%'!$B$71,'caseload data'!$D:$D,"PO")/SUMIF('caseload data'!$C:$C,'divisional &amp; regional caseload%'!$B$71,'caseload data'!T:T),"")</f>
        <v/>
      </c>
      <c r="T73" s="96" t="s">
        <v>947</v>
      </c>
      <c r="U73" s="167" t="str">
        <f>IFERROR(SUMIFS('caseload data'!E:E,'caseload data'!$C:$C,'divisional &amp; regional caseload%'!$T$71,'caseload data'!$D:$D,"PO")/SUMIF('caseload data'!$C:$C,'divisional &amp; regional caseload%'!$T$71,'caseload data'!E:E),"")</f>
        <v/>
      </c>
      <c r="V73" s="167" t="str">
        <f>IFERROR(SUMIFS('caseload data'!F:F,'caseload data'!$C:$C,'divisional &amp; regional caseload%'!$T$71,'caseload data'!$D:$D,"PO")/SUMIF('caseload data'!$C:$C,'divisional &amp; regional caseload%'!$T$71,'caseload data'!F:F),"")</f>
        <v/>
      </c>
      <c r="W73" s="167" t="str">
        <f>IFERROR(SUMIFS('caseload data'!G:G,'caseload data'!$C:$C,'divisional &amp; regional caseload%'!$T$71,'caseload data'!$D:$D,"PO")/SUMIF('caseload data'!$C:$C,'divisional &amp; regional caseload%'!$T$71,'caseload data'!G:G),"")</f>
        <v/>
      </c>
      <c r="X73" s="167" t="str">
        <f>IFERROR(SUMIFS('caseload data'!H:H,'caseload data'!$C:$C,'divisional &amp; regional caseload%'!$T$71,'caseload data'!$D:$D,"PO")/SUMIF('caseload data'!$C:$C,'divisional &amp; regional caseload%'!$T$71,'caseload data'!H:H),"")</f>
        <v/>
      </c>
      <c r="Y73" s="167" t="str">
        <f>IFERROR(SUMIFS('caseload data'!I:I,'caseload data'!$C:$C,'divisional &amp; regional caseload%'!$T$71,'caseload data'!$D:$D,"PO")/SUMIF('caseload data'!$C:$C,'divisional &amp; regional caseload%'!$T$71,'caseload data'!I:I),"")</f>
        <v/>
      </c>
      <c r="Z73" s="167" t="str">
        <f>IFERROR(SUMIFS('caseload data'!J:J,'caseload data'!$C:$C,'divisional &amp; regional caseload%'!$T$71,'caseload data'!$D:$D,"PO")/SUMIF('caseload data'!$C:$C,'divisional &amp; regional caseload%'!$T$71,'caseload data'!J:J),"")</f>
        <v/>
      </c>
      <c r="AA73" s="167" t="str">
        <f>IFERROR(SUMIFS('caseload data'!K:K,'caseload data'!$C:$C,'divisional &amp; regional caseload%'!$T$71,'caseload data'!$D:$D,"PO")/SUMIF('caseload data'!$C:$C,'divisional &amp; regional caseload%'!$T$71,'caseload data'!K:K),"")</f>
        <v/>
      </c>
      <c r="AB73" s="167" t="str">
        <f>IFERROR(SUMIFS('caseload data'!L:L,'caseload data'!$C:$C,'divisional &amp; regional caseload%'!$T$71,'caseload data'!$D:$D,"PO")/SUMIF('caseload data'!$C:$C,'divisional &amp; regional caseload%'!$T$71,'caseload data'!L:L),"")</f>
        <v/>
      </c>
      <c r="AC73" s="167" t="str">
        <f>IFERROR(SUMIFS('caseload data'!M:M,'caseload data'!$C:$C,'divisional &amp; regional caseload%'!$T$71,'caseload data'!$D:$D,"PO")/SUMIF('caseload data'!$C:$C,'divisional &amp; regional caseload%'!$T$71,'caseload data'!M:M),"")</f>
        <v/>
      </c>
      <c r="AD73" s="167" t="str">
        <f>IFERROR(SUMIFS('caseload data'!N:N,'caseload data'!$C:$C,'divisional &amp; regional caseload%'!$T$71,'caseload data'!$D:$D,"PO")/SUMIF('caseload data'!$C:$C,'divisional &amp; regional caseload%'!$T$71,'caseload data'!N:N),"")</f>
        <v/>
      </c>
      <c r="AE73" s="167" t="str">
        <f>IFERROR(SUMIFS('caseload data'!O:O,'caseload data'!$C:$C,'divisional &amp; regional caseload%'!$T$71,'caseload data'!$D:$D,"PO")/SUMIF('caseload data'!$C:$C,'divisional &amp; regional caseload%'!$T$71,'caseload data'!O:O),"")</f>
        <v/>
      </c>
      <c r="AF73" s="167" t="str">
        <f>IFERROR(SUMIFS('caseload data'!P:P,'caseload data'!$C:$C,'divisional &amp; regional caseload%'!$T$71,'caseload data'!$D:$D,"PO")/SUMIF('caseload data'!$C:$C,'divisional &amp; regional caseload%'!$T$71,'caseload data'!P:P),"")</f>
        <v/>
      </c>
      <c r="AG73" s="167" t="str">
        <f>IFERROR(SUMIFS('caseload data'!Q:Q,'caseload data'!$C:$C,'divisional &amp; regional caseload%'!$T$71,'caseload data'!$D:$D,"PO")/SUMIF('caseload data'!$C:$C,'divisional &amp; regional caseload%'!$T$71,'caseload data'!Q:Q),"")</f>
        <v/>
      </c>
      <c r="AH73" s="167" t="str">
        <f>IFERROR(SUMIFS('caseload data'!R:R,'caseload data'!$C:$C,'divisional &amp; regional caseload%'!$T$71,'caseload data'!$D:$D,"PO")/SUMIF('caseload data'!$C:$C,'divisional &amp; regional caseload%'!$T$71,'caseload data'!R:R),"")</f>
        <v/>
      </c>
      <c r="AI73" s="167" t="str">
        <f>IFERROR(SUMIFS('caseload data'!S:S,'caseload data'!$C:$C,'divisional &amp; regional caseload%'!$T$71,'caseload data'!$D:$D,"PO")/SUMIF('caseload data'!$C:$C,'divisional &amp; regional caseload%'!$T$71,'caseload data'!S:S),"")</f>
        <v/>
      </c>
      <c r="AJ73" s="167" t="str">
        <f>IFERROR(SUMIFS('caseload data'!T:T,'caseload data'!$C:$C,'divisional &amp; regional caseload%'!$T$71,'caseload data'!$D:$D,"PO")/SUMIF('caseload data'!$C:$C,'divisional &amp; regional caseload%'!$T$71,'caseload data'!T:T),"")</f>
        <v/>
      </c>
    </row>
    <row r="74" spans="2:36" x14ac:dyDescent="0.15">
      <c r="B74" s="97" t="s">
        <v>952</v>
      </c>
      <c r="C74" s="167" t="str">
        <f>IFERROR(SUMIFS('caseload data'!E:E,'caseload data'!$C:$C,'divisional &amp; regional caseload%'!$B$71,'caseload data'!$D:$D,"PSO")/SUMIF('caseload data'!$C:$C,'divisional &amp; regional caseload%'!$B$71,'caseload data'!E:E),"")</f>
        <v/>
      </c>
      <c r="D74" s="167" t="str">
        <f>IFERROR(SUMIFS('caseload data'!F:F,'caseload data'!$C:$C,'divisional &amp; regional caseload%'!$B$71,'caseload data'!$D:$D,"PSO")/SUMIF('caseload data'!$C:$C,'divisional &amp; regional caseload%'!$B$71,'caseload data'!F:F),"")</f>
        <v/>
      </c>
      <c r="E74" s="167" t="str">
        <f>IFERROR(SUMIFS('caseload data'!G:G,'caseload data'!$C:$C,'divisional &amp; regional caseload%'!$B$71,'caseload data'!$D:$D,"PSO")/SUMIF('caseload data'!$C:$C,'divisional &amp; regional caseload%'!$B$71,'caseload data'!G:G),"")</f>
        <v/>
      </c>
      <c r="F74" s="167" t="str">
        <f>IFERROR(SUMIFS('caseload data'!H:H,'caseload data'!$C:$C,'divisional &amp; regional caseload%'!$B$71,'caseload data'!$D:$D,"PSO")/SUMIF('caseload data'!$C:$C,'divisional &amp; regional caseload%'!$B$71,'caseload data'!H:H),"")</f>
        <v/>
      </c>
      <c r="G74" s="167" t="str">
        <f>IFERROR(SUMIFS('caseload data'!I:I,'caseload data'!$C:$C,'divisional &amp; regional caseload%'!$B$71,'caseload data'!$D:$D,"PSO")/SUMIF('caseload data'!$C:$C,'divisional &amp; regional caseload%'!$B$71,'caseload data'!I:I),"")</f>
        <v/>
      </c>
      <c r="H74" s="167" t="str">
        <f>IFERROR(SUMIFS('caseload data'!J:J,'caseload data'!$C:$C,'divisional &amp; regional caseload%'!$B$71,'caseload data'!$D:$D,"PSO")/SUMIF('caseload data'!$C:$C,'divisional &amp; regional caseload%'!$B$71,'caseload data'!J:J),"")</f>
        <v/>
      </c>
      <c r="I74" s="167" t="str">
        <f>IFERROR(SUMIFS('caseload data'!K:K,'caseload data'!$C:$C,'divisional &amp; regional caseload%'!$B$71,'caseload data'!$D:$D,"PSO")/SUMIF('caseload data'!$C:$C,'divisional &amp; regional caseload%'!$B$71,'caseload data'!K:K),"")</f>
        <v/>
      </c>
      <c r="J74" s="167" t="str">
        <f>IFERROR(SUMIFS('caseload data'!L:L,'caseload data'!$C:$C,'divisional &amp; regional caseload%'!$B$71,'caseload data'!$D:$D,"PSO")/SUMIF('caseload data'!$C:$C,'divisional &amp; regional caseload%'!$B$71,'caseload data'!L:L),"")</f>
        <v/>
      </c>
      <c r="K74" s="167" t="str">
        <f>IFERROR(SUMIFS('caseload data'!M:M,'caseload data'!$C:$C,'divisional &amp; regional caseload%'!$B$71,'caseload data'!$D:$D,"PSO")/SUMIF('caseload data'!$C:$C,'divisional &amp; regional caseload%'!$B$71,'caseload data'!M:M),"")</f>
        <v/>
      </c>
      <c r="L74" s="167" t="str">
        <f>IFERROR(SUMIFS('caseload data'!N:N,'caseload data'!$C:$C,'divisional &amp; regional caseload%'!$B$71,'caseload data'!$D:$D,"PSO")/SUMIF('caseload data'!$C:$C,'divisional &amp; regional caseload%'!$B$71,'caseload data'!N:N),"")</f>
        <v/>
      </c>
      <c r="M74" s="167" t="str">
        <f>IFERROR(SUMIFS('caseload data'!O:O,'caseload data'!$C:$C,'divisional &amp; regional caseload%'!$B$71,'caseload data'!$D:$D,"PSO")/SUMIF('caseload data'!$C:$C,'divisional &amp; regional caseload%'!$B$71,'caseload data'!O:O),"")</f>
        <v/>
      </c>
      <c r="N74" s="167" t="str">
        <f>IFERROR(SUMIFS('caseload data'!P:P,'caseload data'!$C:$C,'divisional &amp; regional caseload%'!$B$71,'caseload data'!$D:$D,"PSO")/SUMIF('caseload data'!$C:$C,'divisional &amp; regional caseload%'!$B$71,'caseload data'!P:P),"")</f>
        <v/>
      </c>
      <c r="O74" s="167" t="str">
        <f>IFERROR(SUMIFS('caseload data'!Q:Q,'caseload data'!$C:$C,'divisional &amp; regional caseload%'!$B$71,'caseload data'!$D:$D,"PSO")/SUMIF('caseload data'!$C:$C,'divisional &amp; regional caseload%'!$B$71,'caseload data'!Q:Q),"")</f>
        <v/>
      </c>
      <c r="P74" s="167" t="str">
        <f>IFERROR(SUMIFS('caseload data'!R:R,'caseload data'!$C:$C,'divisional &amp; regional caseload%'!$B$71,'caseload data'!$D:$D,"PSO")/SUMIF('caseload data'!$C:$C,'divisional &amp; regional caseload%'!$B$71,'caseload data'!R:R),"")</f>
        <v/>
      </c>
      <c r="Q74" s="167" t="str">
        <f>IFERROR(SUMIFS('caseload data'!S:S,'caseload data'!$C:$C,'divisional &amp; regional caseload%'!$B$71,'caseload data'!$D:$D,"PSO")/SUMIF('caseload data'!$C:$C,'divisional &amp; regional caseload%'!$B$71,'caseload data'!S:S),"")</f>
        <v/>
      </c>
      <c r="R74" s="167" t="str">
        <f>IFERROR(SUMIFS('caseload data'!T:T,'caseload data'!$C:$C,'divisional &amp; regional caseload%'!$B$71,'caseload data'!$D:$D,"PSO")/SUMIF('caseload data'!$C:$C,'divisional &amp; regional caseload%'!$B$71,'caseload data'!T:T),"")</f>
        <v/>
      </c>
      <c r="T74" s="97" t="s">
        <v>952</v>
      </c>
      <c r="U74" s="167" t="str">
        <f>IFERROR(SUMIFS('caseload data'!E:E,'caseload data'!$C:$C,'divisional &amp; regional caseload%'!$T$71,'caseload data'!$D:$D,"PSO")/SUMIF('caseload data'!$C:$C,'divisional &amp; regional caseload%'!$T$71,'caseload data'!E:E),"")</f>
        <v/>
      </c>
      <c r="V74" s="167" t="str">
        <f>IFERROR(SUMIFS('caseload data'!F:F,'caseload data'!$C:$C,'divisional &amp; regional caseload%'!$T$71,'caseload data'!$D:$D,"PSO")/SUMIF('caseload data'!$C:$C,'divisional &amp; regional caseload%'!$T$71,'caseload data'!F:F),"")</f>
        <v/>
      </c>
      <c r="W74" s="167" t="str">
        <f>IFERROR(SUMIFS('caseload data'!G:G,'caseload data'!$C:$C,'divisional &amp; regional caseload%'!$T$71,'caseload data'!$D:$D,"PSO")/SUMIF('caseload data'!$C:$C,'divisional &amp; regional caseload%'!$T$71,'caseload data'!G:G),"")</f>
        <v/>
      </c>
      <c r="X74" s="167" t="str">
        <f>IFERROR(SUMIFS('caseload data'!H:H,'caseload data'!$C:$C,'divisional &amp; regional caseload%'!$T$71,'caseload data'!$D:$D,"PSO")/SUMIF('caseload data'!$C:$C,'divisional &amp; regional caseload%'!$T$71,'caseload data'!H:H),"")</f>
        <v/>
      </c>
      <c r="Y74" s="167" t="str">
        <f>IFERROR(SUMIFS('caseload data'!I:I,'caseload data'!$C:$C,'divisional &amp; regional caseload%'!$T$71,'caseload data'!$D:$D,"PSO")/SUMIF('caseload data'!$C:$C,'divisional &amp; regional caseload%'!$T$71,'caseload data'!I:I),"")</f>
        <v/>
      </c>
      <c r="Z74" s="167" t="str">
        <f>IFERROR(SUMIFS('caseload data'!J:J,'caseload data'!$C:$C,'divisional &amp; regional caseload%'!$T$71,'caseload data'!$D:$D,"PSO")/SUMIF('caseload data'!$C:$C,'divisional &amp; regional caseload%'!$T$71,'caseload data'!J:J),"")</f>
        <v/>
      </c>
      <c r="AA74" s="167" t="str">
        <f>IFERROR(SUMIFS('caseload data'!K:K,'caseload data'!$C:$C,'divisional &amp; regional caseload%'!$T$71,'caseload data'!$D:$D,"PSO")/SUMIF('caseload data'!$C:$C,'divisional &amp; regional caseload%'!$T$71,'caseload data'!K:K),"")</f>
        <v/>
      </c>
      <c r="AB74" s="167" t="str">
        <f>IFERROR(SUMIFS('caseload data'!L:L,'caseload data'!$C:$C,'divisional &amp; regional caseload%'!$T$71,'caseload data'!$D:$D,"PSO")/SUMIF('caseload data'!$C:$C,'divisional &amp; regional caseload%'!$T$71,'caseload data'!L:L),"")</f>
        <v/>
      </c>
      <c r="AC74" s="167" t="str">
        <f>IFERROR(SUMIFS('caseload data'!M:M,'caseload data'!$C:$C,'divisional &amp; regional caseload%'!$T$71,'caseload data'!$D:$D,"PSO")/SUMIF('caseload data'!$C:$C,'divisional &amp; regional caseload%'!$T$71,'caseload data'!M:M),"")</f>
        <v/>
      </c>
      <c r="AD74" s="167" t="str">
        <f>IFERROR(SUMIFS('caseload data'!N:N,'caseload data'!$C:$C,'divisional &amp; regional caseload%'!$T$71,'caseload data'!$D:$D,"PSO")/SUMIF('caseload data'!$C:$C,'divisional &amp; regional caseload%'!$T$71,'caseload data'!N:N),"")</f>
        <v/>
      </c>
      <c r="AE74" s="167" t="str">
        <f>IFERROR(SUMIFS('caseload data'!O:O,'caseload data'!$C:$C,'divisional &amp; regional caseload%'!$T$71,'caseload data'!$D:$D,"PSO")/SUMIF('caseload data'!$C:$C,'divisional &amp; regional caseload%'!$T$71,'caseload data'!O:O),"")</f>
        <v/>
      </c>
      <c r="AF74" s="167" t="str">
        <f>IFERROR(SUMIFS('caseload data'!P:P,'caseload data'!$C:$C,'divisional &amp; regional caseload%'!$T$71,'caseload data'!$D:$D,"PSO")/SUMIF('caseload data'!$C:$C,'divisional &amp; regional caseload%'!$T$71,'caseload data'!P:P),"")</f>
        <v/>
      </c>
      <c r="AG74" s="167" t="str">
        <f>IFERROR(SUMIFS('caseload data'!Q:Q,'caseload data'!$C:$C,'divisional &amp; regional caseload%'!$T$71,'caseload data'!$D:$D,"PSO")/SUMIF('caseload data'!$C:$C,'divisional &amp; regional caseload%'!$T$71,'caseload data'!Q:Q),"")</f>
        <v/>
      </c>
      <c r="AH74" s="167" t="str">
        <f>IFERROR(SUMIFS('caseload data'!R:R,'caseload data'!$C:$C,'divisional &amp; regional caseload%'!$T$71,'caseload data'!$D:$D,"PSO")/SUMIF('caseload data'!$C:$C,'divisional &amp; regional caseload%'!$T$71,'caseload data'!R:R),"")</f>
        <v/>
      </c>
      <c r="AI74" s="167" t="str">
        <f>IFERROR(SUMIFS('caseload data'!S:S,'caseload data'!$C:$C,'divisional &amp; regional caseload%'!$T$71,'caseload data'!$D:$D,"PSO")/SUMIF('caseload data'!$C:$C,'divisional &amp; regional caseload%'!$T$71,'caseload data'!S:S),"")</f>
        <v/>
      </c>
      <c r="AJ74" s="167" t="str">
        <f>IFERROR(SUMIFS('caseload data'!T:T,'caseload data'!$C:$C,'divisional &amp; regional caseload%'!$T$71,'caseload data'!$D:$D,"PSO")/SUMIF('caseload data'!$C:$C,'divisional &amp; regional caseload%'!$T$71,'caseload data'!T:T),"")</f>
        <v/>
      </c>
    </row>
    <row r="75" spans="2:36" x14ac:dyDescent="0.15">
      <c r="B75" s="97" t="s">
        <v>953</v>
      </c>
      <c r="C75" s="167" t="str">
        <f>IFERROR(SUMIFS('caseload data'!E:E,'caseload data'!$C:$C,'divisional &amp; regional caseload%'!$B$71,'caseload data'!$D:$D,"TPO")/SUMIF('caseload data'!$C:$C,'divisional &amp; regional caseload%'!$B$71,'caseload data'!E:E),"")</f>
        <v/>
      </c>
      <c r="D75" s="167" t="str">
        <f>IFERROR(SUMIFS('caseload data'!F:F,'caseload data'!$C:$C,'divisional &amp; regional caseload%'!$B$71,'caseload data'!$D:$D,"TPO")/SUMIF('caseload data'!$C:$C,'divisional &amp; regional caseload%'!$B$71,'caseload data'!F:F),"")</f>
        <v/>
      </c>
      <c r="E75" s="167" t="str">
        <f>IFERROR(SUMIFS('caseload data'!G:G,'caseload data'!$C:$C,'divisional &amp; regional caseload%'!$B$71,'caseload data'!$D:$D,"TPO")/SUMIF('caseload data'!$C:$C,'divisional &amp; regional caseload%'!$B$71,'caseload data'!G:G),"")</f>
        <v/>
      </c>
      <c r="F75" s="167" t="str">
        <f>IFERROR(SUMIFS('caseload data'!H:H,'caseload data'!$C:$C,'divisional &amp; regional caseload%'!$B$71,'caseload data'!$D:$D,"TPO")/SUMIF('caseload data'!$C:$C,'divisional &amp; regional caseload%'!$B$71,'caseload data'!H:H),"")</f>
        <v/>
      </c>
      <c r="G75" s="167" t="str">
        <f>IFERROR(SUMIFS('caseload data'!I:I,'caseload data'!$C:$C,'divisional &amp; regional caseload%'!$B$71,'caseload data'!$D:$D,"TPO")/SUMIF('caseload data'!$C:$C,'divisional &amp; regional caseload%'!$B$71,'caseload data'!I:I),"")</f>
        <v/>
      </c>
      <c r="H75" s="167" t="str">
        <f>IFERROR(SUMIFS('caseload data'!J:J,'caseload data'!$C:$C,'divisional &amp; regional caseload%'!$B$71,'caseload data'!$D:$D,"TPO")/SUMIF('caseload data'!$C:$C,'divisional &amp; regional caseload%'!$B$71,'caseload data'!J:J),"")</f>
        <v/>
      </c>
      <c r="I75" s="167" t="str">
        <f>IFERROR(SUMIFS('caseload data'!K:K,'caseload data'!$C:$C,'divisional &amp; regional caseload%'!$B$71,'caseload data'!$D:$D,"TPO")/SUMIF('caseload data'!$C:$C,'divisional &amp; regional caseload%'!$B$71,'caseload data'!K:K),"")</f>
        <v/>
      </c>
      <c r="J75" s="167" t="str">
        <f>IFERROR(SUMIFS('caseload data'!L:L,'caseload data'!$C:$C,'divisional &amp; regional caseload%'!$B$71,'caseload data'!$D:$D,"TPO")/SUMIF('caseload data'!$C:$C,'divisional &amp; regional caseload%'!$B$71,'caseload data'!L:L),"")</f>
        <v/>
      </c>
      <c r="K75" s="167" t="str">
        <f>IFERROR(SUMIFS('caseload data'!M:M,'caseload data'!$C:$C,'divisional &amp; regional caseload%'!$B$71,'caseload data'!$D:$D,"TPO")/SUMIF('caseload data'!$C:$C,'divisional &amp; regional caseload%'!$B$71,'caseload data'!M:M),"")</f>
        <v/>
      </c>
      <c r="L75" s="167" t="str">
        <f>IFERROR(SUMIFS('caseload data'!N:N,'caseload data'!$C:$C,'divisional &amp; regional caseload%'!$B$71,'caseload data'!$D:$D,"TPO")/SUMIF('caseload data'!$C:$C,'divisional &amp; regional caseload%'!$B$71,'caseload data'!N:N),"")</f>
        <v/>
      </c>
      <c r="M75" s="167" t="str">
        <f>IFERROR(SUMIFS('caseload data'!O:O,'caseload data'!$C:$C,'divisional &amp; regional caseload%'!$B$71,'caseload data'!$D:$D,"TPO")/SUMIF('caseload data'!$C:$C,'divisional &amp; regional caseload%'!$B$71,'caseload data'!O:O),"")</f>
        <v/>
      </c>
      <c r="N75" s="167" t="str">
        <f>IFERROR(SUMIFS('caseload data'!P:P,'caseload data'!$C:$C,'divisional &amp; regional caseload%'!$B$71,'caseload data'!$D:$D,"TPO")/SUMIF('caseload data'!$C:$C,'divisional &amp; regional caseload%'!$B$71,'caseload data'!P:P),"")</f>
        <v/>
      </c>
      <c r="O75" s="167" t="str">
        <f>IFERROR(SUMIFS('caseload data'!Q:Q,'caseload data'!$C:$C,'divisional &amp; regional caseload%'!$B$71,'caseload data'!$D:$D,"TPO")/SUMIF('caseload data'!$C:$C,'divisional &amp; regional caseload%'!$B$71,'caseload data'!Q:Q),"")</f>
        <v/>
      </c>
      <c r="P75" s="167" t="str">
        <f>IFERROR(SUMIFS('caseload data'!R:R,'caseload data'!$C:$C,'divisional &amp; regional caseload%'!$B$71,'caseload data'!$D:$D,"TPO")/SUMIF('caseload data'!$C:$C,'divisional &amp; regional caseload%'!$B$71,'caseload data'!R:R),"")</f>
        <v/>
      </c>
      <c r="Q75" s="167" t="str">
        <f>IFERROR(SUMIFS('caseload data'!S:S,'caseload data'!$C:$C,'divisional &amp; regional caseload%'!$B$71,'caseload data'!$D:$D,"TPO")/SUMIF('caseload data'!$C:$C,'divisional &amp; regional caseload%'!$B$71,'caseload data'!S:S),"")</f>
        <v/>
      </c>
      <c r="R75" s="167" t="str">
        <f>IFERROR(SUMIFS('caseload data'!T:T,'caseload data'!$C:$C,'divisional &amp; regional caseload%'!$B$71,'caseload data'!$D:$D,"TPO")/SUMIF('caseload data'!$C:$C,'divisional &amp; regional caseload%'!$B$71,'caseload data'!T:T),"")</f>
        <v/>
      </c>
      <c r="T75" s="97" t="s">
        <v>953</v>
      </c>
      <c r="U75" s="167" t="str">
        <f>IFERROR(SUMIFS('caseload data'!E:E,'caseload data'!$C:$C,'divisional &amp; regional caseload%'!$T$71,'caseload data'!$D:$D,"TPO")/SUMIF('caseload data'!$C:$C,'divisional &amp; regional caseload%'!$T$71,'caseload data'!E:E),"")</f>
        <v/>
      </c>
      <c r="V75" s="167" t="str">
        <f>IFERROR(SUMIFS('caseload data'!F:F,'caseload data'!$C:$C,'divisional &amp; regional caseload%'!$T$71,'caseload data'!$D:$D,"TPO")/SUMIF('caseload data'!$C:$C,'divisional &amp; regional caseload%'!$T$71,'caseload data'!F:F),"")</f>
        <v/>
      </c>
      <c r="W75" s="167" t="str">
        <f>IFERROR(SUMIFS('caseload data'!G:G,'caseload data'!$C:$C,'divisional &amp; regional caseload%'!$T$71,'caseload data'!$D:$D,"TPO")/SUMIF('caseload data'!$C:$C,'divisional &amp; regional caseload%'!$T$71,'caseload data'!G:G),"")</f>
        <v/>
      </c>
      <c r="X75" s="167" t="str">
        <f>IFERROR(SUMIFS('caseload data'!H:H,'caseload data'!$C:$C,'divisional &amp; regional caseload%'!$T$71,'caseload data'!$D:$D,"TPO")/SUMIF('caseload data'!$C:$C,'divisional &amp; regional caseload%'!$T$71,'caseload data'!H:H),"")</f>
        <v/>
      </c>
      <c r="Y75" s="167" t="str">
        <f>IFERROR(SUMIFS('caseload data'!I:I,'caseload data'!$C:$C,'divisional &amp; regional caseload%'!$T$71,'caseload data'!$D:$D,"TPO")/SUMIF('caseload data'!$C:$C,'divisional &amp; regional caseload%'!$T$71,'caseload data'!I:I),"")</f>
        <v/>
      </c>
      <c r="Z75" s="167" t="str">
        <f>IFERROR(SUMIFS('caseload data'!J:J,'caseload data'!$C:$C,'divisional &amp; regional caseload%'!$T$71,'caseload data'!$D:$D,"TPO")/SUMIF('caseload data'!$C:$C,'divisional &amp; regional caseload%'!$T$71,'caseload data'!J:J),"")</f>
        <v/>
      </c>
      <c r="AA75" s="167" t="str">
        <f>IFERROR(SUMIFS('caseload data'!K:K,'caseload data'!$C:$C,'divisional &amp; regional caseload%'!$T$71,'caseload data'!$D:$D,"TPO")/SUMIF('caseload data'!$C:$C,'divisional &amp; regional caseload%'!$T$71,'caseload data'!K:K),"")</f>
        <v/>
      </c>
      <c r="AB75" s="167" t="str">
        <f>IFERROR(SUMIFS('caseload data'!L:L,'caseload data'!$C:$C,'divisional &amp; regional caseload%'!$T$71,'caseload data'!$D:$D,"TPO")/SUMIF('caseload data'!$C:$C,'divisional &amp; regional caseload%'!$T$71,'caseload data'!L:L),"")</f>
        <v/>
      </c>
      <c r="AC75" s="167" t="str">
        <f>IFERROR(SUMIFS('caseload data'!M:M,'caseload data'!$C:$C,'divisional &amp; regional caseload%'!$T$71,'caseload data'!$D:$D,"TPO")/SUMIF('caseload data'!$C:$C,'divisional &amp; regional caseload%'!$T$71,'caseload data'!M:M),"")</f>
        <v/>
      </c>
      <c r="AD75" s="167" t="str">
        <f>IFERROR(SUMIFS('caseload data'!N:N,'caseload data'!$C:$C,'divisional &amp; regional caseload%'!$T$71,'caseload data'!$D:$D,"TPO")/SUMIF('caseload data'!$C:$C,'divisional &amp; regional caseload%'!$T$71,'caseload data'!N:N),"")</f>
        <v/>
      </c>
      <c r="AE75" s="167" t="str">
        <f>IFERROR(SUMIFS('caseload data'!O:O,'caseload data'!$C:$C,'divisional &amp; regional caseload%'!$T$71,'caseload data'!$D:$D,"TPO")/SUMIF('caseload data'!$C:$C,'divisional &amp; regional caseload%'!$T$71,'caseload data'!O:O),"")</f>
        <v/>
      </c>
      <c r="AF75" s="167" t="str">
        <f>IFERROR(SUMIFS('caseload data'!P:P,'caseload data'!$C:$C,'divisional &amp; regional caseload%'!$T$71,'caseload data'!$D:$D,"TPO")/SUMIF('caseload data'!$C:$C,'divisional &amp; regional caseload%'!$T$71,'caseload data'!P:P),"")</f>
        <v/>
      </c>
      <c r="AG75" s="167" t="str">
        <f>IFERROR(SUMIFS('caseload data'!Q:Q,'caseload data'!$C:$C,'divisional &amp; regional caseload%'!$T$71,'caseload data'!$D:$D,"TPO")/SUMIF('caseload data'!$C:$C,'divisional &amp; regional caseload%'!$T$71,'caseload data'!Q:Q),"")</f>
        <v/>
      </c>
      <c r="AH75" s="167" t="str">
        <f>IFERROR(SUMIFS('caseload data'!R:R,'caseload data'!$C:$C,'divisional &amp; regional caseload%'!$T$71,'caseload data'!$D:$D,"TPO")/SUMIF('caseload data'!$C:$C,'divisional &amp; regional caseload%'!$T$71,'caseload data'!R:R),"")</f>
        <v/>
      </c>
      <c r="AI75" s="167" t="str">
        <f>IFERROR(SUMIFS('caseload data'!S:S,'caseload data'!$C:$C,'divisional &amp; regional caseload%'!$T$71,'caseload data'!$D:$D,"TPO")/SUMIF('caseload data'!$C:$C,'divisional &amp; regional caseload%'!$T$71,'caseload data'!S:S),"")</f>
        <v/>
      </c>
      <c r="AJ75" s="167" t="str">
        <f>IFERROR(SUMIFS('caseload data'!T:T,'caseload data'!$C:$C,'divisional &amp; regional caseload%'!$T$71,'caseload data'!$D:$D,"TPO")/SUMIF('caseload data'!$C:$C,'divisional &amp; regional caseload%'!$T$71,'caseload data'!T:T),"")</f>
        <v/>
      </c>
    </row>
    <row r="76" spans="2:36" x14ac:dyDescent="0.15">
      <c r="B76" s="98" t="s">
        <v>954</v>
      </c>
      <c r="C76" s="167" t="str">
        <f>IFERROR(SUMIFS('caseload data'!E:E,'caseload data'!$C:$C,'divisional &amp; regional caseload%'!$B$71,'caseload data'!$D:$D,"SPO")/SUMIF('caseload data'!$C:$C,'divisional &amp; regional caseload%'!$B$71,'caseload data'!E:E),"")</f>
        <v/>
      </c>
      <c r="D76" s="167" t="str">
        <f>IFERROR(SUMIFS('caseload data'!F:F,'caseload data'!$C:$C,'divisional &amp; regional caseload%'!$B$71,'caseload data'!$D:$D,"SPO")/SUMIF('caseload data'!$C:$C,'divisional &amp; regional caseload%'!$B$71,'caseload data'!F:F),"")</f>
        <v/>
      </c>
      <c r="E76" s="167" t="str">
        <f>IFERROR(SUMIFS('caseload data'!G:G,'caseload data'!$C:$C,'divisional &amp; regional caseload%'!$B$71,'caseload data'!$D:$D,"SPO")/SUMIF('caseload data'!$C:$C,'divisional &amp; regional caseload%'!$B$71,'caseload data'!G:G),"")</f>
        <v/>
      </c>
      <c r="F76" s="167" t="str">
        <f>IFERROR(SUMIFS('caseload data'!H:H,'caseload data'!$C:$C,'divisional &amp; regional caseload%'!$B$71,'caseload data'!$D:$D,"SPO")/SUMIF('caseload data'!$C:$C,'divisional &amp; regional caseload%'!$B$71,'caseload data'!H:H),"")</f>
        <v/>
      </c>
      <c r="G76" s="167" t="str">
        <f>IFERROR(SUMIFS('caseload data'!I:I,'caseload data'!$C:$C,'divisional &amp; regional caseload%'!$B$71,'caseload data'!$D:$D,"SPO")/SUMIF('caseload data'!$C:$C,'divisional &amp; regional caseload%'!$B$71,'caseload data'!I:I),"")</f>
        <v/>
      </c>
      <c r="H76" s="167" t="str">
        <f>IFERROR(SUMIFS('caseload data'!J:J,'caseload data'!$C:$C,'divisional &amp; regional caseload%'!$B$71,'caseload data'!$D:$D,"SPO")/SUMIF('caseload data'!$C:$C,'divisional &amp; regional caseload%'!$B$71,'caseload data'!J:J),"")</f>
        <v/>
      </c>
      <c r="I76" s="167" t="str">
        <f>IFERROR(SUMIFS('caseload data'!K:K,'caseload data'!$C:$C,'divisional &amp; regional caseload%'!$B$71,'caseload data'!$D:$D,"SPO")/SUMIF('caseload data'!$C:$C,'divisional &amp; regional caseload%'!$B$71,'caseload data'!K:K),"")</f>
        <v/>
      </c>
      <c r="J76" s="167" t="str">
        <f>IFERROR(SUMIFS('caseload data'!L:L,'caseload data'!$C:$C,'divisional &amp; regional caseload%'!$B$71,'caseload data'!$D:$D,"SPO")/SUMIF('caseload data'!$C:$C,'divisional &amp; regional caseload%'!$B$71,'caseload data'!L:L),"")</f>
        <v/>
      </c>
      <c r="K76" s="167" t="str">
        <f>IFERROR(SUMIFS('caseload data'!M:M,'caseload data'!$C:$C,'divisional &amp; regional caseload%'!$B$71,'caseload data'!$D:$D,"SPO")/SUMIF('caseload data'!$C:$C,'divisional &amp; regional caseload%'!$B$71,'caseload data'!M:M),"")</f>
        <v/>
      </c>
      <c r="L76" s="167" t="str">
        <f>IFERROR(SUMIFS('caseload data'!N:N,'caseload data'!$C:$C,'divisional &amp; regional caseload%'!$B$71,'caseload data'!$D:$D,"SPO")/SUMIF('caseload data'!$C:$C,'divisional &amp; regional caseload%'!$B$71,'caseload data'!N:N),"")</f>
        <v/>
      </c>
      <c r="M76" s="167" t="str">
        <f>IFERROR(SUMIFS('caseload data'!O:O,'caseload data'!$C:$C,'divisional &amp; regional caseload%'!$B$71,'caseload data'!$D:$D,"SPO")/SUMIF('caseload data'!$C:$C,'divisional &amp; regional caseload%'!$B$71,'caseload data'!O:O),"")</f>
        <v/>
      </c>
      <c r="N76" s="167" t="str">
        <f>IFERROR(SUMIFS('caseload data'!P:P,'caseload data'!$C:$C,'divisional &amp; regional caseload%'!$B$71,'caseload data'!$D:$D,"SPO")/SUMIF('caseload data'!$C:$C,'divisional &amp; regional caseload%'!$B$71,'caseload data'!P:P),"")</f>
        <v/>
      </c>
      <c r="O76" s="167" t="str">
        <f>IFERROR(SUMIFS('caseload data'!Q:Q,'caseload data'!$C:$C,'divisional &amp; regional caseload%'!$B$71,'caseload data'!$D:$D,"SPO")/SUMIF('caseload data'!$C:$C,'divisional &amp; regional caseload%'!$B$71,'caseload data'!Q:Q),"")</f>
        <v/>
      </c>
      <c r="P76" s="167" t="str">
        <f>IFERROR(SUMIFS('caseload data'!R:R,'caseload data'!$C:$C,'divisional &amp; regional caseload%'!$B$71,'caseload data'!$D:$D,"SPO")/SUMIF('caseload data'!$C:$C,'divisional &amp; regional caseload%'!$B$71,'caseload data'!R:R),"")</f>
        <v/>
      </c>
      <c r="Q76" s="167" t="str">
        <f>IFERROR(SUMIFS('caseload data'!S:S,'caseload data'!$C:$C,'divisional &amp; regional caseload%'!$B$71,'caseload data'!$D:$D,"SPO")/SUMIF('caseload data'!$C:$C,'divisional &amp; regional caseload%'!$B$71,'caseload data'!S:S),"")</f>
        <v/>
      </c>
      <c r="R76" s="167" t="str">
        <f>IFERROR(SUMIFS('caseload data'!T:T,'caseload data'!$C:$C,'divisional &amp; regional caseload%'!$B$71,'caseload data'!$D:$D,"SPO")/SUMIF('caseload data'!$C:$C,'divisional &amp; regional caseload%'!$B$71,'caseload data'!T:T),"")</f>
        <v/>
      </c>
      <c r="T76" s="98" t="s">
        <v>954</v>
      </c>
      <c r="U76" s="167" t="str">
        <f>IFERROR(SUMIFS('caseload data'!E:E,'caseload data'!$C:$C,'divisional &amp; regional caseload%'!$T$71,'caseload data'!$D:$D,"SPO")/SUMIF('caseload data'!$C:$C,'divisional &amp; regional caseload%'!$T$71,'caseload data'!E:E),"")</f>
        <v/>
      </c>
      <c r="V76" s="167" t="str">
        <f>IFERROR(SUMIFS('caseload data'!F:F,'caseload data'!$C:$C,'divisional &amp; regional caseload%'!$T$71,'caseload data'!$D:$D,"SPO")/SUMIF('caseload data'!$C:$C,'divisional &amp; regional caseload%'!$T$71,'caseload data'!F:F),"")</f>
        <v/>
      </c>
      <c r="W76" s="167" t="str">
        <f>IFERROR(SUMIFS('caseload data'!G:G,'caseload data'!$C:$C,'divisional &amp; regional caseload%'!$T$71,'caseload data'!$D:$D,"SPO")/SUMIF('caseload data'!$C:$C,'divisional &amp; regional caseload%'!$T$71,'caseload data'!G:G),"")</f>
        <v/>
      </c>
      <c r="X76" s="167" t="str">
        <f>IFERROR(SUMIFS('caseload data'!H:H,'caseload data'!$C:$C,'divisional &amp; regional caseload%'!$T$71,'caseload data'!$D:$D,"SPO")/SUMIF('caseload data'!$C:$C,'divisional &amp; regional caseload%'!$T$71,'caseload data'!H:H),"")</f>
        <v/>
      </c>
      <c r="Y76" s="167" t="str">
        <f>IFERROR(SUMIFS('caseload data'!I:I,'caseload data'!$C:$C,'divisional &amp; regional caseload%'!$T$71,'caseload data'!$D:$D,"SPO")/SUMIF('caseload data'!$C:$C,'divisional &amp; regional caseload%'!$T$71,'caseload data'!I:I),"")</f>
        <v/>
      </c>
      <c r="Z76" s="167" t="str">
        <f>IFERROR(SUMIFS('caseload data'!J:J,'caseload data'!$C:$C,'divisional &amp; regional caseload%'!$T$71,'caseload data'!$D:$D,"SPO")/SUMIF('caseload data'!$C:$C,'divisional &amp; regional caseload%'!$T$71,'caseload data'!J:J),"")</f>
        <v/>
      </c>
      <c r="AA76" s="167" t="str">
        <f>IFERROR(SUMIFS('caseload data'!K:K,'caseload data'!$C:$C,'divisional &amp; regional caseload%'!$T$71,'caseload data'!$D:$D,"SPO")/SUMIF('caseload data'!$C:$C,'divisional &amp; regional caseload%'!$T$71,'caseload data'!K:K),"")</f>
        <v/>
      </c>
      <c r="AB76" s="167" t="str">
        <f>IFERROR(SUMIFS('caseload data'!L:L,'caseload data'!$C:$C,'divisional &amp; regional caseload%'!$T$71,'caseload data'!$D:$D,"SPO")/SUMIF('caseload data'!$C:$C,'divisional &amp; regional caseload%'!$T$71,'caseload data'!L:L),"")</f>
        <v/>
      </c>
      <c r="AC76" s="167" t="str">
        <f>IFERROR(SUMIFS('caseload data'!M:M,'caseload data'!$C:$C,'divisional &amp; regional caseload%'!$T$71,'caseload data'!$D:$D,"SPO")/SUMIF('caseload data'!$C:$C,'divisional &amp; regional caseload%'!$T$71,'caseload data'!M:M),"")</f>
        <v/>
      </c>
      <c r="AD76" s="167" t="str">
        <f>IFERROR(SUMIFS('caseload data'!N:N,'caseload data'!$C:$C,'divisional &amp; regional caseload%'!$T$71,'caseload data'!$D:$D,"SPO")/SUMIF('caseload data'!$C:$C,'divisional &amp; regional caseload%'!$T$71,'caseload data'!N:N),"")</f>
        <v/>
      </c>
      <c r="AE76" s="167" t="str">
        <f>IFERROR(SUMIFS('caseload data'!O:O,'caseload data'!$C:$C,'divisional &amp; regional caseload%'!$T$71,'caseload data'!$D:$D,"SPO")/SUMIF('caseload data'!$C:$C,'divisional &amp; regional caseload%'!$T$71,'caseload data'!O:O),"")</f>
        <v/>
      </c>
      <c r="AF76" s="167" t="str">
        <f>IFERROR(SUMIFS('caseload data'!P:P,'caseload data'!$C:$C,'divisional &amp; regional caseload%'!$T$71,'caseload data'!$D:$D,"SPO")/SUMIF('caseload data'!$C:$C,'divisional &amp; regional caseload%'!$T$71,'caseload data'!P:P),"")</f>
        <v/>
      </c>
      <c r="AG76" s="167" t="str">
        <f>IFERROR(SUMIFS('caseload data'!Q:Q,'caseload data'!$C:$C,'divisional &amp; regional caseload%'!$T$71,'caseload data'!$D:$D,"SPO")/SUMIF('caseload data'!$C:$C,'divisional &amp; regional caseload%'!$T$71,'caseload data'!Q:Q),"")</f>
        <v/>
      </c>
      <c r="AH76" s="167" t="str">
        <f>IFERROR(SUMIFS('caseload data'!R:R,'caseload data'!$C:$C,'divisional &amp; regional caseload%'!$T$71,'caseload data'!$D:$D,"SPO")/SUMIF('caseload data'!$C:$C,'divisional &amp; regional caseload%'!$T$71,'caseload data'!R:R),"")</f>
        <v/>
      </c>
      <c r="AI76" s="167" t="str">
        <f>IFERROR(SUMIFS('caseload data'!S:S,'caseload data'!$C:$C,'divisional &amp; regional caseload%'!$T$71,'caseload data'!$D:$D,"SPO")/SUMIF('caseload data'!$C:$C,'divisional &amp; regional caseload%'!$T$71,'caseload data'!S:S),"")</f>
        <v/>
      </c>
      <c r="AJ76" s="167" t="str">
        <f>IFERROR(SUMIFS('caseload data'!T:T,'caseload data'!$C:$C,'divisional &amp; regional caseload%'!$T$71,'caseload data'!$D:$D,"SPO")/SUMIF('caseload data'!$C:$C,'divisional &amp; regional caseload%'!$T$71,'caseload data'!T:T),"")</f>
        <v/>
      </c>
    </row>
    <row r="78" spans="2:36" ht="24" customHeight="1" x14ac:dyDescent="0.15">
      <c r="B78" s="288">
        <f>HLOOKUP($B$5,Region_Table,22,0)</f>
        <v>0</v>
      </c>
      <c r="C78" s="556" t="s">
        <v>1043</v>
      </c>
      <c r="D78" s="557"/>
      <c r="E78" s="557"/>
      <c r="F78" s="557"/>
      <c r="G78" s="557"/>
      <c r="H78" s="557"/>
      <c r="I78" s="557"/>
      <c r="J78" s="557"/>
      <c r="K78" s="557"/>
      <c r="L78" s="557"/>
      <c r="M78" s="558"/>
      <c r="N78" s="558"/>
      <c r="O78" s="559"/>
      <c r="P78" s="543">
        <f>SUMIF('caseload data'!$C:$C,'divisional &amp; regional caseload%'!B78,'caseload data'!V:V)</f>
        <v>0</v>
      </c>
      <c r="Q78" s="560"/>
      <c r="R78" s="561"/>
      <c r="T78" s="288">
        <f>HLOOKUP($B$5,Region_Table,23,0)</f>
        <v>0</v>
      </c>
      <c r="U78" s="556" t="s">
        <v>1043</v>
      </c>
      <c r="V78" s="557"/>
      <c r="W78" s="557"/>
      <c r="X78" s="557"/>
      <c r="Y78" s="557"/>
      <c r="Z78" s="557"/>
      <c r="AA78" s="557"/>
      <c r="AB78" s="557"/>
      <c r="AC78" s="557"/>
      <c r="AD78" s="557"/>
      <c r="AE78" s="558"/>
      <c r="AF78" s="558"/>
      <c r="AG78" s="559"/>
      <c r="AH78" s="543">
        <f>SUMIF('caseload data'!$C:$C,'divisional &amp; regional caseload%'!T78,'caseload data'!V:V)</f>
        <v>0</v>
      </c>
      <c r="AI78" s="560"/>
      <c r="AJ78" s="561"/>
    </row>
    <row r="79" spans="2:36" x14ac:dyDescent="0.15">
      <c r="B79" s="95" t="s">
        <v>951</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951</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167" t="str">
        <f>IFERROR(SUMIFS('caseload data'!E:E,'caseload data'!$C:$C,'divisional &amp; regional caseload%'!$B$78,'caseload data'!$D:$D,"PO")/SUMIF('caseload data'!$C:$C,'divisional &amp; regional caseload%'!$B$78,'caseload data'!E:E),"")</f>
        <v/>
      </c>
      <c r="D80" s="167" t="str">
        <f>IFERROR(SUMIFS('caseload data'!F:F,'caseload data'!$C:$C,'divisional &amp; regional caseload%'!$B$78,'caseload data'!$D:$D,"PO")/SUMIF('caseload data'!$C:$C,'divisional &amp; regional caseload%'!$B$78,'caseload data'!F:F),"")</f>
        <v/>
      </c>
      <c r="E80" s="167" t="str">
        <f>IFERROR(SUMIFS('caseload data'!G:G,'caseload data'!$C:$C,'divisional &amp; regional caseload%'!$B$78,'caseload data'!$D:$D,"PO")/SUMIF('caseload data'!$C:$C,'divisional &amp; regional caseload%'!$B$78,'caseload data'!G:G),"")</f>
        <v/>
      </c>
      <c r="F80" s="167" t="str">
        <f>IFERROR(SUMIFS('caseload data'!H:H,'caseload data'!$C:$C,'divisional &amp; regional caseload%'!$B$78,'caseload data'!$D:$D,"PO")/SUMIF('caseload data'!$C:$C,'divisional &amp; regional caseload%'!$B$78,'caseload data'!H:H),"")</f>
        <v/>
      </c>
      <c r="G80" s="167" t="str">
        <f>IFERROR(SUMIFS('caseload data'!I:I,'caseload data'!$C:$C,'divisional &amp; regional caseload%'!$B$78,'caseload data'!$D:$D,"PO")/SUMIF('caseload data'!$C:$C,'divisional &amp; regional caseload%'!$B$78,'caseload data'!I:I),"")</f>
        <v/>
      </c>
      <c r="H80" s="167" t="str">
        <f>IFERROR(SUMIFS('caseload data'!J:J,'caseload data'!$C:$C,'divisional &amp; regional caseload%'!$B$78,'caseload data'!$D:$D,"PO")/SUMIF('caseload data'!$C:$C,'divisional &amp; regional caseload%'!$B$78,'caseload data'!J:J),"")</f>
        <v/>
      </c>
      <c r="I80" s="167" t="str">
        <f>IFERROR(SUMIFS('caseload data'!K:K,'caseload data'!$C:$C,'divisional &amp; regional caseload%'!$B$78,'caseload data'!$D:$D,"PO")/SUMIF('caseload data'!$C:$C,'divisional &amp; regional caseload%'!$B$78,'caseload data'!K:K),"")</f>
        <v/>
      </c>
      <c r="J80" s="167" t="str">
        <f>IFERROR(SUMIFS('caseload data'!L:L,'caseload data'!$C:$C,'divisional &amp; regional caseload%'!$B$78,'caseload data'!$D:$D,"PO")/SUMIF('caseload data'!$C:$C,'divisional &amp; regional caseload%'!$B$78,'caseload data'!L:L),"")</f>
        <v/>
      </c>
      <c r="K80" s="167" t="str">
        <f>IFERROR(SUMIFS('caseload data'!M:M,'caseload data'!$C:$C,'divisional &amp; regional caseload%'!$B$78,'caseload data'!$D:$D,"PO")/SUMIF('caseload data'!$C:$C,'divisional &amp; regional caseload%'!$B$78,'caseload data'!M:M),"")</f>
        <v/>
      </c>
      <c r="L80" s="167" t="str">
        <f>IFERROR(SUMIFS('caseload data'!N:N,'caseload data'!$C:$C,'divisional &amp; regional caseload%'!$B$78,'caseload data'!$D:$D,"PO")/SUMIF('caseload data'!$C:$C,'divisional &amp; regional caseload%'!$B$78,'caseload data'!N:N),"")</f>
        <v/>
      </c>
      <c r="M80" s="167" t="str">
        <f>IFERROR(SUMIFS('caseload data'!O:O,'caseload data'!$C:$C,'divisional &amp; regional caseload%'!$B$78,'caseload data'!$D:$D,"PO")/SUMIF('caseload data'!$C:$C,'divisional &amp; regional caseload%'!$B$78,'caseload data'!O:O),"")</f>
        <v/>
      </c>
      <c r="N80" s="167" t="str">
        <f>IFERROR(SUMIFS('caseload data'!P:P,'caseload data'!$C:$C,'divisional &amp; regional caseload%'!$B$78,'caseload data'!$D:$D,"PO")/SUMIF('caseload data'!$C:$C,'divisional &amp; regional caseload%'!$B$78,'caseload data'!P:P),"")</f>
        <v/>
      </c>
      <c r="O80" s="167" t="str">
        <f>IFERROR(SUMIFS('caseload data'!Q:Q,'caseload data'!$C:$C,'divisional &amp; regional caseload%'!$B$78,'caseload data'!$D:$D,"PO")/SUMIF('caseload data'!$C:$C,'divisional &amp; regional caseload%'!$B$78,'caseload data'!Q:Q),"")</f>
        <v/>
      </c>
      <c r="P80" s="167" t="str">
        <f>IFERROR(SUMIFS('caseload data'!R:R,'caseload data'!$C:$C,'divisional &amp; regional caseload%'!$B$78,'caseload data'!$D:$D,"PO")/SUMIF('caseload data'!$C:$C,'divisional &amp; regional caseload%'!$B$78,'caseload data'!R:R),"")</f>
        <v/>
      </c>
      <c r="Q80" s="167" t="str">
        <f>IFERROR(SUMIFS('caseload data'!S:S,'caseload data'!$C:$C,'divisional &amp; regional caseload%'!$B$78,'caseload data'!$D:$D,"PO")/SUMIF('caseload data'!$C:$C,'divisional &amp; regional caseload%'!$B$78,'caseload data'!S:S),"")</f>
        <v/>
      </c>
      <c r="R80" s="167" t="str">
        <f>IFERROR(SUMIFS('caseload data'!T:T,'caseload data'!$C:$C,'divisional &amp; regional caseload%'!$B$78,'caseload data'!$D:$D,"PO")/SUMIF('caseload data'!$C:$C,'divisional &amp; regional caseload%'!$B$78,'caseload data'!T:T),"")</f>
        <v/>
      </c>
      <c r="T80" s="96" t="s">
        <v>947</v>
      </c>
      <c r="U80" s="167" t="str">
        <f>IFERROR(SUMIFS('caseload data'!E:E,'caseload data'!$C:$C,'divisional &amp; regional caseload%'!$T$78,'caseload data'!$D:$D,"PO")/SUMIF('caseload data'!$C:$C,'divisional &amp; regional caseload%'!$T$78,'caseload data'!E:E),"")</f>
        <v/>
      </c>
      <c r="V80" s="167" t="str">
        <f>IFERROR(SUMIFS('caseload data'!F:F,'caseload data'!$C:$C,'divisional &amp; regional caseload%'!$T$78,'caseload data'!$D:$D,"PO")/SUMIF('caseload data'!$C:$C,'divisional &amp; regional caseload%'!$T$78,'caseload data'!F:F),"")</f>
        <v/>
      </c>
      <c r="W80" s="167" t="str">
        <f>IFERROR(SUMIFS('caseload data'!G:G,'caseload data'!$C:$C,'divisional &amp; regional caseload%'!$T$78,'caseload data'!$D:$D,"PO")/SUMIF('caseload data'!$C:$C,'divisional &amp; regional caseload%'!$T$78,'caseload data'!G:G),"")</f>
        <v/>
      </c>
      <c r="X80" s="167" t="str">
        <f>IFERROR(SUMIFS('caseload data'!H:H,'caseload data'!$C:$C,'divisional &amp; regional caseload%'!$T$78,'caseload data'!$D:$D,"PO")/SUMIF('caseload data'!$C:$C,'divisional &amp; regional caseload%'!$T$78,'caseload data'!H:H),"")</f>
        <v/>
      </c>
      <c r="Y80" s="167" t="str">
        <f>IFERROR(SUMIFS('caseload data'!I:I,'caseload data'!$C:$C,'divisional &amp; regional caseload%'!$T$78,'caseload data'!$D:$D,"PO")/SUMIF('caseload data'!$C:$C,'divisional &amp; regional caseload%'!$T$78,'caseload data'!I:I),"")</f>
        <v/>
      </c>
      <c r="Z80" s="167" t="str">
        <f>IFERROR(SUMIFS('caseload data'!J:J,'caseload data'!$C:$C,'divisional &amp; regional caseload%'!$T$78,'caseload data'!$D:$D,"PO")/SUMIF('caseload data'!$C:$C,'divisional &amp; regional caseload%'!$T$78,'caseload data'!J:J),"")</f>
        <v/>
      </c>
      <c r="AA80" s="167" t="str">
        <f>IFERROR(SUMIFS('caseload data'!K:K,'caseload data'!$C:$C,'divisional &amp; regional caseload%'!$T$78,'caseload data'!$D:$D,"PO")/SUMIF('caseload data'!$C:$C,'divisional &amp; regional caseload%'!$T$78,'caseload data'!K:K),"")</f>
        <v/>
      </c>
      <c r="AB80" s="167" t="str">
        <f>IFERROR(SUMIFS('caseload data'!L:L,'caseload data'!$C:$C,'divisional &amp; regional caseload%'!$T$78,'caseload data'!$D:$D,"PO")/SUMIF('caseload data'!$C:$C,'divisional &amp; regional caseload%'!$T$78,'caseload data'!L:L),"")</f>
        <v/>
      </c>
      <c r="AC80" s="167" t="str">
        <f>IFERROR(SUMIFS('caseload data'!M:M,'caseload data'!$C:$C,'divisional &amp; regional caseload%'!$T$78,'caseload data'!$D:$D,"PO")/SUMIF('caseload data'!$C:$C,'divisional &amp; regional caseload%'!$T$78,'caseload data'!M:M),"")</f>
        <v/>
      </c>
      <c r="AD80" s="167" t="str">
        <f>IFERROR(SUMIFS('caseload data'!N:N,'caseload data'!$C:$C,'divisional &amp; regional caseload%'!$T$78,'caseload data'!$D:$D,"PO")/SUMIF('caseload data'!$C:$C,'divisional &amp; regional caseload%'!$T$78,'caseload data'!N:N),"")</f>
        <v/>
      </c>
      <c r="AE80" s="167" t="str">
        <f>IFERROR(SUMIFS('caseload data'!O:O,'caseload data'!$C:$C,'divisional &amp; regional caseload%'!$T$78,'caseload data'!$D:$D,"PO")/SUMIF('caseload data'!$C:$C,'divisional &amp; regional caseload%'!$T$78,'caseload data'!O:O),"")</f>
        <v/>
      </c>
      <c r="AF80" s="167" t="str">
        <f>IFERROR(SUMIFS('caseload data'!P:P,'caseload data'!$C:$C,'divisional &amp; regional caseload%'!$T$78,'caseload data'!$D:$D,"PO")/SUMIF('caseload data'!$C:$C,'divisional &amp; regional caseload%'!$T$78,'caseload data'!P:P),"")</f>
        <v/>
      </c>
      <c r="AG80" s="167" t="str">
        <f>IFERROR(SUMIFS('caseload data'!Q:Q,'caseload data'!$C:$C,'divisional &amp; regional caseload%'!$T$78,'caseload data'!$D:$D,"PO")/SUMIF('caseload data'!$C:$C,'divisional &amp; regional caseload%'!$T$78,'caseload data'!Q:Q),"")</f>
        <v/>
      </c>
      <c r="AH80" s="167" t="str">
        <f>IFERROR(SUMIFS('caseload data'!R:R,'caseload data'!$C:$C,'divisional &amp; regional caseload%'!$T$78,'caseload data'!$D:$D,"PO")/SUMIF('caseload data'!$C:$C,'divisional &amp; regional caseload%'!$T$78,'caseload data'!R:R),"")</f>
        <v/>
      </c>
      <c r="AI80" s="167" t="str">
        <f>IFERROR(SUMIFS('caseload data'!S:S,'caseload data'!$C:$C,'divisional &amp; regional caseload%'!$T$78,'caseload data'!$D:$D,"PO")/SUMIF('caseload data'!$C:$C,'divisional &amp; regional caseload%'!$T$78,'caseload data'!S:S),"")</f>
        <v/>
      </c>
      <c r="AJ80" s="167" t="str">
        <f>IFERROR(SUMIFS('caseload data'!T:T,'caseload data'!$C:$C,'divisional &amp; regional caseload%'!$T$78,'caseload data'!$D:$D,"PO")/SUMIF('caseload data'!$C:$C,'divisional &amp; regional caseload%'!$T$78,'caseload data'!T:T),"")</f>
        <v/>
      </c>
    </row>
    <row r="81" spans="2:36" x14ac:dyDescent="0.15">
      <c r="B81" s="97" t="s">
        <v>952</v>
      </c>
      <c r="C81" s="167" t="str">
        <f>IFERROR(SUMIFS('caseload data'!E:E,'caseload data'!$C:$C,'divisional &amp; regional caseload%'!$B$78,'caseload data'!$D:$D,"PSO")/SUMIF('caseload data'!$C:$C,'divisional &amp; regional caseload%'!$B$78,'caseload data'!E:E),"")</f>
        <v/>
      </c>
      <c r="D81" s="167" t="str">
        <f>IFERROR(SUMIFS('caseload data'!F:F,'caseload data'!$C:$C,'divisional &amp; regional caseload%'!$B$78,'caseload data'!$D:$D,"PSO")/SUMIF('caseload data'!$C:$C,'divisional &amp; regional caseload%'!$B$78,'caseload data'!F:F),"")</f>
        <v/>
      </c>
      <c r="E81" s="167" t="str">
        <f>IFERROR(SUMIFS('caseload data'!G:G,'caseload data'!$C:$C,'divisional &amp; regional caseload%'!$B$78,'caseload data'!$D:$D,"PSO")/SUMIF('caseload data'!$C:$C,'divisional &amp; regional caseload%'!$B$78,'caseload data'!G:G),"")</f>
        <v/>
      </c>
      <c r="F81" s="167" t="str">
        <f>IFERROR(SUMIFS('caseload data'!H:H,'caseload data'!$C:$C,'divisional &amp; regional caseload%'!$B$78,'caseload data'!$D:$D,"PSO")/SUMIF('caseload data'!$C:$C,'divisional &amp; regional caseload%'!$B$78,'caseload data'!H:H),"")</f>
        <v/>
      </c>
      <c r="G81" s="167" t="str">
        <f>IFERROR(SUMIFS('caseload data'!I:I,'caseload data'!$C:$C,'divisional &amp; regional caseload%'!$B$78,'caseload data'!$D:$D,"PSO")/SUMIF('caseload data'!$C:$C,'divisional &amp; regional caseload%'!$B$78,'caseload data'!I:I),"")</f>
        <v/>
      </c>
      <c r="H81" s="167" t="str">
        <f>IFERROR(SUMIFS('caseload data'!J:J,'caseload data'!$C:$C,'divisional &amp; regional caseload%'!$B$78,'caseload data'!$D:$D,"PSO")/SUMIF('caseload data'!$C:$C,'divisional &amp; regional caseload%'!$B$78,'caseload data'!J:J),"")</f>
        <v/>
      </c>
      <c r="I81" s="167" t="str">
        <f>IFERROR(SUMIFS('caseload data'!K:K,'caseload data'!$C:$C,'divisional &amp; regional caseload%'!$B$78,'caseload data'!$D:$D,"PSO")/SUMIF('caseload data'!$C:$C,'divisional &amp; regional caseload%'!$B$78,'caseload data'!K:K),"")</f>
        <v/>
      </c>
      <c r="J81" s="167" t="str">
        <f>IFERROR(SUMIFS('caseload data'!L:L,'caseload data'!$C:$C,'divisional &amp; regional caseload%'!$B$78,'caseload data'!$D:$D,"PSO")/SUMIF('caseload data'!$C:$C,'divisional &amp; regional caseload%'!$B$78,'caseload data'!L:L),"")</f>
        <v/>
      </c>
      <c r="K81" s="167" t="str">
        <f>IFERROR(SUMIFS('caseload data'!M:M,'caseload data'!$C:$C,'divisional &amp; regional caseload%'!$B$78,'caseload data'!$D:$D,"PSO")/SUMIF('caseload data'!$C:$C,'divisional &amp; regional caseload%'!$B$78,'caseload data'!M:M),"")</f>
        <v/>
      </c>
      <c r="L81" s="167" t="str">
        <f>IFERROR(SUMIFS('caseload data'!N:N,'caseload data'!$C:$C,'divisional &amp; regional caseload%'!$B$78,'caseload data'!$D:$D,"PSO")/SUMIF('caseload data'!$C:$C,'divisional &amp; regional caseload%'!$B$78,'caseload data'!N:N),"")</f>
        <v/>
      </c>
      <c r="M81" s="167" t="str">
        <f>IFERROR(SUMIFS('caseload data'!O:O,'caseload data'!$C:$C,'divisional &amp; regional caseload%'!$B$78,'caseload data'!$D:$D,"PSO")/SUMIF('caseload data'!$C:$C,'divisional &amp; regional caseload%'!$B$78,'caseload data'!O:O),"")</f>
        <v/>
      </c>
      <c r="N81" s="167" t="str">
        <f>IFERROR(SUMIFS('caseload data'!P:P,'caseload data'!$C:$C,'divisional &amp; regional caseload%'!$B$78,'caseload data'!$D:$D,"PSO")/SUMIF('caseload data'!$C:$C,'divisional &amp; regional caseload%'!$B$78,'caseload data'!P:P),"")</f>
        <v/>
      </c>
      <c r="O81" s="167" t="str">
        <f>IFERROR(SUMIFS('caseload data'!Q:Q,'caseload data'!$C:$C,'divisional &amp; regional caseload%'!$B$78,'caseload data'!$D:$D,"PSO")/SUMIF('caseload data'!$C:$C,'divisional &amp; regional caseload%'!$B$78,'caseload data'!Q:Q),"")</f>
        <v/>
      </c>
      <c r="P81" s="167" t="str">
        <f>IFERROR(SUMIFS('caseload data'!R:R,'caseload data'!$C:$C,'divisional &amp; regional caseload%'!$B$78,'caseload data'!$D:$D,"PSO")/SUMIF('caseload data'!$C:$C,'divisional &amp; regional caseload%'!$B$78,'caseload data'!R:R),"")</f>
        <v/>
      </c>
      <c r="Q81" s="167" t="str">
        <f>IFERROR(SUMIFS('caseload data'!S:S,'caseload data'!$C:$C,'divisional &amp; regional caseload%'!$B$78,'caseload data'!$D:$D,"PSO")/SUMIF('caseload data'!$C:$C,'divisional &amp; regional caseload%'!$B$78,'caseload data'!S:S),"")</f>
        <v/>
      </c>
      <c r="R81" s="167" t="str">
        <f>IFERROR(SUMIFS('caseload data'!T:T,'caseload data'!$C:$C,'divisional &amp; regional caseload%'!$B$78,'caseload data'!$D:$D,"PSO")/SUMIF('caseload data'!$C:$C,'divisional &amp; regional caseload%'!$B$78,'caseload data'!T:T),"")</f>
        <v/>
      </c>
      <c r="T81" s="97" t="s">
        <v>952</v>
      </c>
      <c r="U81" s="167" t="str">
        <f>IFERROR(SUMIFS('caseload data'!E:E,'caseload data'!$C:$C,'divisional &amp; regional caseload%'!$T$78,'caseload data'!$D:$D,"PSO")/SUMIF('caseload data'!$C:$C,'divisional &amp; regional caseload%'!$T$78,'caseload data'!E:E),"")</f>
        <v/>
      </c>
      <c r="V81" s="167" t="str">
        <f>IFERROR(SUMIFS('caseload data'!F:F,'caseload data'!$C:$C,'divisional &amp; regional caseload%'!$T$78,'caseload data'!$D:$D,"PSO")/SUMIF('caseload data'!$C:$C,'divisional &amp; regional caseload%'!$T$78,'caseload data'!F:F),"")</f>
        <v/>
      </c>
      <c r="W81" s="167" t="str">
        <f>IFERROR(SUMIFS('caseload data'!G:G,'caseload data'!$C:$C,'divisional &amp; regional caseload%'!$T$78,'caseload data'!$D:$D,"PSO")/SUMIF('caseload data'!$C:$C,'divisional &amp; regional caseload%'!$T$78,'caseload data'!G:G),"")</f>
        <v/>
      </c>
      <c r="X81" s="167" t="str">
        <f>IFERROR(SUMIFS('caseload data'!H:H,'caseload data'!$C:$C,'divisional &amp; regional caseload%'!$T$78,'caseload data'!$D:$D,"PSO")/SUMIF('caseload data'!$C:$C,'divisional &amp; regional caseload%'!$T$78,'caseload data'!H:H),"")</f>
        <v/>
      </c>
      <c r="Y81" s="167" t="str">
        <f>IFERROR(SUMIFS('caseload data'!I:I,'caseload data'!$C:$C,'divisional &amp; regional caseload%'!$T$78,'caseload data'!$D:$D,"PSO")/SUMIF('caseload data'!$C:$C,'divisional &amp; regional caseload%'!$T$78,'caseload data'!I:I),"")</f>
        <v/>
      </c>
      <c r="Z81" s="167" t="str">
        <f>IFERROR(SUMIFS('caseload data'!J:J,'caseload data'!$C:$C,'divisional &amp; regional caseload%'!$T$78,'caseload data'!$D:$D,"PSO")/SUMIF('caseload data'!$C:$C,'divisional &amp; regional caseload%'!$T$78,'caseload data'!J:J),"")</f>
        <v/>
      </c>
      <c r="AA81" s="167" t="str">
        <f>IFERROR(SUMIFS('caseload data'!K:K,'caseload data'!$C:$C,'divisional &amp; regional caseload%'!$T$78,'caseload data'!$D:$D,"PSO")/SUMIF('caseload data'!$C:$C,'divisional &amp; regional caseload%'!$T$78,'caseload data'!K:K),"")</f>
        <v/>
      </c>
      <c r="AB81" s="167" t="str">
        <f>IFERROR(SUMIFS('caseload data'!L:L,'caseload data'!$C:$C,'divisional &amp; regional caseload%'!$T$78,'caseload data'!$D:$D,"PSO")/SUMIF('caseload data'!$C:$C,'divisional &amp; regional caseload%'!$T$78,'caseload data'!L:L),"")</f>
        <v/>
      </c>
      <c r="AC81" s="167" t="str">
        <f>IFERROR(SUMIFS('caseload data'!M:M,'caseload data'!$C:$C,'divisional &amp; regional caseload%'!$T$78,'caseload data'!$D:$D,"PSO")/SUMIF('caseload data'!$C:$C,'divisional &amp; regional caseload%'!$T$78,'caseload data'!M:M),"")</f>
        <v/>
      </c>
      <c r="AD81" s="167" t="str">
        <f>IFERROR(SUMIFS('caseload data'!N:N,'caseload data'!$C:$C,'divisional &amp; regional caseload%'!$T$78,'caseload data'!$D:$D,"PSO")/SUMIF('caseload data'!$C:$C,'divisional &amp; regional caseload%'!$T$78,'caseload data'!N:N),"")</f>
        <v/>
      </c>
      <c r="AE81" s="167" t="str">
        <f>IFERROR(SUMIFS('caseload data'!O:O,'caseload data'!$C:$C,'divisional &amp; regional caseload%'!$T$78,'caseload data'!$D:$D,"PSO")/SUMIF('caseload data'!$C:$C,'divisional &amp; regional caseload%'!$T$78,'caseload data'!O:O),"")</f>
        <v/>
      </c>
      <c r="AF81" s="167" t="str">
        <f>IFERROR(SUMIFS('caseload data'!P:P,'caseload data'!$C:$C,'divisional &amp; regional caseload%'!$T$78,'caseload data'!$D:$D,"PSO")/SUMIF('caseload data'!$C:$C,'divisional &amp; regional caseload%'!$T$78,'caseload data'!P:P),"")</f>
        <v/>
      </c>
      <c r="AG81" s="167" t="str">
        <f>IFERROR(SUMIFS('caseload data'!Q:Q,'caseload data'!$C:$C,'divisional &amp; regional caseload%'!$T$78,'caseload data'!$D:$D,"PSO")/SUMIF('caseload data'!$C:$C,'divisional &amp; regional caseload%'!$T$78,'caseload data'!Q:Q),"")</f>
        <v/>
      </c>
      <c r="AH81" s="167" t="str">
        <f>IFERROR(SUMIFS('caseload data'!R:R,'caseload data'!$C:$C,'divisional &amp; regional caseload%'!$T$78,'caseload data'!$D:$D,"PSO")/SUMIF('caseload data'!$C:$C,'divisional &amp; regional caseload%'!$T$78,'caseload data'!R:R),"")</f>
        <v/>
      </c>
      <c r="AI81" s="167" t="str">
        <f>IFERROR(SUMIFS('caseload data'!S:S,'caseload data'!$C:$C,'divisional &amp; regional caseload%'!$T$78,'caseload data'!$D:$D,"PSO")/SUMIF('caseload data'!$C:$C,'divisional &amp; regional caseload%'!$T$78,'caseload data'!S:S),"")</f>
        <v/>
      </c>
      <c r="AJ81" s="167" t="str">
        <f>IFERROR(SUMIFS('caseload data'!T:T,'caseload data'!$C:$C,'divisional &amp; regional caseload%'!$T$78,'caseload data'!$D:$D,"PSO")/SUMIF('caseload data'!$C:$C,'divisional &amp; regional caseload%'!$T$78,'caseload data'!T:T),"")</f>
        <v/>
      </c>
    </row>
    <row r="82" spans="2:36" x14ac:dyDescent="0.15">
      <c r="B82" s="97" t="s">
        <v>953</v>
      </c>
      <c r="C82" s="167" t="str">
        <f>IFERROR(SUMIFS('caseload data'!E:E,'caseload data'!$C:$C,'divisional &amp; regional caseload%'!$B$78,'caseload data'!$D:$D,"TPO")/SUMIF('caseload data'!$C:$C,'divisional &amp; regional caseload%'!$B$78,'caseload data'!E:E),"")</f>
        <v/>
      </c>
      <c r="D82" s="167" t="str">
        <f>IFERROR(SUMIFS('caseload data'!F:F,'caseload data'!$C:$C,'divisional &amp; regional caseload%'!$B$78,'caseload data'!$D:$D,"TPO")/SUMIF('caseload data'!$C:$C,'divisional &amp; regional caseload%'!$B$78,'caseload data'!F:F),"")</f>
        <v/>
      </c>
      <c r="E82" s="167" t="str">
        <f>IFERROR(SUMIFS('caseload data'!G:G,'caseload data'!$C:$C,'divisional &amp; regional caseload%'!$B$78,'caseload data'!$D:$D,"TPO")/SUMIF('caseload data'!$C:$C,'divisional &amp; regional caseload%'!$B$78,'caseload data'!G:G),"")</f>
        <v/>
      </c>
      <c r="F82" s="167" t="str">
        <f>IFERROR(SUMIFS('caseload data'!H:H,'caseload data'!$C:$C,'divisional &amp; regional caseload%'!$B$78,'caseload data'!$D:$D,"TPO")/SUMIF('caseload data'!$C:$C,'divisional &amp; regional caseload%'!$B$78,'caseload data'!H:H),"")</f>
        <v/>
      </c>
      <c r="G82" s="167" t="str">
        <f>IFERROR(SUMIFS('caseload data'!I:I,'caseload data'!$C:$C,'divisional &amp; regional caseload%'!$B$78,'caseload data'!$D:$D,"TPO")/SUMIF('caseload data'!$C:$C,'divisional &amp; regional caseload%'!$B$78,'caseload data'!I:I),"")</f>
        <v/>
      </c>
      <c r="H82" s="167" t="str">
        <f>IFERROR(SUMIFS('caseload data'!J:J,'caseload data'!$C:$C,'divisional &amp; regional caseload%'!$B$78,'caseload data'!$D:$D,"TPO")/SUMIF('caseload data'!$C:$C,'divisional &amp; regional caseload%'!$B$78,'caseload data'!J:J),"")</f>
        <v/>
      </c>
      <c r="I82" s="167" t="str">
        <f>IFERROR(SUMIFS('caseload data'!K:K,'caseload data'!$C:$C,'divisional &amp; regional caseload%'!$B$78,'caseload data'!$D:$D,"TPO")/SUMIF('caseload data'!$C:$C,'divisional &amp; regional caseload%'!$B$78,'caseload data'!K:K),"")</f>
        <v/>
      </c>
      <c r="J82" s="167" t="str">
        <f>IFERROR(SUMIFS('caseload data'!L:L,'caseload data'!$C:$C,'divisional &amp; regional caseload%'!$B$78,'caseload data'!$D:$D,"TPO")/SUMIF('caseload data'!$C:$C,'divisional &amp; regional caseload%'!$B$78,'caseload data'!L:L),"")</f>
        <v/>
      </c>
      <c r="K82" s="167" t="str">
        <f>IFERROR(SUMIFS('caseload data'!M:M,'caseload data'!$C:$C,'divisional &amp; regional caseload%'!$B$78,'caseload data'!$D:$D,"TPO")/SUMIF('caseload data'!$C:$C,'divisional &amp; regional caseload%'!$B$78,'caseload data'!M:M),"")</f>
        <v/>
      </c>
      <c r="L82" s="167" t="str">
        <f>IFERROR(SUMIFS('caseload data'!N:N,'caseload data'!$C:$C,'divisional &amp; regional caseload%'!$B$78,'caseload data'!$D:$D,"TPO")/SUMIF('caseload data'!$C:$C,'divisional &amp; regional caseload%'!$B$78,'caseload data'!N:N),"")</f>
        <v/>
      </c>
      <c r="M82" s="167" t="str">
        <f>IFERROR(SUMIFS('caseload data'!O:O,'caseload data'!$C:$C,'divisional &amp; regional caseload%'!$B$78,'caseload data'!$D:$D,"TPO")/SUMIF('caseload data'!$C:$C,'divisional &amp; regional caseload%'!$B$78,'caseload data'!O:O),"")</f>
        <v/>
      </c>
      <c r="N82" s="167" t="str">
        <f>IFERROR(SUMIFS('caseload data'!P:P,'caseload data'!$C:$C,'divisional &amp; regional caseload%'!$B$78,'caseload data'!$D:$D,"TPO")/SUMIF('caseload data'!$C:$C,'divisional &amp; regional caseload%'!$B$78,'caseload data'!P:P),"")</f>
        <v/>
      </c>
      <c r="O82" s="167" t="str">
        <f>IFERROR(SUMIFS('caseload data'!Q:Q,'caseload data'!$C:$C,'divisional &amp; regional caseload%'!$B$78,'caseload data'!$D:$D,"TPO")/SUMIF('caseload data'!$C:$C,'divisional &amp; regional caseload%'!$B$78,'caseload data'!Q:Q),"")</f>
        <v/>
      </c>
      <c r="P82" s="167" t="str">
        <f>IFERROR(SUMIFS('caseload data'!R:R,'caseload data'!$C:$C,'divisional &amp; regional caseload%'!$B$78,'caseload data'!$D:$D,"TPO")/SUMIF('caseload data'!$C:$C,'divisional &amp; regional caseload%'!$B$78,'caseload data'!R:R),"")</f>
        <v/>
      </c>
      <c r="Q82" s="167" t="str">
        <f>IFERROR(SUMIFS('caseload data'!S:S,'caseload data'!$C:$C,'divisional &amp; regional caseload%'!$B$78,'caseload data'!$D:$D,"TPO")/SUMIF('caseload data'!$C:$C,'divisional &amp; regional caseload%'!$B$78,'caseload data'!S:S),"")</f>
        <v/>
      </c>
      <c r="R82" s="167" t="str">
        <f>IFERROR(SUMIFS('caseload data'!T:T,'caseload data'!$C:$C,'divisional &amp; regional caseload%'!$B$78,'caseload data'!$D:$D,"TPO")/SUMIF('caseload data'!$C:$C,'divisional &amp; regional caseload%'!$B$78,'caseload data'!T:T),"")</f>
        <v/>
      </c>
      <c r="T82" s="97" t="s">
        <v>953</v>
      </c>
      <c r="U82" s="167" t="str">
        <f>IFERROR(SUMIFS('caseload data'!E:E,'caseload data'!$C:$C,'divisional &amp; regional caseload%'!$T$78,'caseload data'!$D:$D,"TPO")/SUMIF('caseload data'!$C:$C,'divisional &amp; regional caseload%'!$T$78,'caseload data'!E:E),"")</f>
        <v/>
      </c>
      <c r="V82" s="167" t="str">
        <f>IFERROR(SUMIFS('caseload data'!F:F,'caseload data'!$C:$C,'divisional &amp; regional caseload%'!$T$78,'caseload data'!$D:$D,"TPO")/SUMIF('caseload data'!$C:$C,'divisional &amp; regional caseload%'!$T$78,'caseload data'!F:F),"")</f>
        <v/>
      </c>
      <c r="W82" s="167" t="str">
        <f>IFERROR(SUMIFS('caseload data'!G:G,'caseload data'!$C:$C,'divisional &amp; regional caseload%'!$T$78,'caseload data'!$D:$D,"TPO")/SUMIF('caseload data'!$C:$C,'divisional &amp; regional caseload%'!$T$78,'caseload data'!G:G),"")</f>
        <v/>
      </c>
      <c r="X82" s="167" t="str">
        <f>IFERROR(SUMIFS('caseload data'!H:H,'caseload data'!$C:$C,'divisional &amp; regional caseload%'!$T$78,'caseload data'!$D:$D,"TPO")/SUMIF('caseload data'!$C:$C,'divisional &amp; regional caseload%'!$T$78,'caseload data'!H:H),"")</f>
        <v/>
      </c>
      <c r="Y82" s="167" t="str">
        <f>IFERROR(SUMIFS('caseload data'!I:I,'caseload data'!$C:$C,'divisional &amp; regional caseload%'!$T$78,'caseload data'!$D:$D,"TPO")/SUMIF('caseload data'!$C:$C,'divisional &amp; regional caseload%'!$T$78,'caseload data'!I:I),"")</f>
        <v/>
      </c>
      <c r="Z82" s="167" t="str">
        <f>IFERROR(SUMIFS('caseload data'!J:J,'caseload data'!$C:$C,'divisional &amp; regional caseload%'!$T$78,'caseload data'!$D:$D,"TPO")/SUMIF('caseload data'!$C:$C,'divisional &amp; regional caseload%'!$T$78,'caseload data'!J:J),"")</f>
        <v/>
      </c>
      <c r="AA82" s="167" t="str">
        <f>IFERROR(SUMIFS('caseload data'!K:K,'caseload data'!$C:$C,'divisional &amp; regional caseload%'!$T$78,'caseload data'!$D:$D,"TPO")/SUMIF('caseload data'!$C:$C,'divisional &amp; regional caseload%'!$T$78,'caseload data'!K:K),"")</f>
        <v/>
      </c>
      <c r="AB82" s="167" t="str">
        <f>IFERROR(SUMIFS('caseload data'!L:L,'caseload data'!$C:$C,'divisional &amp; regional caseload%'!$T$78,'caseload data'!$D:$D,"TPO")/SUMIF('caseload data'!$C:$C,'divisional &amp; regional caseload%'!$T$78,'caseload data'!L:L),"")</f>
        <v/>
      </c>
      <c r="AC82" s="167" t="str">
        <f>IFERROR(SUMIFS('caseload data'!M:M,'caseload data'!$C:$C,'divisional &amp; regional caseload%'!$T$78,'caseload data'!$D:$D,"TPO")/SUMIF('caseload data'!$C:$C,'divisional &amp; regional caseload%'!$T$78,'caseload data'!M:M),"")</f>
        <v/>
      </c>
      <c r="AD82" s="167" t="str">
        <f>IFERROR(SUMIFS('caseload data'!N:N,'caseload data'!$C:$C,'divisional &amp; regional caseload%'!$T$78,'caseload data'!$D:$D,"TPO")/SUMIF('caseload data'!$C:$C,'divisional &amp; regional caseload%'!$T$78,'caseload data'!N:N),"")</f>
        <v/>
      </c>
      <c r="AE82" s="167" t="str">
        <f>IFERROR(SUMIFS('caseload data'!O:O,'caseload data'!$C:$C,'divisional &amp; regional caseload%'!$T$78,'caseload data'!$D:$D,"TPO")/SUMIF('caseload data'!$C:$C,'divisional &amp; regional caseload%'!$T$78,'caseload data'!O:O),"")</f>
        <v/>
      </c>
      <c r="AF82" s="167" t="str">
        <f>IFERROR(SUMIFS('caseload data'!P:P,'caseload data'!$C:$C,'divisional &amp; regional caseload%'!$T$78,'caseload data'!$D:$D,"TPO")/SUMIF('caseload data'!$C:$C,'divisional &amp; regional caseload%'!$T$78,'caseload data'!P:P),"")</f>
        <v/>
      </c>
      <c r="AG82" s="167" t="str">
        <f>IFERROR(SUMIFS('caseload data'!Q:Q,'caseload data'!$C:$C,'divisional &amp; regional caseload%'!$T$78,'caseload data'!$D:$D,"TPO")/SUMIF('caseload data'!$C:$C,'divisional &amp; regional caseload%'!$T$78,'caseload data'!Q:Q),"")</f>
        <v/>
      </c>
      <c r="AH82" s="167" t="str">
        <f>IFERROR(SUMIFS('caseload data'!R:R,'caseload data'!$C:$C,'divisional &amp; regional caseload%'!$T$78,'caseload data'!$D:$D,"TPO")/SUMIF('caseload data'!$C:$C,'divisional &amp; regional caseload%'!$T$78,'caseload data'!R:R),"")</f>
        <v/>
      </c>
      <c r="AI82" s="167" t="str">
        <f>IFERROR(SUMIFS('caseload data'!S:S,'caseload data'!$C:$C,'divisional &amp; regional caseload%'!$T$78,'caseload data'!$D:$D,"TPO")/SUMIF('caseload data'!$C:$C,'divisional &amp; regional caseload%'!$T$78,'caseload data'!S:S),"")</f>
        <v/>
      </c>
      <c r="AJ82" s="167" t="str">
        <f>IFERROR(SUMIFS('caseload data'!T:T,'caseload data'!$C:$C,'divisional &amp; regional caseload%'!$T$78,'caseload data'!$D:$D,"TPO")/SUMIF('caseload data'!$C:$C,'divisional &amp; regional caseload%'!$T$78,'caseload data'!T:T),"")</f>
        <v/>
      </c>
    </row>
    <row r="83" spans="2:36" x14ac:dyDescent="0.15">
      <c r="B83" s="98" t="s">
        <v>954</v>
      </c>
      <c r="C83" s="167" t="str">
        <f>IFERROR(SUMIFS('caseload data'!E:E,'caseload data'!$C:$C,'divisional &amp; regional caseload%'!$B$78,'caseload data'!$D:$D,"SPO")/SUMIF('caseload data'!$C:$C,'divisional &amp; regional caseload%'!$B$78,'caseload data'!E:E),"")</f>
        <v/>
      </c>
      <c r="D83" s="167" t="str">
        <f>IFERROR(SUMIFS('caseload data'!F:F,'caseload data'!$C:$C,'divisional &amp; regional caseload%'!$B$78,'caseload data'!$D:$D,"SPO")/SUMIF('caseload data'!$C:$C,'divisional &amp; regional caseload%'!$B$78,'caseload data'!F:F),"")</f>
        <v/>
      </c>
      <c r="E83" s="167" t="str">
        <f>IFERROR(SUMIFS('caseload data'!G:G,'caseload data'!$C:$C,'divisional &amp; regional caseload%'!$B$78,'caseload data'!$D:$D,"SPO")/SUMIF('caseload data'!$C:$C,'divisional &amp; regional caseload%'!$B$78,'caseload data'!G:G),"")</f>
        <v/>
      </c>
      <c r="F83" s="167" t="str">
        <f>IFERROR(SUMIFS('caseload data'!H:H,'caseload data'!$C:$C,'divisional &amp; regional caseload%'!$B$78,'caseload data'!$D:$D,"SPO")/SUMIF('caseload data'!$C:$C,'divisional &amp; regional caseload%'!$B$78,'caseload data'!H:H),"")</f>
        <v/>
      </c>
      <c r="G83" s="167" t="str">
        <f>IFERROR(SUMIFS('caseload data'!I:I,'caseload data'!$C:$C,'divisional &amp; regional caseload%'!$B$78,'caseload data'!$D:$D,"SPO")/SUMIF('caseload data'!$C:$C,'divisional &amp; regional caseload%'!$B$78,'caseload data'!I:I),"")</f>
        <v/>
      </c>
      <c r="H83" s="167" t="str">
        <f>IFERROR(SUMIFS('caseload data'!J:J,'caseload data'!$C:$C,'divisional &amp; regional caseload%'!$B$78,'caseload data'!$D:$D,"SPO")/SUMIF('caseload data'!$C:$C,'divisional &amp; regional caseload%'!$B$78,'caseload data'!J:J),"")</f>
        <v/>
      </c>
      <c r="I83" s="167" t="str">
        <f>IFERROR(SUMIFS('caseload data'!K:K,'caseload data'!$C:$C,'divisional &amp; regional caseload%'!$B$78,'caseload data'!$D:$D,"SPO")/SUMIF('caseload data'!$C:$C,'divisional &amp; regional caseload%'!$B$78,'caseload data'!K:K),"")</f>
        <v/>
      </c>
      <c r="J83" s="167" t="str">
        <f>IFERROR(SUMIFS('caseload data'!L:L,'caseload data'!$C:$C,'divisional &amp; regional caseload%'!$B$78,'caseload data'!$D:$D,"SPO")/SUMIF('caseload data'!$C:$C,'divisional &amp; regional caseload%'!$B$78,'caseload data'!L:L),"")</f>
        <v/>
      </c>
      <c r="K83" s="167" t="str">
        <f>IFERROR(SUMIFS('caseload data'!M:M,'caseload data'!$C:$C,'divisional &amp; regional caseload%'!$B$78,'caseload data'!$D:$D,"SPO")/SUMIF('caseload data'!$C:$C,'divisional &amp; regional caseload%'!$B$78,'caseload data'!M:M),"")</f>
        <v/>
      </c>
      <c r="L83" s="167" t="str">
        <f>IFERROR(SUMIFS('caseload data'!N:N,'caseload data'!$C:$C,'divisional &amp; regional caseload%'!$B$78,'caseload data'!$D:$D,"SPO")/SUMIF('caseload data'!$C:$C,'divisional &amp; regional caseload%'!$B$78,'caseload data'!N:N),"")</f>
        <v/>
      </c>
      <c r="M83" s="167" t="str">
        <f>IFERROR(SUMIFS('caseload data'!O:O,'caseload data'!$C:$C,'divisional &amp; regional caseload%'!$B$78,'caseload data'!$D:$D,"SPO")/SUMIF('caseload data'!$C:$C,'divisional &amp; regional caseload%'!$B$78,'caseload data'!O:O),"")</f>
        <v/>
      </c>
      <c r="N83" s="167" t="str">
        <f>IFERROR(SUMIFS('caseload data'!P:P,'caseload data'!$C:$C,'divisional &amp; regional caseload%'!$B$78,'caseload data'!$D:$D,"SPO")/SUMIF('caseload data'!$C:$C,'divisional &amp; regional caseload%'!$B$78,'caseload data'!P:P),"")</f>
        <v/>
      </c>
      <c r="O83" s="167" t="str">
        <f>IFERROR(SUMIFS('caseload data'!Q:Q,'caseload data'!$C:$C,'divisional &amp; regional caseload%'!$B$78,'caseload data'!$D:$D,"SPO")/SUMIF('caseload data'!$C:$C,'divisional &amp; regional caseload%'!$B$78,'caseload data'!Q:Q),"")</f>
        <v/>
      </c>
      <c r="P83" s="167" t="str">
        <f>IFERROR(SUMIFS('caseload data'!R:R,'caseload data'!$C:$C,'divisional &amp; regional caseload%'!$B$78,'caseload data'!$D:$D,"SPO")/SUMIF('caseload data'!$C:$C,'divisional &amp; regional caseload%'!$B$78,'caseload data'!R:R),"")</f>
        <v/>
      </c>
      <c r="Q83" s="167" t="str">
        <f>IFERROR(SUMIFS('caseload data'!S:S,'caseload data'!$C:$C,'divisional &amp; regional caseload%'!$B$78,'caseload data'!$D:$D,"SPO")/SUMIF('caseload data'!$C:$C,'divisional &amp; regional caseload%'!$B$78,'caseload data'!S:S),"")</f>
        <v/>
      </c>
      <c r="R83" s="167" t="str">
        <f>IFERROR(SUMIFS('caseload data'!T:T,'caseload data'!$C:$C,'divisional &amp; regional caseload%'!$B$78,'caseload data'!$D:$D,"SPO")/SUMIF('caseload data'!$C:$C,'divisional &amp; regional caseload%'!$B$78,'caseload data'!T:T),"")</f>
        <v/>
      </c>
      <c r="T83" s="98" t="s">
        <v>954</v>
      </c>
      <c r="U83" s="167" t="str">
        <f>IFERROR(SUMIFS('caseload data'!E:E,'caseload data'!$C:$C,'divisional &amp; regional caseload%'!$T$78,'caseload data'!$D:$D,"SPO")/SUMIF('caseload data'!$C:$C,'divisional &amp; regional caseload%'!$T$78,'caseload data'!E:E),"")</f>
        <v/>
      </c>
      <c r="V83" s="167" t="str">
        <f>IFERROR(SUMIFS('caseload data'!F:F,'caseload data'!$C:$C,'divisional &amp; regional caseload%'!$T$78,'caseload data'!$D:$D,"SPO")/SUMIF('caseload data'!$C:$C,'divisional &amp; regional caseload%'!$T$78,'caseload data'!F:F),"")</f>
        <v/>
      </c>
      <c r="W83" s="167" t="str">
        <f>IFERROR(SUMIFS('caseload data'!G:G,'caseload data'!$C:$C,'divisional &amp; regional caseload%'!$T$78,'caseload data'!$D:$D,"SPO")/SUMIF('caseload data'!$C:$C,'divisional &amp; regional caseload%'!$T$78,'caseload data'!G:G),"")</f>
        <v/>
      </c>
      <c r="X83" s="167" t="str">
        <f>IFERROR(SUMIFS('caseload data'!H:H,'caseload data'!$C:$C,'divisional &amp; regional caseload%'!$T$78,'caseload data'!$D:$D,"SPO")/SUMIF('caseload data'!$C:$C,'divisional &amp; regional caseload%'!$T$78,'caseload data'!H:H),"")</f>
        <v/>
      </c>
      <c r="Y83" s="167" t="str">
        <f>IFERROR(SUMIFS('caseload data'!I:I,'caseload data'!$C:$C,'divisional &amp; regional caseload%'!$T$78,'caseload data'!$D:$D,"SPO")/SUMIF('caseload data'!$C:$C,'divisional &amp; regional caseload%'!$T$78,'caseload data'!I:I),"")</f>
        <v/>
      </c>
      <c r="Z83" s="167" t="str">
        <f>IFERROR(SUMIFS('caseload data'!J:J,'caseload data'!$C:$C,'divisional &amp; regional caseload%'!$T$78,'caseload data'!$D:$D,"SPO")/SUMIF('caseload data'!$C:$C,'divisional &amp; regional caseload%'!$T$78,'caseload data'!J:J),"")</f>
        <v/>
      </c>
      <c r="AA83" s="167" t="str">
        <f>IFERROR(SUMIFS('caseload data'!K:K,'caseload data'!$C:$C,'divisional &amp; regional caseload%'!$T$78,'caseload data'!$D:$D,"SPO")/SUMIF('caseload data'!$C:$C,'divisional &amp; regional caseload%'!$T$78,'caseload data'!K:K),"")</f>
        <v/>
      </c>
      <c r="AB83" s="167" t="str">
        <f>IFERROR(SUMIFS('caseload data'!L:L,'caseload data'!$C:$C,'divisional &amp; regional caseload%'!$T$78,'caseload data'!$D:$D,"SPO")/SUMIF('caseload data'!$C:$C,'divisional &amp; regional caseload%'!$T$78,'caseload data'!L:L),"")</f>
        <v/>
      </c>
      <c r="AC83" s="167" t="str">
        <f>IFERROR(SUMIFS('caseload data'!M:M,'caseload data'!$C:$C,'divisional &amp; regional caseload%'!$T$78,'caseload data'!$D:$D,"SPO")/SUMIF('caseload data'!$C:$C,'divisional &amp; regional caseload%'!$T$78,'caseload data'!M:M),"")</f>
        <v/>
      </c>
      <c r="AD83" s="167" t="str">
        <f>IFERROR(SUMIFS('caseload data'!N:N,'caseload data'!$C:$C,'divisional &amp; regional caseload%'!$T$78,'caseload data'!$D:$D,"SPO")/SUMIF('caseload data'!$C:$C,'divisional &amp; regional caseload%'!$T$78,'caseload data'!N:N),"")</f>
        <v/>
      </c>
      <c r="AE83" s="167" t="str">
        <f>IFERROR(SUMIFS('caseload data'!O:O,'caseload data'!$C:$C,'divisional &amp; regional caseload%'!$T$78,'caseload data'!$D:$D,"SPO")/SUMIF('caseload data'!$C:$C,'divisional &amp; regional caseload%'!$T$78,'caseload data'!O:O),"")</f>
        <v/>
      </c>
      <c r="AF83" s="167" t="str">
        <f>IFERROR(SUMIFS('caseload data'!P:P,'caseload data'!$C:$C,'divisional &amp; regional caseload%'!$T$78,'caseload data'!$D:$D,"SPO")/SUMIF('caseload data'!$C:$C,'divisional &amp; regional caseload%'!$T$78,'caseload data'!P:P),"")</f>
        <v/>
      </c>
      <c r="AG83" s="167" t="str">
        <f>IFERROR(SUMIFS('caseload data'!Q:Q,'caseload data'!$C:$C,'divisional &amp; regional caseload%'!$T$78,'caseload data'!$D:$D,"SPO")/SUMIF('caseload data'!$C:$C,'divisional &amp; regional caseload%'!$T$78,'caseload data'!Q:Q),"")</f>
        <v/>
      </c>
      <c r="AH83" s="167" t="str">
        <f>IFERROR(SUMIFS('caseload data'!R:R,'caseload data'!$C:$C,'divisional &amp; regional caseload%'!$T$78,'caseload data'!$D:$D,"SPO")/SUMIF('caseload data'!$C:$C,'divisional &amp; regional caseload%'!$T$78,'caseload data'!R:R),"")</f>
        <v/>
      </c>
      <c r="AI83" s="167" t="str">
        <f>IFERROR(SUMIFS('caseload data'!S:S,'caseload data'!$C:$C,'divisional &amp; regional caseload%'!$T$78,'caseload data'!$D:$D,"SPO")/SUMIF('caseload data'!$C:$C,'divisional &amp; regional caseload%'!$T$78,'caseload data'!S:S),"")</f>
        <v/>
      </c>
      <c r="AJ83" s="167" t="str">
        <f>IFERROR(SUMIFS('caseload data'!T:T,'caseload data'!$C:$C,'divisional &amp; regional caseload%'!$T$78,'caseload data'!$D:$D,"SPO")/SUMIF('caseload data'!$C:$C,'divisional &amp; regional caseload%'!$T$78,'caseload data'!T:T),"")</f>
        <v/>
      </c>
    </row>
    <row r="85" spans="2:36" ht="30" customHeight="1" x14ac:dyDescent="0.15">
      <c r="B85" s="288">
        <f>HLOOKUP($B$5,Region_Table,24,0)</f>
        <v>0</v>
      </c>
      <c r="C85" s="556" t="s">
        <v>1043</v>
      </c>
      <c r="D85" s="557"/>
      <c r="E85" s="557"/>
      <c r="F85" s="557"/>
      <c r="G85" s="557"/>
      <c r="H85" s="557"/>
      <c r="I85" s="557"/>
      <c r="J85" s="557"/>
      <c r="K85" s="557"/>
      <c r="L85" s="557"/>
      <c r="M85" s="558"/>
      <c r="N85" s="558"/>
      <c r="O85" s="559"/>
      <c r="P85" s="543">
        <f>SUMIF('caseload data'!$C:$C,'divisional &amp; regional caseload%'!B85,'caseload data'!V:V)</f>
        <v>0</v>
      </c>
      <c r="Q85" s="560"/>
      <c r="R85" s="561"/>
      <c r="T85" s="288">
        <f>HLOOKUP($B$5,Region_Table,25,0)</f>
        <v>0</v>
      </c>
      <c r="U85" s="556" t="s">
        <v>1043</v>
      </c>
      <c r="V85" s="557"/>
      <c r="W85" s="557"/>
      <c r="X85" s="557"/>
      <c r="Y85" s="557"/>
      <c r="Z85" s="557"/>
      <c r="AA85" s="557"/>
      <c r="AB85" s="557"/>
      <c r="AC85" s="557"/>
      <c r="AD85" s="557"/>
      <c r="AE85" s="558"/>
      <c r="AF85" s="558"/>
      <c r="AG85" s="559"/>
      <c r="AH85" s="543">
        <f>SUMIF('caseload data'!$C:$C,'divisional &amp; regional caseload%'!T85,'caseload data'!V:V)</f>
        <v>0</v>
      </c>
      <c r="AI85" s="560"/>
      <c r="AJ85" s="561"/>
    </row>
    <row r="86" spans="2:36" x14ac:dyDescent="0.15">
      <c r="B86" s="95" t="s">
        <v>951</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951</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167" t="str">
        <f>IFERROR(SUMIFS('caseload data'!E:E,'caseload data'!$C:$C,'divisional &amp; regional caseload%'!$B$85,'caseload data'!$D:$D,"PO")/SUMIF('caseload data'!$C:$C,'divisional &amp; regional caseload%'!$B$85,'caseload data'!E:E),"")</f>
        <v/>
      </c>
      <c r="D87" s="167" t="str">
        <f>IFERROR(SUMIFS('caseload data'!F:F,'caseload data'!$C:$C,'divisional &amp; regional caseload%'!$B$85,'caseload data'!$D:$D,"PO")/SUMIF('caseload data'!$C:$C,'divisional &amp; regional caseload%'!$B$85,'caseload data'!F:F),"")</f>
        <v/>
      </c>
      <c r="E87" s="167" t="str">
        <f>IFERROR(SUMIFS('caseload data'!G:G,'caseload data'!$C:$C,'divisional &amp; regional caseload%'!$B$85,'caseload data'!$D:$D,"PO")/SUMIF('caseload data'!$C:$C,'divisional &amp; regional caseload%'!$B$85,'caseload data'!G:G),"")</f>
        <v/>
      </c>
      <c r="F87" s="167" t="str">
        <f>IFERROR(SUMIFS('caseload data'!H:H,'caseload data'!$C:$C,'divisional &amp; regional caseload%'!$B$85,'caseload data'!$D:$D,"PO")/SUMIF('caseload data'!$C:$C,'divisional &amp; regional caseload%'!$B$85,'caseload data'!H:H),"")</f>
        <v/>
      </c>
      <c r="G87" s="167" t="str">
        <f>IFERROR(SUMIFS('caseload data'!I:I,'caseload data'!$C:$C,'divisional &amp; regional caseload%'!$B$85,'caseload data'!$D:$D,"PO")/SUMIF('caseload data'!$C:$C,'divisional &amp; regional caseload%'!$B$85,'caseload data'!I:I),"")</f>
        <v/>
      </c>
      <c r="H87" s="167" t="str">
        <f>IFERROR(SUMIFS('caseload data'!J:J,'caseload data'!$C:$C,'divisional &amp; regional caseload%'!$B$85,'caseload data'!$D:$D,"PO")/SUMIF('caseload data'!$C:$C,'divisional &amp; regional caseload%'!$B$85,'caseload data'!J:J),"")</f>
        <v/>
      </c>
      <c r="I87" s="167" t="str">
        <f>IFERROR(SUMIFS('caseload data'!K:K,'caseload data'!$C:$C,'divisional &amp; regional caseload%'!$B$85,'caseload data'!$D:$D,"PO")/SUMIF('caseload data'!$C:$C,'divisional &amp; regional caseload%'!$B$85,'caseload data'!K:K),"")</f>
        <v/>
      </c>
      <c r="J87" s="167" t="str">
        <f>IFERROR(SUMIFS('caseload data'!L:L,'caseload data'!$C:$C,'divisional &amp; regional caseload%'!$B$85,'caseload data'!$D:$D,"PO")/SUMIF('caseload data'!$C:$C,'divisional &amp; regional caseload%'!$B$85,'caseload data'!L:L),"")</f>
        <v/>
      </c>
      <c r="K87" s="167" t="str">
        <f>IFERROR(SUMIFS('caseload data'!M:M,'caseload data'!$C:$C,'divisional &amp; regional caseload%'!$B$85,'caseload data'!$D:$D,"PO")/SUMIF('caseload data'!$C:$C,'divisional &amp; regional caseload%'!$B$85,'caseload data'!M:M),"")</f>
        <v/>
      </c>
      <c r="L87" s="167" t="str">
        <f>IFERROR(SUMIFS('caseload data'!N:N,'caseload data'!$C:$C,'divisional &amp; regional caseload%'!$B$85,'caseload data'!$D:$D,"PO")/SUMIF('caseload data'!$C:$C,'divisional &amp; regional caseload%'!$B$85,'caseload data'!N:N),"")</f>
        <v/>
      </c>
      <c r="M87" s="167" t="str">
        <f>IFERROR(SUMIFS('caseload data'!O:O,'caseload data'!$C:$C,'divisional &amp; regional caseload%'!$B$85,'caseload data'!$D:$D,"PO")/SUMIF('caseload data'!$C:$C,'divisional &amp; regional caseload%'!$B$85,'caseload data'!O:O),"")</f>
        <v/>
      </c>
      <c r="N87" s="167" t="str">
        <f>IFERROR(SUMIFS('caseload data'!P:P,'caseload data'!$C:$C,'divisional &amp; regional caseload%'!$B$85,'caseload data'!$D:$D,"PO")/SUMIF('caseload data'!$C:$C,'divisional &amp; regional caseload%'!$B$85,'caseload data'!P:P),"")</f>
        <v/>
      </c>
      <c r="O87" s="167" t="str">
        <f>IFERROR(SUMIFS('caseload data'!Q:Q,'caseload data'!$C:$C,'divisional &amp; regional caseload%'!$B$85,'caseload data'!$D:$D,"PO")/SUMIF('caseload data'!$C:$C,'divisional &amp; regional caseload%'!$B$85,'caseload data'!Q:Q),"")</f>
        <v/>
      </c>
      <c r="P87" s="167" t="str">
        <f>IFERROR(SUMIFS('caseload data'!R:R,'caseload data'!$C:$C,'divisional &amp; regional caseload%'!$B$85,'caseload data'!$D:$D,"PO")/SUMIF('caseload data'!$C:$C,'divisional &amp; regional caseload%'!$B$85,'caseload data'!R:R),"")</f>
        <v/>
      </c>
      <c r="Q87" s="167" t="str">
        <f>IFERROR(SUMIFS('caseload data'!S:S,'caseload data'!$C:$C,'divisional &amp; regional caseload%'!$B$85,'caseload data'!$D:$D,"PO")/SUMIF('caseload data'!$C:$C,'divisional &amp; regional caseload%'!$B$85,'caseload data'!S:S),"")</f>
        <v/>
      </c>
      <c r="R87" s="167" t="str">
        <f>IFERROR(SUMIFS('caseload data'!T:T,'caseload data'!$C:$C,'divisional &amp; regional caseload%'!$B$85,'caseload data'!$D:$D,"PO")/SUMIF('caseload data'!$C:$C,'divisional &amp; regional caseload%'!$B$85,'caseload data'!T:T),"")</f>
        <v/>
      </c>
      <c r="T87" s="96" t="s">
        <v>947</v>
      </c>
      <c r="U87" s="167" t="str">
        <f>IFERROR(SUMIFS('caseload data'!E:E,'caseload data'!$C:$C,'divisional &amp; regional caseload%'!$T$85,'caseload data'!$D:$D,"PO")/SUMIF('caseload data'!$C:$C,'divisional &amp; regional caseload%'!$T$85,'caseload data'!E:E),"")</f>
        <v/>
      </c>
      <c r="V87" s="167" t="str">
        <f>IFERROR(SUMIFS('caseload data'!F:F,'caseload data'!$C:$C,'divisional &amp; regional caseload%'!$T$85,'caseload data'!$D:$D,"PO")/SUMIF('caseload data'!$C:$C,'divisional &amp; regional caseload%'!$T$85,'caseload data'!F:F),"")</f>
        <v/>
      </c>
      <c r="W87" s="167" t="str">
        <f>IFERROR(SUMIFS('caseload data'!G:G,'caseload data'!$C:$C,'divisional &amp; regional caseload%'!$T$85,'caseload data'!$D:$D,"PO")/SUMIF('caseload data'!$C:$C,'divisional &amp; regional caseload%'!$T$85,'caseload data'!G:G),"")</f>
        <v/>
      </c>
      <c r="X87" s="167" t="str">
        <f>IFERROR(SUMIFS('caseload data'!H:H,'caseload data'!$C:$C,'divisional &amp; regional caseload%'!$T$85,'caseload data'!$D:$D,"PO")/SUMIF('caseload data'!$C:$C,'divisional &amp; regional caseload%'!$T$85,'caseload data'!H:H),"")</f>
        <v/>
      </c>
      <c r="Y87" s="167" t="str">
        <f>IFERROR(SUMIFS('caseload data'!I:I,'caseload data'!$C:$C,'divisional &amp; regional caseload%'!$T$85,'caseload data'!$D:$D,"PO")/SUMIF('caseload data'!$C:$C,'divisional &amp; regional caseload%'!$T$85,'caseload data'!I:I),"")</f>
        <v/>
      </c>
      <c r="Z87" s="167" t="str">
        <f>IFERROR(SUMIFS('caseload data'!J:J,'caseload data'!$C:$C,'divisional &amp; regional caseload%'!$T$85,'caseload data'!$D:$D,"PO")/SUMIF('caseload data'!$C:$C,'divisional &amp; regional caseload%'!$T$85,'caseload data'!J:J),"")</f>
        <v/>
      </c>
      <c r="AA87" s="167" t="str">
        <f>IFERROR(SUMIFS('caseload data'!K:K,'caseload data'!$C:$C,'divisional &amp; regional caseload%'!$T$85,'caseload data'!$D:$D,"PO")/SUMIF('caseload data'!$C:$C,'divisional &amp; regional caseload%'!$T$85,'caseload data'!K:K),"")</f>
        <v/>
      </c>
      <c r="AB87" s="167" t="str">
        <f>IFERROR(SUMIFS('caseload data'!L:L,'caseload data'!$C:$C,'divisional &amp; regional caseload%'!$T$85,'caseload data'!$D:$D,"PO")/SUMIF('caseload data'!$C:$C,'divisional &amp; regional caseload%'!$T$85,'caseload data'!L:L),"")</f>
        <v/>
      </c>
      <c r="AC87" s="167" t="str">
        <f>IFERROR(SUMIFS('caseload data'!M:M,'caseload data'!$C:$C,'divisional &amp; regional caseload%'!$T$85,'caseload data'!$D:$D,"PO")/SUMIF('caseload data'!$C:$C,'divisional &amp; regional caseload%'!$T$85,'caseload data'!M:M),"")</f>
        <v/>
      </c>
      <c r="AD87" s="167" t="str">
        <f>IFERROR(SUMIFS('caseload data'!N:N,'caseload data'!$C:$C,'divisional &amp; regional caseload%'!$T$85,'caseload data'!$D:$D,"PO")/SUMIF('caseload data'!$C:$C,'divisional &amp; regional caseload%'!$T$85,'caseload data'!N:N),"")</f>
        <v/>
      </c>
      <c r="AE87" s="167" t="str">
        <f>IFERROR(SUMIFS('caseload data'!O:O,'caseload data'!$C:$C,'divisional &amp; regional caseload%'!$T$85,'caseload data'!$D:$D,"PO")/SUMIF('caseload data'!$C:$C,'divisional &amp; regional caseload%'!$T$85,'caseload data'!O:O),"")</f>
        <v/>
      </c>
      <c r="AF87" s="167" t="str">
        <f>IFERROR(SUMIFS('caseload data'!P:P,'caseload data'!$C:$C,'divisional &amp; regional caseload%'!$T$85,'caseload data'!$D:$D,"PO")/SUMIF('caseload data'!$C:$C,'divisional &amp; regional caseload%'!$T$85,'caseload data'!P:P),"")</f>
        <v/>
      </c>
      <c r="AG87" s="167" t="str">
        <f>IFERROR(SUMIFS('caseload data'!Q:Q,'caseload data'!$C:$C,'divisional &amp; regional caseload%'!$T$85,'caseload data'!$D:$D,"PO")/SUMIF('caseload data'!$C:$C,'divisional &amp; regional caseload%'!$T$85,'caseload data'!Q:Q),"")</f>
        <v/>
      </c>
      <c r="AH87" s="167" t="str">
        <f>IFERROR(SUMIFS('caseload data'!R:R,'caseload data'!$C:$C,'divisional &amp; regional caseload%'!$T$85,'caseload data'!$D:$D,"PO")/SUMIF('caseload data'!$C:$C,'divisional &amp; regional caseload%'!$T$85,'caseload data'!R:R),"")</f>
        <v/>
      </c>
      <c r="AI87" s="167" t="str">
        <f>IFERROR(SUMIFS('caseload data'!S:S,'caseload data'!$C:$C,'divisional &amp; regional caseload%'!$T$85,'caseload data'!$D:$D,"PO")/SUMIF('caseload data'!$C:$C,'divisional &amp; regional caseload%'!$T$85,'caseload data'!S:S),"")</f>
        <v/>
      </c>
      <c r="AJ87" s="167" t="str">
        <f>IFERROR(SUMIFS('caseload data'!T:T,'caseload data'!$C:$C,'divisional &amp; regional caseload%'!$T$85,'caseload data'!$D:$D,"PO")/SUMIF('caseload data'!$C:$C,'divisional &amp; regional caseload%'!$T$85,'caseload data'!T:T),"")</f>
        <v/>
      </c>
    </row>
    <row r="88" spans="2:36" x14ac:dyDescent="0.15">
      <c r="B88" s="97" t="s">
        <v>952</v>
      </c>
      <c r="C88" s="167" t="str">
        <f>IFERROR(SUMIFS('caseload data'!E:E,'caseload data'!$C:$C,'divisional &amp; regional caseload%'!$B$85,'caseload data'!$D:$D,"PSO")/SUMIF('caseload data'!$C:$C,'divisional &amp; regional caseload%'!$B$85,'caseload data'!E:E),"")</f>
        <v/>
      </c>
      <c r="D88" s="167" t="str">
        <f>IFERROR(SUMIFS('caseload data'!F:F,'caseload data'!$C:$C,'divisional &amp; regional caseload%'!$B$85,'caseload data'!$D:$D,"PSO")/SUMIF('caseload data'!$C:$C,'divisional &amp; regional caseload%'!$B$85,'caseload data'!F:F),"")</f>
        <v/>
      </c>
      <c r="E88" s="167" t="str">
        <f>IFERROR(SUMIFS('caseload data'!G:G,'caseload data'!$C:$C,'divisional &amp; regional caseload%'!$B$85,'caseload data'!$D:$D,"PSO")/SUMIF('caseload data'!$C:$C,'divisional &amp; regional caseload%'!$B$85,'caseload data'!G:G),"")</f>
        <v/>
      </c>
      <c r="F88" s="167" t="str">
        <f>IFERROR(SUMIFS('caseload data'!H:H,'caseload data'!$C:$C,'divisional &amp; regional caseload%'!$B$85,'caseload data'!$D:$D,"PSO")/SUMIF('caseload data'!$C:$C,'divisional &amp; regional caseload%'!$B$85,'caseload data'!H:H),"")</f>
        <v/>
      </c>
      <c r="G88" s="167" t="str">
        <f>IFERROR(SUMIFS('caseload data'!I:I,'caseload data'!$C:$C,'divisional &amp; regional caseload%'!$B$85,'caseload data'!$D:$D,"PSO")/SUMIF('caseload data'!$C:$C,'divisional &amp; regional caseload%'!$B$85,'caseload data'!I:I),"")</f>
        <v/>
      </c>
      <c r="H88" s="167" t="str">
        <f>IFERROR(SUMIFS('caseload data'!J:J,'caseload data'!$C:$C,'divisional &amp; regional caseload%'!$B$85,'caseload data'!$D:$D,"PSO")/SUMIF('caseload data'!$C:$C,'divisional &amp; regional caseload%'!$B$85,'caseload data'!J:J),"")</f>
        <v/>
      </c>
      <c r="I88" s="167" t="str">
        <f>IFERROR(SUMIFS('caseload data'!K:K,'caseload data'!$C:$C,'divisional &amp; regional caseload%'!$B$85,'caseload data'!$D:$D,"PSO")/SUMIF('caseload data'!$C:$C,'divisional &amp; regional caseload%'!$B$85,'caseload data'!K:K),"")</f>
        <v/>
      </c>
      <c r="J88" s="167" t="str">
        <f>IFERROR(SUMIFS('caseload data'!L:L,'caseload data'!$C:$C,'divisional &amp; regional caseload%'!$B$85,'caseload data'!$D:$D,"PSO")/SUMIF('caseload data'!$C:$C,'divisional &amp; regional caseload%'!$B$85,'caseload data'!L:L),"")</f>
        <v/>
      </c>
      <c r="K88" s="167" t="str">
        <f>IFERROR(SUMIFS('caseload data'!M:M,'caseload data'!$C:$C,'divisional &amp; regional caseload%'!$B$85,'caseload data'!$D:$D,"PSO")/SUMIF('caseload data'!$C:$C,'divisional &amp; regional caseload%'!$B$85,'caseload data'!M:M),"")</f>
        <v/>
      </c>
      <c r="L88" s="167" t="str">
        <f>IFERROR(SUMIFS('caseload data'!N:N,'caseload data'!$C:$C,'divisional &amp; regional caseload%'!$B$85,'caseload data'!$D:$D,"PSO")/SUMIF('caseload data'!$C:$C,'divisional &amp; regional caseload%'!$B$85,'caseload data'!N:N),"")</f>
        <v/>
      </c>
      <c r="M88" s="167" t="str">
        <f>IFERROR(SUMIFS('caseload data'!O:O,'caseload data'!$C:$C,'divisional &amp; regional caseload%'!$B$85,'caseload data'!$D:$D,"PSO")/SUMIF('caseload data'!$C:$C,'divisional &amp; regional caseload%'!$B$85,'caseload data'!O:O),"")</f>
        <v/>
      </c>
      <c r="N88" s="167" t="str">
        <f>IFERROR(SUMIFS('caseload data'!P:P,'caseload data'!$C:$C,'divisional &amp; regional caseload%'!$B$85,'caseload data'!$D:$D,"PSO")/SUMIF('caseload data'!$C:$C,'divisional &amp; regional caseload%'!$B$85,'caseload data'!P:P),"")</f>
        <v/>
      </c>
      <c r="O88" s="167" t="str">
        <f>IFERROR(SUMIFS('caseload data'!Q:Q,'caseload data'!$C:$C,'divisional &amp; regional caseload%'!$B$85,'caseload data'!$D:$D,"PSO")/SUMIF('caseload data'!$C:$C,'divisional &amp; regional caseload%'!$B$85,'caseload data'!Q:Q),"")</f>
        <v/>
      </c>
      <c r="P88" s="167" t="str">
        <f>IFERROR(SUMIFS('caseload data'!R:R,'caseload data'!$C:$C,'divisional &amp; regional caseload%'!$B$85,'caseload data'!$D:$D,"PSO")/SUMIF('caseload data'!$C:$C,'divisional &amp; regional caseload%'!$B$85,'caseload data'!R:R),"")</f>
        <v/>
      </c>
      <c r="Q88" s="167" t="str">
        <f>IFERROR(SUMIFS('caseload data'!S:S,'caseload data'!$C:$C,'divisional &amp; regional caseload%'!$B$85,'caseload data'!$D:$D,"PSO")/SUMIF('caseload data'!$C:$C,'divisional &amp; regional caseload%'!$B$85,'caseload data'!S:S),"")</f>
        <v/>
      </c>
      <c r="R88" s="167" t="str">
        <f>IFERROR(SUMIFS('caseload data'!T:T,'caseload data'!$C:$C,'divisional &amp; regional caseload%'!$B$85,'caseload data'!$D:$D,"PSO")/SUMIF('caseload data'!$C:$C,'divisional &amp; regional caseload%'!$B$85,'caseload data'!T:T),"")</f>
        <v/>
      </c>
      <c r="T88" s="97" t="s">
        <v>952</v>
      </c>
      <c r="U88" s="167" t="str">
        <f>IFERROR(SUMIFS('caseload data'!E:E,'caseload data'!$C:$C,'divisional &amp; regional caseload%'!$T$85,'caseload data'!$D:$D,"PSO")/SUMIF('caseload data'!$C:$C,'divisional &amp; regional caseload%'!$T$85,'caseload data'!E:E),"")</f>
        <v/>
      </c>
      <c r="V88" s="167" t="str">
        <f>IFERROR(SUMIFS('caseload data'!F:F,'caseload data'!$C:$C,'divisional &amp; regional caseload%'!$T$85,'caseload data'!$D:$D,"PSO")/SUMIF('caseload data'!$C:$C,'divisional &amp; regional caseload%'!$T$85,'caseload data'!F:F),"")</f>
        <v/>
      </c>
      <c r="W88" s="167" t="str">
        <f>IFERROR(SUMIFS('caseload data'!G:G,'caseload data'!$C:$C,'divisional &amp; regional caseload%'!$T$85,'caseload data'!$D:$D,"PSO")/SUMIF('caseload data'!$C:$C,'divisional &amp; regional caseload%'!$T$85,'caseload data'!G:G),"")</f>
        <v/>
      </c>
      <c r="X88" s="167" t="str">
        <f>IFERROR(SUMIFS('caseload data'!H:H,'caseload data'!$C:$C,'divisional &amp; regional caseload%'!$T$85,'caseload data'!$D:$D,"PSO")/SUMIF('caseload data'!$C:$C,'divisional &amp; regional caseload%'!$T$85,'caseload data'!H:H),"")</f>
        <v/>
      </c>
      <c r="Y88" s="167" t="str">
        <f>IFERROR(SUMIFS('caseload data'!I:I,'caseload data'!$C:$C,'divisional &amp; regional caseload%'!$T$85,'caseload data'!$D:$D,"PSO")/SUMIF('caseload data'!$C:$C,'divisional &amp; regional caseload%'!$T$85,'caseload data'!I:I),"")</f>
        <v/>
      </c>
      <c r="Z88" s="167" t="str">
        <f>IFERROR(SUMIFS('caseload data'!J:J,'caseload data'!$C:$C,'divisional &amp; regional caseload%'!$T$85,'caseload data'!$D:$D,"PSO")/SUMIF('caseload data'!$C:$C,'divisional &amp; regional caseload%'!$T$85,'caseload data'!J:J),"")</f>
        <v/>
      </c>
      <c r="AA88" s="167" t="str">
        <f>IFERROR(SUMIFS('caseload data'!K:K,'caseload data'!$C:$C,'divisional &amp; regional caseload%'!$T$85,'caseload data'!$D:$D,"PSO")/SUMIF('caseload data'!$C:$C,'divisional &amp; regional caseload%'!$T$85,'caseload data'!K:K),"")</f>
        <v/>
      </c>
      <c r="AB88" s="167" t="str">
        <f>IFERROR(SUMIFS('caseload data'!L:L,'caseload data'!$C:$C,'divisional &amp; regional caseload%'!$T$85,'caseload data'!$D:$D,"PSO")/SUMIF('caseload data'!$C:$C,'divisional &amp; regional caseload%'!$T$85,'caseload data'!L:L),"")</f>
        <v/>
      </c>
      <c r="AC88" s="167" t="str">
        <f>IFERROR(SUMIFS('caseload data'!M:M,'caseload data'!$C:$C,'divisional &amp; regional caseload%'!$T$85,'caseload data'!$D:$D,"PSO")/SUMIF('caseload data'!$C:$C,'divisional &amp; regional caseload%'!$T$85,'caseload data'!M:M),"")</f>
        <v/>
      </c>
      <c r="AD88" s="167" t="str">
        <f>IFERROR(SUMIFS('caseload data'!N:N,'caseload data'!$C:$C,'divisional &amp; regional caseload%'!$T$85,'caseload data'!$D:$D,"PSO")/SUMIF('caseload data'!$C:$C,'divisional &amp; regional caseload%'!$T$85,'caseload data'!N:N),"")</f>
        <v/>
      </c>
      <c r="AE88" s="167" t="str">
        <f>IFERROR(SUMIFS('caseload data'!O:O,'caseload data'!$C:$C,'divisional &amp; regional caseload%'!$T$85,'caseload data'!$D:$D,"PSO")/SUMIF('caseload data'!$C:$C,'divisional &amp; regional caseload%'!$T$85,'caseload data'!O:O),"")</f>
        <v/>
      </c>
      <c r="AF88" s="167" t="str">
        <f>IFERROR(SUMIFS('caseload data'!P:P,'caseload data'!$C:$C,'divisional &amp; regional caseload%'!$T$85,'caseload data'!$D:$D,"PSO")/SUMIF('caseload data'!$C:$C,'divisional &amp; regional caseload%'!$T$85,'caseload data'!P:P),"")</f>
        <v/>
      </c>
      <c r="AG88" s="167" t="str">
        <f>IFERROR(SUMIFS('caseload data'!Q:Q,'caseload data'!$C:$C,'divisional &amp; regional caseload%'!$T$85,'caseload data'!$D:$D,"PSO")/SUMIF('caseload data'!$C:$C,'divisional &amp; regional caseload%'!$T$85,'caseload data'!Q:Q),"")</f>
        <v/>
      </c>
      <c r="AH88" s="167" t="str">
        <f>IFERROR(SUMIFS('caseload data'!R:R,'caseload data'!$C:$C,'divisional &amp; regional caseload%'!$T$85,'caseload data'!$D:$D,"PSO")/SUMIF('caseload data'!$C:$C,'divisional &amp; regional caseload%'!$T$85,'caseload data'!R:R),"")</f>
        <v/>
      </c>
      <c r="AI88" s="167" t="str">
        <f>IFERROR(SUMIFS('caseload data'!S:S,'caseload data'!$C:$C,'divisional &amp; regional caseload%'!$T$85,'caseload data'!$D:$D,"PSO")/SUMIF('caseload data'!$C:$C,'divisional &amp; regional caseload%'!$T$85,'caseload data'!S:S),"")</f>
        <v/>
      </c>
      <c r="AJ88" s="167" t="str">
        <f>IFERROR(SUMIFS('caseload data'!T:T,'caseload data'!$C:$C,'divisional &amp; regional caseload%'!$T$85,'caseload data'!$D:$D,"PSO")/SUMIF('caseload data'!$C:$C,'divisional &amp; regional caseload%'!$T$85,'caseload data'!T:T),"")</f>
        <v/>
      </c>
    </row>
    <row r="89" spans="2:36" x14ac:dyDescent="0.15">
      <c r="B89" s="97" t="s">
        <v>953</v>
      </c>
      <c r="C89" s="167" t="str">
        <f>IFERROR(SUMIFS('caseload data'!E:E,'caseload data'!$C:$C,'divisional &amp; regional caseload%'!$B$85,'caseload data'!$D:$D,"TPO")/SUMIF('caseload data'!$C:$C,'divisional &amp; regional caseload%'!$B$85,'caseload data'!E:E),"")</f>
        <v/>
      </c>
      <c r="D89" s="167" t="str">
        <f>IFERROR(SUMIFS('caseload data'!F:F,'caseload data'!$C:$C,'divisional &amp; regional caseload%'!$B$85,'caseload data'!$D:$D,"TPO")/SUMIF('caseload data'!$C:$C,'divisional &amp; regional caseload%'!$B$85,'caseload data'!F:F),"")</f>
        <v/>
      </c>
      <c r="E89" s="167" t="str">
        <f>IFERROR(SUMIFS('caseload data'!G:G,'caseload data'!$C:$C,'divisional &amp; regional caseload%'!$B$85,'caseload data'!$D:$D,"TPO")/SUMIF('caseload data'!$C:$C,'divisional &amp; regional caseload%'!$B$85,'caseload data'!G:G),"")</f>
        <v/>
      </c>
      <c r="F89" s="167" t="str">
        <f>IFERROR(SUMIFS('caseload data'!H:H,'caseload data'!$C:$C,'divisional &amp; regional caseload%'!$B$85,'caseload data'!$D:$D,"TPO")/SUMIF('caseload data'!$C:$C,'divisional &amp; regional caseload%'!$B$85,'caseload data'!H:H),"")</f>
        <v/>
      </c>
      <c r="G89" s="167" t="str">
        <f>IFERROR(SUMIFS('caseload data'!I:I,'caseload data'!$C:$C,'divisional &amp; regional caseload%'!$B$85,'caseload data'!$D:$D,"TPO")/SUMIF('caseload data'!$C:$C,'divisional &amp; regional caseload%'!$B$85,'caseload data'!I:I),"")</f>
        <v/>
      </c>
      <c r="H89" s="167" t="str">
        <f>IFERROR(SUMIFS('caseload data'!J:J,'caseload data'!$C:$C,'divisional &amp; regional caseload%'!$B$85,'caseload data'!$D:$D,"TPO")/SUMIF('caseload data'!$C:$C,'divisional &amp; regional caseload%'!$B$85,'caseload data'!J:J),"")</f>
        <v/>
      </c>
      <c r="I89" s="167" t="str">
        <f>IFERROR(SUMIFS('caseload data'!K:K,'caseload data'!$C:$C,'divisional &amp; regional caseload%'!$B$85,'caseload data'!$D:$D,"TPO")/SUMIF('caseload data'!$C:$C,'divisional &amp; regional caseload%'!$B$85,'caseload data'!K:K),"")</f>
        <v/>
      </c>
      <c r="J89" s="167" t="str">
        <f>IFERROR(SUMIFS('caseload data'!L:L,'caseload data'!$C:$C,'divisional &amp; regional caseload%'!$B$85,'caseload data'!$D:$D,"TPO")/SUMIF('caseload data'!$C:$C,'divisional &amp; regional caseload%'!$B$85,'caseload data'!L:L),"")</f>
        <v/>
      </c>
      <c r="K89" s="167" t="str">
        <f>IFERROR(SUMIFS('caseload data'!M:M,'caseload data'!$C:$C,'divisional &amp; regional caseload%'!$B$85,'caseload data'!$D:$D,"TPO")/SUMIF('caseload data'!$C:$C,'divisional &amp; regional caseload%'!$B$85,'caseload data'!M:M),"")</f>
        <v/>
      </c>
      <c r="L89" s="167" t="str">
        <f>IFERROR(SUMIFS('caseload data'!N:N,'caseload data'!$C:$C,'divisional &amp; regional caseload%'!$B$85,'caseload data'!$D:$D,"TPO")/SUMIF('caseload data'!$C:$C,'divisional &amp; regional caseload%'!$B$85,'caseload data'!N:N),"")</f>
        <v/>
      </c>
      <c r="M89" s="167" t="str">
        <f>IFERROR(SUMIFS('caseload data'!O:O,'caseload data'!$C:$C,'divisional &amp; regional caseload%'!$B$85,'caseload data'!$D:$D,"TPO")/SUMIF('caseload data'!$C:$C,'divisional &amp; regional caseload%'!$B$85,'caseload data'!O:O),"")</f>
        <v/>
      </c>
      <c r="N89" s="167" t="str">
        <f>IFERROR(SUMIFS('caseload data'!P:P,'caseload data'!$C:$C,'divisional &amp; regional caseload%'!$B$85,'caseload data'!$D:$D,"TPO")/SUMIF('caseload data'!$C:$C,'divisional &amp; regional caseload%'!$B$85,'caseload data'!P:P),"")</f>
        <v/>
      </c>
      <c r="O89" s="167" t="str">
        <f>IFERROR(SUMIFS('caseload data'!Q:Q,'caseload data'!$C:$C,'divisional &amp; regional caseload%'!$B$85,'caseload data'!$D:$D,"TPO")/SUMIF('caseload data'!$C:$C,'divisional &amp; regional caseload%'!$B$85,'caseload data'!Q:Q),"")</f>
        <v/>
      </c>
      <c r="P89" s="167" t="str">
        <f>IFERROR(SUMIFS('caseload data'!R:R,'caseload data'!$C:$C,'divisional &amp; regional caseload%'!$B$85,'caseload data'!$D:$D,"TPO")/SUMIF('caseload data'!$C:$C,'divisional &amp; regional caseload%'!$B$85,'caseload data'!R:R),"")</f>
        <v/>
      </c>
      <c r="Q89" s="167" t="str">
        <f>IFERROR(SUMIFS('caseload data'!S:S,'caseload data'!$C:$C,'divisional &amp; regional caseload%'!$B$85,'caseload data'!$D:$D,"TPO")/SUMIF('caseload data'!$C:$C,'divisional &amp; regional caseload%'!$B$85,'caseload data'!S:S),"")</f>
        <v/>
      </c>
      <c r="R89" s="167" t="str">
        <f>IFERROR(SUMIFS('caseload data'!T:T,'caseload data'!$C:$C,'divisional &amp; regional caseload%'!$B$85,'caseload data'!$D:$D,"TPO")/SUMIF('caseload data'!$C:$C,'divisional &amp; regional caseload%'!$B$85,'caseload data'!T:T),"")</f>
        <v/>
      </c>
      <c r="T89" s="97" t="s">
        <v>953</v>
      </c>
      <c r="U89" s="167" t="str">
        <f>IFERROR(SUMIFS('caseload data'!E:E,'caseload data'!$C:$C,'divisional &amp; regional caseload%'!$T$85,'caseload data'!$D:$D,"TPO")/SUMIF('caseload data'!$C:$C,'divisional &amp; regional caseload%'!$T$85,'caseload data'!E:E),"")</f>
        <v/>
      </c>
      <c r="V89" s="167" t="str">
        <f>IFERROR(SUMIFS('caseload data'!F:F,'caseload data'!$C:$C,'divisional &amp; regional caseload%'!$T$85,'caseload data'!$D:$D,"TPO")/SUMIF('caseload data'!$C:$C,'divisional &amp; regional caseload%'!$T$85,'caseload data'!F:F),"")</f>
        <v/>
      </c>
      <c r="W89" s="167" t="str">
        <f>IFERROR(SUMIFS('caseload data'!G:G,'caseload data'!$C:$C,'divisional &amp; regional caseload%'!$T$85,'caseload data'!$D:$D,"TPO")/SUMIF('caseload data'!$C:$C,'divisional &amp; regional caseload%'!$T$85,'caseload data'!G:G),"")</f>
        <v/>
      </c>
      <c r="X89" s="167" t="str">
        <f>IFERROR(SUMIFS('caseload data'!H:H,'caseload data'!$C:$C,'divisional &amp; regional caseload%'!$T$85,'caseload data'!$D:$D,"TPO")/SUMIF('caseload data'!$C:$C,'divisional &amp; regional caseload%'!$T$85,'caseload data'!H:H),"")</f>
        <v/>
      </c>
      <c r="Y89" s="167" t="str">
        <f>IFERROR(SUMIFS('caseload data'!I:I,'caseload data'!$C:$C,'divisional &amp; regional caseload%'!$T$85,'caseload data'!$D:$D,"TPO")/SUMIF('caseload data'!$C:$C,'divisional &amp; regional caseload%'!$T$85,'caseload data'!I:I),"")</f>
        <v/>
      </c>
      <c r="Z89" s="167" t="str">
        <f>IFERROR(SUMIFS('caseload data'!J:J,'caseload data'!$C:$C,'divisional &amp; regional caseload%'!$T$85,'caseload data'!$D:$D,"TPO")/SUMIF('caseload data'!$C:$C,'divisional &amp; regional caseload%'!$T$85,'caseload data'!J:J),"")</f>
        <v/>
      </c>
      <c r="AA89" s="167" t="str">
        <f>IFERROR(SUMIFS('caseload data'!K:K,'caseload data'!$C:$C,'divisional &amp; regional caseload%'!$T$85,'caseload data'!$D:$D,"TPO")/SUMIF('caseload data'!$C:$C,'divisional &amp; regional caseload%'!$T$85,'caseload data'!K:K),"")</f>
        <v/>
      </c>
      <c r="AB89" s="167" t="str">
        <f>IFERROR(SUMIFS('caseload data'!L:L,'caseload data'!$C:$C,'divisional &amp; regional caseload%'!$T$85,'caseload data'!$D:$D,"TPO")/SUMIF('caseload data'!$C:$C,'divisional &amp; regional caseload%'!$T$85,'caseload data'!L:L),"")</f>
        <v/>
      </c>
      <c r="AC89" s="167" t="str">
        <f>IFERROR(SUMIFS('caseload data'!M:M,'caseload data'!$C:$C,'divisional &amp; regional caseload%'!$T$85,'caseload data'!$D:$D,"TPO")/SUMIF('caseload data'!$C:$C,'divisional &amp; regional caseload%'!$T$85,'caseload data'!M:M),"")</f>
        <v/>
      </c>
      <c r="AD89" s="167" t="str">
        <f>IFERROR(SUMIFS('caseload data'!N:N,'caseload data'!$C:$C,'divisional &amp; regional caseload%'!$T$85,'caseload data'!$D:$D,"TPO")/SUMIF('caseload data'!$C:$C,'divisional &amp; regional caseload%'!$T$85,'caseload data'!N:N),"")</f>
        <v/>
      </c>
      <c r="AE89" s="167" t="str">
        <f>IFERROR(SUMIFS('caseload data'!O:O,'caseload data'!$C:$C,'divisional &amp; regional caseload%'!$T$85,'caseload data'!$D:$D,"TPO")/SUMIF('caseload data'!$C:$C,'divisional &amp; regional caseload%'!$T$85,'caseload data'!O:O),"")</f>
        <v/>
      </c>
      <c r="AF89" s="167" t="str">
        <f>IFERROR(SUMIFS('caseload data'!P:P,'caseload data'!$C:$C,'divisional &amp; regional caseload%'!$T$85,'caseload data'!$D:$D,"TPO")/SUMIF('caseload data'!$C:$C,'divisional &amp; regional caseload%'!$T$85,'caseload data'!P:P),"")</f>
        <v/>
      </c>
      <c r="AG89" s="167" t="str">
        <f>IFERROR(SUMIFS('caseload data'!Q:Q,'caseload data'!$C:$C,'divisional &amp; regional caseload%'!$T$85,'caseload data'!$D:$D,"TPO")/SUMIF('caseload data'!$C:$C,'divisional &amp; regional caseload%'!$T$85,'caseload data'!Q:Q),"")</f>
        <v/>
      </c>
      <c r="AH89" s="167" t="str">
        <f>IFERROR(SUMIFS('caseload data'!R:R,'caseload data'!$C:$C,'divisional &amp; regional caseload%'!$T$85,'caseload data'!$D:$D,"TPO")/SUMIF('caseload data'!$C:$C,'divisional &amp; regional caseload%'!$T$85,'caseload data'!R:R),"")</f>
        <v/>
      </c>
      <c r="AI89" s="167" t="str">
        <f>IFERROR(SUMIFS('caseload data'!S:S,'caseload data'!$C:$C,'divisional &amp; regional caseload%'!$T$85,'caseload data'!$D:$D,"TPO")/SUMIF('caseload data'!$C:$C,'divisional &amp; regional caseload%'!$T$85,'caseload data'!S:S),"")</f>
        <v/>
      </c>
      <c r="AJ89" s="167" t="str">
        <f>IFERROR(SUMIFS('caseload data'!T:T,'caseload data'!$C:$C,'divisional &amp; regional caseload%'!$T$85,'caseload data'!$D:$D,"TPO")/SUMIF('caseload data'!$C:$C,'divisional &amp; regional caseload%'!$T$85,'caseload data'!T:T),"")</f>
        <v/>
      </c>
    </row>
    <row r="90" spans="2:36" x14ac:dyDescent="0.15">
      <c r="B90" s="98" t="s">
        <v>954</v>
      </c>
      <c r="C90" s="167" t="str">
        <f>IFERROR(SUMIFS('caseload data'!E:E,'caseload data'!$C:$C,'divisional &amp; regional caseload%'!$B$85,'caseload data'!$D:$D,"SPO")/SUMIF('caseload data'!$C:$C,'divisional &amp; regional caseload%'!$B$85,'caseload data'!E:E),"")</f>
        <v/>
      </c>
      <c r="D90" s="167" t="str">
        <f>IFERROR(SUMIFS('caseload data'!F:F,'caseload data'!$C:$C,'divisional &amp; regional caseload%'!$B$85,'caseload data'!$D:$D,"SPO")/SUMIF('caseload data'!$C:$C,'divisional &amp; regional caseload%'!$B$85,'caseload data'!F:F),"")</f>
        <v/>
      </c>
      <c r="E90" s="167" t="str">
        <f>IFERROR(SUMIFS('caseload data'!G:G,'caseload data'!$C:$C,'divisional &amp; regional caseload%'!$B$85,'caseload data'!$D:$D,"SPO")/SUMIF('caseload data'!$C:$C,'divisional &amp; regional caseload%'!$B$85,'caseload data'!G:G),"")</f>
        <v/>
      </c>
      <c r="F90" s="167" t="str">
        <f>IFERROR(SUMIFS('caseload data'!H:H,'caseload data'!$C:$C,'divisional &amp; regional caseload%'!$B$85,'caseload data'!$D:$D,"SPO")/SUMIF('caseload data'!$C:$C,'divisional &amp; regional caseload%'!$B$85,'caseload data'!H:H),"")</f>
        <v/>
      </c>
      <c r="G90" s="167" t="str">
        <f>IFERROR(SUMIFS('caseload data'!I:I,'caseload data'!$C:$C,'divisional &amp; regional caseload%'!$B$85,'caseload data'!$D:$D,"SPO")/SUMIF('caseload data'!$C:$C,'divisional &amp; regional caseload%'!$B$85,'caseload data'!I:I),"")</f>
        <v/>
      </c>
      <c r="H90" s="167" t="str">
        <f>IFERROR(SUMIFS('caseload data'!J:J,'caseload data'!$C:$C,'divisional &amp; regional caseload%'!$B$85,'caseload data'!$D:$D,"SPO")/SUMIF('caseload data'!$C:$C,'divisional &amp; regional caseload%'!$B$85,'caseload data'!J:J),"")</f>
        <v/>
      </c>
      <c r="I90" s="167" t="str">
        <f>IFERROR(SUMIFS('caseload data'!K:K,'caseload data'!$C:$C,'divisional &amp; regional caseload%'!$B$85,'caseload data'!$D:$D,"SPO")/SUMIF('caseload data'!$C:$C,'divisional &amp; regional caseload%'!$B$85,'caseload data'!K:K),"")</f>
        <v/>
      </c>
      <c r="J90" s="167" t="str">
        <f>IFERROR(SUMIFS('caseload data'!L:L,'caseload data'!$C:$C,'divisional &amp; regional caseload%'!$B$85,'caseload data'!$D:$D,"SPO")/SUMIF('caseload data'!$C:$C,'divisional &amp; regional caseload%'!$B$85,'caseload data'!L:L),"")</f>
        <v/>
      </c>
      <c r="K90" s="167" t="str">
        <f>IFERROR(SUMIFS('caseload data'!M:M,'caseload data'!$C:$C,'divisional &amp; regional caseload%'!$B$85,'caseload data'!$D:$D,"SPO")/SUMIF('caseload data'!$C:$C,'divisional &amp; regional caseload%'!$B$85,'caseload data'!M:M),"")</f>
        <v/>
      </c>
      <c r="L90" s="167" t="str">
        <f>IFERROR(SUMIFS('caseload data'!N:N,'caseload data'!$C:$C,'divisional &amp; regional caseload%'!$B$85,'caseload data'!$D:$D,"SPO")/SUMIF('caseload data'!$C:$C,'divisional &amp; regional caseload%'!$B$85,'caseload data'!N:N),"")</f>
        <v/>
      </c>
      <c r="M90" s="167" t="str">
        <f>IFERROR(SUMIFS('caseload data'!O:O,'caseload data'!$C:$C,'divisional &amp; regional caseload%'!$B$85,'caseload data'!$D:$D,"SPO")/SUMIF('caseload data'!$C:$C,'divisional &amp; regional caseload%'!$B$85,'caseload data'!O:O),"")</f>
        <v/>
      </c>
      <c r="N90" s="167" t="str">
        <f>IFERROR(SUMIFS('caseload data'!P:P,'caseload data'!$C:$C,'divisional &amp; regional caseload%'!$B$85,'caseload data'!$D:$D,"SPO")/SUMIF('caseload data'!$C:$C,'divisional &amp; regional caseload%'!$B$85,'caseload data'!P:P),"")</f>
        <v/>
      </c>
      <c r="O90" s="167" t="str">
        <f>IFERROR(SUMIFS('caseload data'!Q:Q,'caseload data'!$C:$C,'divisional &amp; regional caseload%'!$B$85,'caseload data'!$D:$D,"SPO")/SUMIF('caseload data'!$C:$C,'divisional &amp; regional caseload%'!$B$85,'caseload data'!Q:Q),"")</f>
        <v/>
      </c>
      <c r="P90" s="167" t="str">
        <f>IFERROR(SUMIFS('caseload data'!R:R,'caseload data'!$C:$C,'divisional &amp; regional caseload%'!$B$85,'caseload data'!$D:$D,"SPO")/SUMIF('caseload data'!$C:$C,'divisional &amp; regional caseload%'!$B$85,'caseload data'!R:R),"")</f>
        <v/>
      </c>
      <c r="Q90" s="167" t="str">
        <f>IFERROR(SUMIFS('caseload data'!S:S,'caseload data'!$C:$C,'divisional &amp; regional caseload%'!$B$85,'caseload data'!$D:$D,"SPO")/SUMIF('caseload data'!$C:$C,'divisional &amp; regional caseload%'!$B$85,'caseload data'!S:S),"")</f>
        <v/>
      </c>
      <c r="R90" s="167" t="str">
        <f>IFERROR(SUMIFS('caseload data'!T:T,'caseload data'!$C:$C,'divisional &amp; regional caseload%'!$B$85,'caseload data'!$D:$D,"SPO")/SUMIF('caseload data'!$C:$C,'divisional &amp; regional caseload%'!$B$85,'caseload data'!T:T),"")</f>
        <v/>
      </c>
      <c r="T90" s="98" t="s">
        <v>954</v>
      </c>
      <c r="U90" s="167" t="str">
        <f>IFERROR(SUMIFS('caseload data'!E:E,'caseload data'!$C:$C,'divisional &amp; regional caseload%'!$T$85,'caseload data'!$D:$D,"SPO")/SUMIF('caseload data'!$C:$C,'divisional &amp; regional caseload%'!$T$85,'caseload data'!E:E),"")</f>
        <v/>
      </c>
      <c r="V90" s="167" t="str">
        <f>IFERROR(SUMIFS('caseload data'!F:F,'caseload data'!$C:$C,'divisional &amp; regional caseload%'!$T$85,'caseload data'!$D:$D,"SPO")/SUMIF('caseload data'!$C:$C,'divisional &amp; regional caseload%'!$T$85,'caseload data'!F:F),"")</f>
        <v/>
      </c>
      <c r="W90" s="167" t="str">
        <f>IFERROR(SUMIFS('caseload data'!G:G,'caseload data'!$C:$C,'divisional &amp; regional caseload%'!$T$85,'caseload data'!$D:$D,"SPO")/SUMIF('caseload data'!$C:$C,'divisional &amp; regional caseload%'!$T$85,'caseload data'!G:G),"")</f>
        <v/>
      </c>
      <c r="X90" s="167" t="str">
        <f>IFERROR(SUMIFS('caseload data'!H:H,'caseload data'!$C:$C,'divisional &amp; regional caseload%'!$T$85,'caseload data'!$D:$D,"SPO")/SUMIF('caseload data'!$C:$C,'divisional &amp; regional caseload%'!$T$85,'caseload data'!H:H),"")</f>
        <v/>
      </c>
      <c r="Y90" s="167" t="str">
        <f>IFERROR(SUMIFS('caseload data'!I:I,'caseload data'!$C:$C,'divisional &amp; regional caseload%'!$T$85,'caseload data'!$D:$D,"SPO")/SUMIF('caseload data'!$C:$C,'divisional &amp; regional caseload%'!$T$85,'caseload data'!I:I),"")</f>
        <v/>
      </c>
      <c r="Z90" s="167" t="str">
        <f>IFERROR(SUMIFS('caseload data'!J:J,'caseload data'!$C:$C,'divisional &amp; regional caseload%'!$T$85,'caseload data'!$D:$D,"SPO")/SUMIF('caseload data'!$C:$C,'divisional &amp; regional caseload%'!$T$85,'caseload data'!J:J),"")</f>
        <v/>
      </c>
      <c r="AA90" s="167" t="str">
        <f>IFERROR(SUMIFS('caseload data'!K:K,'caseload data'!$C:$C,'divisional &amp; regional caseload%'!$T$85,'caseload data'!$D:$D,"SPO")/SUMIF('caseload data'!$C:$C,'divisional &amp; regional caseload%'!$T$85,'caseload data'!K:K),"")</f>
        <v/>
      </c>
      <c r="AB90" s="167" t="str">
        <f>IFERROR(SUMIFS('caseload data'!L:L,'caseload data'!$C:$C,'divisional &amp; regional caseload%'!$T$85,'caseload data'!$D:$D,"SPO")/SUMIF('caseload data'!$C:$C,'divisional &amp; regional caseload%'!$T$85,'caseload data'!L:L),"")</f>
        <v/>
      </c>
      <c r="AC90" s="167" t="str">
        <f>IFERROR(SUMIFS('caseload data'!M:M,'caseload data'!$C:$C,'divisional &amp; regional caseload%'!$T$85,'caseload data'!$D:$D,"SPO")/SUMIF('caseload data'!$C:$C,'divisional &amp; regional caseload%'!$T$85,'caseload data'!M:M),"")</f>
        <v/>
      </c>
      <c r="AD90" s="167" t="str">
        <f>IFERROR(SUMIFS('caseload data'!N:N,'caseload data'!$C:$C,'divisional &amp; regional caseload%'!$T$85,'caseload data'!$D:$D,"SPO")/SUMIF('caseload data'!$C:$C,'divisional &amp; regional caseload%'!$T$85,'caseload data'!N:N),"")</f>
        <v/>
      </c>
      <c r="AE90" s="167" t="str">
        <f>IFERROR(SUMIFS('caseload data'!O:O,'caseload data'!$C:$C,'divisional &amp; regional caseload%'!$T$85,'caseload data'!$D:$D,"SPO")/SUMIF('caseload data'!$C:$C,'divisional &amp; regional caseload%'!$T$85,'caseload data'!O:O),"")</f>
        <v/>
      </c>
      <c r="AF90" s="167" t="str">
        <f>IFERROR(SUMIFS('caseload data'!P:P,'caseload data'!$C:$C,'divisional &amp; regional caseload%'!$T$85,'caseload data'!$D:$D,"SPO")/SUMIF('caseload data'!$C:$C,'divisional &amp; regional caseload%'!$T$85,'caseload data'!P:P),"")</f>
        <v/>
      </c>
      <c r="AG90" s="167" t="str">
        <f>IFERROR(SUMIFS('caseload data'!Q:Q,'caseload data'!$C:$C,'divisional &amp; regional caseload%'!$T$85,'caseload data'!$D:$D,"SPO")/SUMIF('caseload data'!$C:$C,'divisional &amp; regional caseload%'!$T$85,'caseload data'!Q:Q),"")</f>
        <v/>
      </c>
      <c r="AH90" s="167" t="str">
        <f>IFERROR(SUMIFS('caseload data'!R:R,'caseload data'!$C:$C,'divisional &amp; regional caseload%'!$T$85,'caseload data'!$D:$D,"SPO")/SUMIF('caseload data'!$C:$C,'divisional &amp; regional caseload%'!$T$85,'caseload data'!R:R),"")</f>
        <v/>
      </c>
      <c r="AI90" s="167" t="str">
        <f>IFERROR(SUMIFS('caseload data'!S:S,'caseload data'!$C:$C,'divisional &amp; regional caseload%'!$T$85,'caseload data'!$D:$D,"SPO")/SUMIF('caseload data'!$C:$C,'divisional &amp; regional caseload%'!$T$85,'caseload data'!S:S),"")</f>
        <v/>
      </c>
      <c r="AJ90" s="167" t="str">
        <f>IFERROR(SUMIFS('caseload data'!T:T,'caseload data'!$C:$C,'divisional &amp; regional caseload%'!$T$85,'caseload data'!$D:$D,"SPO")/SUMIF('caseload data'!$C:$C,'divisional &amp; regional caseload%'!$T$85,'caseload data'!T:T),"")</f>
        <v/>
      </c>
    </row>
    <row r="92" spans="2:36" ht="23.25" customHeight="1" x14ac:dyDescent="0.15">
      <c r="B92" s="142">
        <f>HLOOKUP($B$5,Region_Table,26,0)</f>
        <v>0</v>
      </c>
      <c r="C92" s="556" t="s">
        <v>1039</v>
      </c>
      <c r="D92" s="557"/>
      <c r="E92" s="557"/>
      <c r="F92" s="557"/>
      <c r="G92" s="557"/>
      <c r="H92" s="557"/>
      <c r="I92" s="557"/>
      <c r="J92" s="557"/>
      <c r="K92" s="557"/>
      <c r="L92" s="557"/>
      <c r="M92" s="558"/>
      <c r="N92" s="558"/>
      <c r="O92" s="559"/>
      <c r="P92" s="543">
        <f>SUMIF('caseload data'!$C:$C,'divisional &amp; regional caseload%'!B92,'caseload data'!V:V)</f>
        <v>0</v>
      </c>
      <c r="Q92" s="560"/>
      <c r="R92" s="561"/>
      <c r="T92" s="142">
        <f>HLOOKUP($B$5,Region_Table,27,0)</f>
        <v>0</v>
      </c>
      <c r="U92" s="556" t="s">
        <v>1039</v>
      </c>
      <c r="V92" s="557"/>
      <c r="W92" s="557"/>
      <c r="X92" s="557"/>
      <c r="Y92" s="557"/>
      <c r="Z92" s="557"/>
      <c r="AA92" s="557"/>
      <c r="AB92" s="557"/>
      <c r="AC92" s="557"/>
      <c r="AD92" s="557"/>
      <c r="AE92" s="558"/>
      <c r="AF92" s="558"/>
      <c r="AG92" s="559"/>
      <c r="AH92" s="543">
        <f>SUMIF('caseload data'!$C:$C,'divisional &amp; regional caseload%'!T92,'caseload data'!V:V)</f>
        <v>0</v>
      </c>
      <c r="AI92" s="560"/>
      <c r="AJ92" s="561"/>
    </row>
    <row r="93" spans="2:36" x14ac:dyDescent="0.15">
      <c r="B93" s="95" t="s">
        <v>951</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951</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167" t="str">
        <f>IFERROR(SUMIFS('caseload data'!E:E,'caseload data'!$C:$C,'divisional &amp; regional caseload%'!$B$92,'caseload data'!$D:$D,"PO")/SUMIF('caseload data'!$C:$C,'divisional &amp; regional caseload%'!$B$92,'caseload data'!E:E),"")</f>
        <v/>
      </c>
      <c r="D94" s="167" t="str">
        <f>IFERROR(SUMIFS('caseload data'!F:F,'caseload data'!$C:$C,'divisional &amp; regional caseload%'!$B$92,'caseload data'!$D:$D,"PO")/SUMIF('caseload data'!$C:$C,'divisional &amp; regional caseload%'!$B$92,'caseload data'!F:F),"")</f>
        <v/>
      </c>
      <c r="E94" s="167" t="str">
        <f>IFERROR(SUMIFS('caseload data'!G:G,'caseload data'!$C:$C,'divisional &amp; regional caseload%'!$B$92,'caseload data'!$D:$D,"PO")/SUMIF('caseload data'!$C:$C,'divisional &amp; regional caseload%'!$B$92,'caseload data'!G:G),"")</f>
        <v/>
      </c>
      <c r="F94" s="167" t="str">
        <f>IFERROR(SUMIFS('caseload data'!H:H,'caseload data'!$C:$C,'divisional &amp; regional caseload%'!$B$92,'caseload data'!$D:$D,"PO")/SUMIF('caseload data'!$C:$C,'divisional &amp; regional caseload%'!$B$92,'caseload data'!H:H),"")</f>
        <v/>
      </c>
      <c r="G94" s="167" t="str">
        <f>IFERROR(SUMIFS('caseload data'!I:I,'caseload data'!$C:$C,'divisional &amp; regional caseload%'!$B$92,'caseload data'!$D:$D,"PO")/SUMIF('caseload data'!$C:$C,'divisional &amp; regional caseload%'!$B$92,'caseload data'!I:I),"")</f>
        <v/>
      </c>
      <c r="H94" s="167" t="str">
        <f>IFERROR(SUMIFS('caseload data'!J:J,'caseload data'!$C:$C,'divisional &amp; regional caseload%'!$B$92,'caseload data'!$D:$D,"PO")/SUMIF('caseload data'!$C:$C,'divisional &amp; regional caseload%'!$B$92,'caseload data'!J:J),"")</f>
        <v/>
      </c>
      <c r="I94" s="167" t="str">
        <f>IFERROR(SUMIFS('caseload data'!K:K,'caseload data'!$C:$C,'divisional &amp; regional caseload%'!$B$92,'caseload data'!$D:$D,"PO")/SUMIF('caseload data'!$C:$C,'divisional &amp; regional caseload%'!$B$92,'caseload data'!K:K),"")</f>
        <v/>
      </c>
      <c r="J94" s="167" t="str">
        <f>IFERROR(SUMIFS('caseload data'!L:L,'caseload data'!$C:$C,'divisional &amp; regional caseload%'!$B$92,'caseload data'!$D:$D,"PO")/SUMIF('caseload data'!$C:$C,'divisional &amp; regional caseload%'!$B$92,'caseload data'!L:L),"")</f>
        <v/>
      </c>
      <c r="K94" s="167" t="str">
        <f>IFERROR(SUMIFS('caseload data'!M:M,'caseload data'!$C:$C,'divisional &amp; regional caseload%'!$B$92,'caseload data'!$D:$D,"PO")/SUMIF('caseload data'!$C:$C,'divisional &amp; regional caseload%'!$B$92,'caseload data'!M:M),"")</f>
        <v/>
      </c>
      <c r="L94" s="167" t="str">
        <f>IFERROR(SUMIFS('caseload data'!N:N,'caseload data'!$C:$C,'divisional &amp; regional caseload%'!$B$92,'caseload data'!$D:$D,"PO")/SUMIF('caseload data'!$C:$C,'divisional &amp; regional caseload%'!$B$92,'caseload data'!N:N),"")</f>
        <v/>
      </c>
      <c r="M94" s="167" t="str">
        <f>IFERROR(SUMIFS('caseload data'!O:O,'caseload data'!$C:$C,'divisional &amp; regional caseload%'!$B$92,'caseload data'!$D:$D,"PO")/SUMIF('caseload data'!$C:$C,'divisional &amp; regional caseload%'!$B$92,'caseload data'!O:O),"")</f>
        <v/>
      </c>
      <c r="N94" s="167" t="str">
        <f>IFERROR(SUMIFS('caseload data'!P:P,'caseload data'!$C:$C,'divisional &amp; regional caseload%'!$B$92,'caseload data'!$D:$D,"PO")/SUMIF('caseload data'!$C:$C,'divisional &amp; regional caseload%'!$B$92,'caseload data'!P:P),"")</f>
        <v/>
      </c>
      <c r="O94" s="167" t="str">
        <f>IFERROR(SUMIFS('caseload data'!Q:Q,'caseload data'!$C:$C,'divisional &amp; regional caseload%'!$B$92,'caseload data'!$D:$D,"PO")/SUMIF('caseload data'!$C:$C,'divisional &amp; regional caseload%'!$B$92,'caseload data'!Q:Q),"")</f>
        <v/>
      </c>
      <c r="P94" s="167" t="str">
        <f>IFERROR(SUMIFS('caseload data'!R:R,'caseload data'!$C:$C,'divisional &amp; regional caseload%'!$B$92,'caseload data'!$D:$D,"PO")/SUMIF('caseload data'!$C:$C,'divisional &amp; regional caseload%'!$B$92,'caseload data'!R:R),"")</f>
        <v/>
      </c>
      <c r="Q94" s="167" t="str">
        <f>IFERROR(SUMIFS('caseload data'!S:S,'caseload data'!$C:$C,'divisional &amp; regional caseload%'!$B$92,'caseload data'!$D:$D,"PO")/SUMIF('caseload data'!$C:$C,'divisional &amp; regional caseload%'!$B$92,'caseload data'!S:S),"")</f>
        <v/>
      </c>
      <c r="R94" s="167" t="str">
        <f>IFERROR(SUMIFS('caseload data'!T:T,'caseload data'!$C:$C,'divisional &amp; regional caseload%'!$B$92,'caseload data'!$D:$D,"PO")/SUMIF('caseload data'!$C:$C,'divisional &amp; regional caseload%'!$B$92,'caseload data'!T:T),"")</f>
        <v/>
      </c>
      <c r="T94" s="96" t="s">
        <v>947</v>
      </c>
      <c r="U94" s="167" t="str">
        <f>IFERROR(SUMIFS('caseload data'!E:E,'caseload data'!$C:$C,'divisional &amp; regional caseload%'!$T$92,'caseload data'!$D:$D,"PO")/SUMIF('caseload data'!$C:$C,'divisional &amp; regional caseload%'!$T$92,'caseload data'!E:E),"")</f>
        <v/>
      </c>
      <c r="V94" s="167" t="str">
        <f>IFERROR(SUMIFS('caseload data'!F:F,'caseload data'!$C:$C,'divisional &amp; regional caseload%'!$T$92,'caseload data'!$D:$D,"PO")/SUMIF('caseload data'!$C:$C,'divisional &amp; regional caseload%'!$T$92,'caseload data'!F:F),"")</f>
        <v/>
      </c>
      <c r="W94" s="167" t="str">
        <f>IFERROR(SUMIFS('caseload data'!G:G,'caseload data'!$C:$C,'divisional &amp; regional caseload%'!$T$92,'caseload data'!$D:$D,"PO")/SUMIF('caseload data'!$C:$C,'divisional &amp; regional caseload%'!$T$92,'caseload data'!G:G),"")</f>
        <v/>
      </c>
      <c r="X94" s="167" t="str">
        <f>IFERROR(SUMIFS('caseload data'!H:H,'caseload data'!$C:$C,'divisional &amp; regional caseload%'!$T$92,'caseload data'!$D:$D,"PO")/SUMIF('caseload data'!$C:$C,'divisional &amp; regional caseload%'!$T$92,'caseload data'!H:H),"")</f>
        <v/>
      </c>
      <c r="Y94" s="167" t="str">
        <f>IFERROR(SUMIFS('caseload data'!I:I,'caseload data'!$C:$C,'divisional &amp; regional caseload%'!$T$92,'caseload data'!$D:$D,"PO")/SUMIF('caseload data'!$C:$C,'divisional &amp; regional caseload%'!$T$92,'caseload data'!I:I),"")</f>
        <v/>
      </c>
      <c r="Z94" s="167" t="str">
        <f>IFERROR(SUMIFS('caseload data'!J:J,'caseload data'!$C:$C,'divisional &amp; regional caseload%'!$T$92,'caseload data'!$D:$D,"PO")/SUMIF('caseload data'!$C:$C,'divisional &amp; regional caseload%'!$T$92,'caseload data'!J:J),"")</f>
        <v/>
      </c>
      <c r="AA94" s="167" t="str">
        <f>IFERROR(SUMIFS('caseload data'!K:K,'caseload data'!$C:$C,'divisional &amp; regional caseload%'!$T$92,'caseload data'!$D:$D,"PO")/SUMIF('caseload data'!$C:$C,'divisional &amp; regional caseload%'!$T$92,'caseload data'!K:K),"")</f>
        <v/>
      </c>
      <c r="AB94" s="167" t="str">
        <f>IFERROR(SUMIFS('caseload data'!L:L,'caseload data'!$C:$C,'divisional &amp; regional caseload%'!$T$92,'caseload data'!$D:$D,"PO")/SUMIF('caseload data'!$C:$C,'divisional &amp; regional caseload%'!$T$92,'caseload data'!L:L),"")</f>
        <v/>
      </c>
      <c r="AC94" s="167" t="str">
        <f>IFERROR(SUMIFS('caseload data'!M:M,'caseload data'!$C:$C,'divisional &amp; regional caseload%'!$T$92,'caseload data'!$D:$D,"PO")/SUMIF('caseload data'!$C:$C,'divisional &amp; regional caseload%'!$T$92,'caseload data'!M:M),"")</f>
        <v/>
      </c>
      <c r="AD94" s="167" t="str">
        <f>IFERROR(SUMIFS('caseload data'!N:N,'caseload data'!$C:$C,'divisional &amp; regional caseload%'!$T$92,'caseload data'!$D:$D,"PO")/SUMIF('caseload data'!$C:$C,'divisional &amp; regional caseload%'!$T$92,'caseload data'!N:N),"")</f>
        <v/>
      </c>
      <c r="AE94" s="167" t="str">
        <f>IFERROR(SUMIFS('caseload data'!O:O,'caseload data'!$C:$C,'divisional &amp; regional caseload%'!$T$92,'caseload data'!$D:$D,"PO")/SUMIF('caseload data'!$C:$C,'divisional &amp; regional caseload%'!$T$92,'caseload data'!O:O),"")</f>
        <v/>
      </c>
      <c r="AF94" s="167" t="str">
        <f>IFERROR(SUMIFS('caseload data'!P:P,'caseload data'!$C:$C,'divisional &amp; regional caseload%'!$T$92,'caseload data'!$D:$D,"PO")/SUMIF('caseload data'!$C:$C,'divisional &amp; regional caseload%'!$T$92,'caseload data'!P:P),"")</f>
        <v/>
      </c>
      <c r="AG94" s="167" t="str">
        <f>IFERROR(SUMIFS('caseload data'!Q:Q,'caseload data'!$C:$C,'divisional &amp; regional caseload%'!$T$92,'caseload data'!$D:$D,"PO")/SUMIF('caseload data'!$C:$C,'divisional &amp; regional caseload%'!$T$92,'caseload data'!Q:Q),"")</f>
        <v/>
      </c>
      <c r="AH94" s="167" t="str">
        <f>IFERROR(SUMIFS('caseload data'!R:R,'caseload data'!$C:$C,'divisional &amp; regional caseload%'!$T$92,'caseload data'!$D:$D,"PO")/SUMIF('caseload data'!$C:$C,'divisional &amp; regional caseload%'!$T$92,'caseload data'!R:R),"")</f>
        <v/>
      </c>
      <c r="AI94" s="167" t="str">
        <f>IFERROR(SUMIFS('caseload data'!S:S,'caseload data'!$C:$C,'divisional &amp; regional caseload%'!$T$92,'caseload data'!$D:$D,"PO")/SUMIF('caseload data'!$C:$C,'divisional &amp; regional caseload%'!$T$92,'caseload data'!S:S),"")</f>
        <v/>
      </c>
      <c r="AJ94" s="167" t="str">
        <f>IFERROR(SUMIFS('caseload data'!T:T,'caseload data'!$C:$C,'divisional &amp; regional caseload%'!$T$92,'caseload data'!$D:$D,"PO")/SUMIF('caseload data'!$C:$C,'divisional &amp; regional caseload%'!$T$92,'caseload data'!T:T),"")</f>
        <v/>
      </c>
    </row>
    <row r="95" spans="2:36" x14ac:dyDescent="0.15">
      <c r="B95" s="97" t="s">
        <v>952</v>
      </c>
      <c r="C95" s="167" t="str">
        <f>IFERROR(SUMIFS('caseload data'!E:E,'caseload data'!$C:$C,'divisional &amp; regional caseload%'!$B$92,'caseload data'!$D:$D,"PSO")/SUMIF('caseload data'!$C:$C,'divisional &amp; regional caseload%'!$B$92,'caseload data'!E:E),"")</f>
        <v/>
      </c>
      <c r="D95" s="167" t="str">
        <f>IFERROR(SUMIFS('caseload data'!F:F,'caseload data'!$C:$C,'divisional &amp; regional caseload%'!$B$92,'caseload data'!$D:$D,"PSO")/SUMIF('caseload data'!$C:$C,'divisional &amp; regional caseload%'!$B$92,'caseload data'!F:F),"")</f>
        <v/>
      </c>
      <c r="E95" s="167" t="str">
        <f>IFERROR(SUMIFS('caseload data'!G:G,'caseload data'!$C:$C,'divisional &amp; regional caseload%'!$B$92,'caseload data'!$D:$D,"PSO")/SUMIF('caseload data'!$C:$C,'divisional &amp; regional caseload%'!$B$92,'caseload data'!G:G),"")</f>
        <v/>
      </c>
      <c r="F95" s="167" t="str">
        <f>IFERROR(SUMIFS('caseload data'!H:H,'caseload data'!$C:$C,'divisional &amp; regional caseload%'!$B$92,'caseload data'!$D:$D,"PSO")/SUMIF('caseload data'!$C:$C,'divisional &amp; regional caseload%'!$B$92,'caseload data'!H:H),"")</f>
        <v/>
      </c>
      <c r="G95" s="167" t="str">
        <f>IFERROR(SUMIFS('caseload data'!I:I,'caseload data'!$C:$C,'divisional &amp; regional caseload%'!$B$92,'caseload data'!$D:$D,"PSO")/SUMIF('caseload data'!$C:$C,'divisional &amp; regional caseload%'!$B$92,'caseload data'!I:I),"")</f>
        <v/>
      </c>
      <c r="H95" s="167" t="str">
        <f>IFERROR(SUMIFS('caseload data'!J:J,'caseload data'!$C:$C,'divisional &amp; regional caseload%'!$B$92,'caseload data'!$D:$D,"PSO")/SUMIF('caseload data'!$C:$C,'divisional &amp; regional caseload%'!$B$92,'caseload data'!J:J),"")</f>
        <v/>
      </c>
      <c r="I95" s="167" t="str">
        <f>IFERROR(SUMIFS('caseload data'!K:K,'caseload data'!$C:$C,'divisional &amp; regional caseload%'!$B$92,'caseload data'!$D:$D,"PSO")/SUMIF('caseload data'!$C:$C,'divisional &amp; regional caseload%'!$B$92,'caseload data'!K:K),"")</f>
        <v/>
      </c>
      <c r="J95" s="167" t="str">
        <f>IFERROR(SUMIFS('caseload data'!L:L,'caseload data'!$C:$C,'divisional &amp; regional caseload%'!$B$92,'caseload data'!$D:$D,"PSO")/SUMIF('caseload data'!$C:$C,'divisional &amp; regional caseload%'!$B$92,'caseload data'!L:L),"")</f>
        <v/>
      </c>
      <c r="K95" s="167" t="str">
        <f>IFERROR(SUMIFS('caseload data'!M:M,'caseload data'!$C:$C,'divisional &amp; regional caseload%'!$B$92,'caseload data'!$D:$D,"PSO")/SUMIF('caseload data'!$C:$C,'divisional &amp; regional caseload%'!$B$92,'caseload data'!M:M),"")</f>
        <v/>
      </c>
      <c r="L95" s="167" t="str">
        <f>IFERROR(SUMIFS('caseload data'!N:N,'caseload data'!$C:$C,'divisional &amp; regional caseload%'!$B$92,'caseload data'!$D:$D,"PSO")/SUMIF('caseload data'!$C:$C,'divisional &amp; regional caseload%'!$B$92,'caseload data'!N:N),"")</f>
        <v/>
      </c>
      <c r="M95" s="167" t="str">
        <f>IFERROR(SUMIFS('caseload data'!O:O,'caseload data'!$C:$C,'divisional &amp; regional caseload%'!$B$92,'caseload data'!$D:$D,"PSO")/SUMIF('caseload data'!$C:$C,'divisional &amp; regional caseload%'!$B$92,'caseload data'!O:O),"")</f>
        <v/>
      </c>
      <c r="N95" s="167" t="str">
        <f>IFERROR(SUMIFS('caseload data'!P:P,'caseload data'!$C:$C,'divisional &amp; regional caseload%'!$B$92,'caseload data'!$D:$D,"PSO")/SUMIF('caseload data'!$C:$C,'divisional &amp; regional caseload%'!$B$92,'caseload data'!P:P),"")</f>
        <v/>
      </c>
      <c r="O95" s="167" t="str">
        <f>IFERROR(SUMIFS('caseload data'!Q:Q,'caseload data'!$C:$C,'divisional &amp; regional caseload%'!$B$92,'caseload data'!$D:$D,"PSO")/SUMIF('caseload data'!$C:$C,'divisional &amp; regional caseload%'!$B$92,'caseload data'!Q:Q),"")</f>
        <v/>
      </c>
      <c r="P95" s="167" t="str">
        <f>IFERROR(SUMIFS('caseload data'!R:R,'caseload data'!$C:$C,'divisional &amp; regional caseload%'!$B$92,'caseload data'!$D:$D,"PSO")/SUMIF('caseload data'!$C:$C,'divisional &amp; regional caseload%'!$B$92,'caseload data'!R:R),"")</f>
        <v/>
      </c>
      <c r="Q95" s="167" t="str">
        <f>IFERROR(SUMIFS('caseload data'!S:S,'caseload data'!$C:$C,'divisional &amp; regional caseload%'!$B$92,'caseload data'!$D:$D,"PSO")/SUMIF('caseload data'!$C:$C,'divisional &amp; regional caseload%'!$B$92,'caseload data'!S:S),"")</f>
        <v/>
      </c>
      <c r="R95" s="167" t="str">
        <f>IFERROR(SUMIFS('caseload data'!T:T,'caseload data'!$C:$C,'divisional &amp; regional caseload%'!$B$92,'caseload data'!$D:$D,"PSO")/SUMIF('caseload data'!$C:$C,'divisional &amp; regional caseload%'!$B$92,'caseload data'!T:T),"")</f>
        <v/>
      </c>
      <c r="T95" s="97" t="s">
        <v>952</v>
      </c>
      <c r="U95" s="167" t="str">
        <f>IFERROR(SUMIFS('caseload data'!E:E,'caseload data'!$C:$C,'divisional &amp; regional caseload%'!$T$92,'caseload data'!$D:$D,"PSO")/SUMIF('caseload data'!$C:$C,'divisional &amp; regional caseload%'!$T$92,'caseload data'!E:E),"")</f>
        <v/>
      </c>
      <c r="V95" s="167" t="str">
        <f>IFERROR(SUMIFS('caseload data'!F:F,'caseload data'!$C:$C,'divisional &amp; regional caseload%'!$T$92,'caseload data'!$D:$D,"PSO")/SUMIF('caseload data'!$C:$C,'divisional &amp; regional caseload%'!$T$92,'caseload data'!F:F),"")</f>
        <v/>
      </c>
      <c r="W95" s="167" t="str">
        <f>IFERROR(SUMIFS('caseload data'!G:G,'caseload data'!$C:$C,'divisional &amp; regional caseload%'!$T$92,'caseload data'!$D:$D,"PSO")/SUMIF('caseload data'!$C:$C,'divisional &amp; regional caseload%'!$T$92,'caseload data'!G:G),"")</f>
        <v/>
      </c>
      <c r="X95" s="167" t="str">
        <f>IFERROR(SUMIFS('caseload data'!H:H,'caseload data'!$C:$C,'divisional &amp; regional caseload%'!$T$92,'caseload data'!$D:$D,"PSO")/SUMIF('caseload data'!$C:$C,'divisional &amp; regional caseload%'!$T$92,'caseload data'!H:H),"")</f>
        <v/>
      </c>
      <c r="Y95" s="167" t="str">
        <f>IFERROR(SUMIFS('caseload data'!I:I,'caseload data'!$C:$C,'divisional &amp; regional caseload%'!$T$92,'caseload data'!$D:$D,"PSO")/SUMIF('caseload data'!$C:$C,'divisional &amp; regional caseload%'!$T$92,'caseload data'!I:I),"")</f>
        <v/>
      </c>
      <c r="Z95" s="167" t="str">
        <f>IFERROR(SUMIFS('caseload data'!J:J,'caseload data'!$C:$C,'divisional &amp; regional caseload%'!$T$92,'caseload data'!$D:$D,"PSO")/SUMIF('caseload data'!$C:$C,'divisional &amp; regional caseload%'!$T$92,'caseload data'!J:J),"")</f>
        <v/>
      </c>
      <c r="AA95" s="167" t="str">
        <f>IFERROR(SUMIFS('caseload data'!K:K,'caseload data'!$C:$C,'divisional &amp; regional caseload%'!$T$92,'caseload data'!$D:$D,"PSO")/SUMIF('caseload data'!$C:$C,'divisional &amp; regional caseload%'!$T$92,'caseload data'!K:K),"")</f>
        <v/>
      </c>
      <c r="AB95" s="167" t="str">
        <f>IFERROR(SUMIFS('caseload data'!L:L,'caseload data'!$C:$C,'divisional &amp; regional caseload%'!$T$92,'caseload data'!$D:$D,"PSO")/SUMIF('caseload data'!$C:$C,'divisional &amp; regional caseload%'!$T$92,'caseload data'!L:L),"")</f>
        <v/>
      </c>
      <c r="AC95" s="167" t="str">
        <f>IFERROR(SUMIFS('caseload data'!M:M,'caseload data'!$C:$C,'divisional &amp; regional caseload%'!$T$92,'caseload data'!$D:$D,"PSO")/SUMIF('caseload data'!$C:$C,'divisional &amp; regional caseload%'!$T$92,'caseload data'!M:M),"")</f>
        <v/>
      </c>
      <c r="AD95" s="167" t="str">
        <f>IFERROR(SUMIFS('caseload data'!N:N,'caseload data'!$C:$C,'divisional &amp; regional caseload%'!$T$92,'caseload data'!$D:$D,"PSO")/SUMIF('caseload data'!$C:$C,'divisional &amp; regional caseload%'!$T$92,'caseload data'!N:N),"")</f>
        <v/>
      </c>
      <c r="AE95" s="167" t="str">
        <f>IFERROR(SUMIFS('caseload data'!O:O,'caseload data'!$C:$C,'divisional &amp; regional caseload%'!$T$92,'caseload data'!$D:$D,"PSO")/SUMIF('caseload data'!$C:$C,'divisional &amp; regional caseload%'!$T$92,'caseload data'!O:O),"")</f>
        <v/>
      </c>
      <c r="AF95" s="167" t="str">
        <f>IFERROR(SUMIFS('caseload data'!P:P,'caseload data'!$C:$C,'divisional &amp; regional caseload%'!$T$92,'caseload data'!$D:$D,"PSO")/SUMIF('caseload data'!$C:$C,'divisional &amp; regional caseload%'!$T$92,'caseload data'!P:P),"")</f>
        <v/>
      </c>
      <c r="AG95" s="167" t="str">
        <f>IFERROR(SUMIFS('caseload data'!Q:Q,'caseload data'!$C:$C,'divisional &amp; regional caseload%'!$T$92,'caseload data'!$D:$D,"PSO")/SUMIF('caseload data'!$C:$C,'divisional &amp; regional caseload%'!$T$92,'caseload data'!Q:Q),"")</f>
        <v/>
      </c>
      <c r="AH95" s="167" t="str">
        <f>IFERROR(SUMIFS('caseload data'!R:R,'caseload data'!$C:$C,'divisional &amp; regional caseload%'!$T$92,'caseload data'!$D:$D,"PSO")/SUMIF('caseload data'!$C:$C,'divisional &amp; regional caseload%'!$T$92,'caseload data'!R:R),"")</f>
        <v/>
      </c>
      <c r="AI95" s="167" t="str">
        <f>IFERROR(SUMIFS('caseload data'!S:S,'caseload data'!$C:$C,'divisional &amp; regional caseload%'!$T$92,'caseload data'!$D:$D,"PSO")/SUMIF('caseload data'!$C:$C,'divisional &amp; regional caseload%'!$T$92,'caseload data'!S:S),"")</f>
        <v/>
      </c>
      <c r="AJ95" s="167" t="str">
        <f>IFERROR(SUMIFS('caseload data'!T:T,'caseload data'!$C:$C,'divisional &amp; regional caseload%'!$T$92,'caseload data'!$D:$D,"PSO")/SUMIF('caseload data'!$C:$C,'divisional &amp; regional caseload%'!$T$92,'caseload data'!T:T),"")</f>
        <v/>
      </c>
    </row>
    <row r="96" spans="2:36" x14ac:dyDescent="0.15">
      <c r="B96" s="97" t="s">
        <v>953</v>
      </c>
      <c r="C96" s="167" t="str">
        <f>IFERROR(SUMIFS('caseload data'!E:E,'caseload data'!$C:$C,'divisional &amp; regional caseload%'!$B$92,'caseload data'!$D:$D,"TPO")/SUMIF('caseload data'!$C:$C,'divisional &amp; regional caseload%'!$B$92,'caseload data'!E:E),"")</f>
        <v/>
      </c>
      <c r="D96" s="167" t="str">
        <f>IFERROR(SUMIFS('caseload data'!F:F,'caseload data'!$C:$C,'divisional &amp; regional caseload%'!$B$92,'caseload data'!$D:$D,"TPO")/SUMIF('caseload data'!$C:$C,'divisional &amp; regional caseload%'!$B$92,'caseload data'!F:F),"")</f>
        <v/>
      </c>
      <c r="E96" s="167" t="str">
        <f>IFERROR(SUMIFS('caseload data'!G:G,'caseload data'!$C:$C,'divisional &amp; regional caseload%'!$B$92,'caseload data'!$D:$D,"TPO")/SUMIF('caseload data'!$C:$C,'divisional &amp; regional caseload%'!$B$92,'caseload data'!G:G),"")</f>
        <v/>
      </c>
      <c r="F96" s="167" t="str">
        <f>IFERROR(SUMIFS('caseload data'!H:H,'caseload data'!$C:$C,'divisional &amp; regional caseload%'!$B$92,'caseload data'!$D:$D,"TPO")/SUMIF('caseload data'!$C:$C,'divisional &amp; regional caseload%'!$B$92,'caseload data'!H:H),"")</f>
        <v/>
      </c>
      <c r="G96" s="167" t="str">
        <f>IFERROR(SUMIFS('caseload data'!I:I,'caseload data'!$C:$C,'divisional &amp; regional caseload%'!$B$92,'caseload data'!$D:$D,"TPO")/SUMIF('caseload data'!$C:$C,'divisional &amp; regional caseload%'!$B$92,'caseload data'!I:I),"")</f>
        <v/>
      </c>
      <c r="H96" s="167" t="str">
        <f>IFERROR(SUMIFS('caseload data'!J:J,'caseload data'!$C:$C,'divisional &amp; regional caseload%'!$B$92,'caseload data'!$D:$D,"TPO")/SUMIF('caseload data'!$C:$C,'divisional &amp; regional caseload%'!$B$92,'caseload data'!J:J),"")</f>
        <v/>
      </c>
      <c r="I96" s="167" t="str">
        <f>IFERROR(SUMIFS('caseload data'!K:K,'caseload data'!$C:$C,'divisional &amp; regional caseload%'!$B$92,'caseload data'!$D:$D,"TPO")/SUMIF('caseload data'!$C:$C,'divisional &amp; regional caseload%'!$B$92,'caseload data'!K:K),"")</f>
        <v/>
      </c>
      <c r="J96" s="167" t="str">
        <f>IFERROR(SUMIFS('caseload data'!L:L,'caseload data'!$C:$C,'divisional &amp; regional caseload%'!$B$92,'caseload data'!$D:$D,"TPO")/SUMIF('caseload data'!$C:$C,'divisional &amp; regional caseload%'!$B$92,'caseload data'!L:L),"")</f>
        <v/>
      </c>
      <c r="K96" s="167" t="str">
        <f>IFERROR(SUMIFS('caseload data'!M:M,'caseload data'!$C:$C,'divisional &amp; regional caseload%'!$B$92,'caseload data'!$D:$D,"TPO")/SUMIF('caseload data'!$C:$C,'divisional &amp; regional caseload%'!$B$92,'caseload data'!M:M),"")</f>
        <v/>
      </c>
      <c r="L96" s="167" t="str">
        <f>IFERROR(SUMIFS('caseload data'!N:N,'caseload data'!$C:$C,'divisional &amp; regional caseload%'!$B$92,'caseload data'!$D:$D,"TPO")/SUMIF('caseload data'!$C:$C,'divisional &amp; regional caseload%'!$B$92,'caseload data'!N:N),"")</f>
        <v/>
      </c>
      <c r="M96" s="167" t="str">
        <f>IFERROR(SUMIFS('caseload data'!O:O,'caseload data'!$C:$C,'divisional &amp; regional caseload%'!$B$92,'caseload data'!$D:$D,"TPO")/SUMIF('caseload data'!$C:$C,'divisional &amp; regional caseload%'!$B$92,'caseload data'!O:O),"")</f>
        <v/>
      </c>
      <c r="N96" s="167" t="str">
        <f>IFERROR(SUMIFS('caseload data'!P:P,'caseload data'!$C:$C,'divisional &amp; regional caseload%'!$B$92,'caseload data'!$D:$D,"TPO")/SUMIF('caseload data'!$C:$C,'divisional &amp; regional caseload%'!$B$92,'caseload data'!P:P),"")</f>
        <v/>
      </c>
      <c r="O96" s="167" t="str">
        <f>IFERROR(SUMIFS('caseload data'!Q:Q,'caseload data'!$C:$C,'divisional &amp; regional caseload%'!$B$92,'caseload data'!$D:$D,"TPO")/SUMIF('caseload data'!$C:$C,'divisional &amp; regional caseload%'!$B$92,'caseload data'!Q:Q),"")</f>
        <v/>
      </c>
      <c r="P96" s="167" t="str">
        <f>IFERROR(SUMIFS('caseload data'!R:R,'caseload data'!$C:$C,'divisional &amp; regional caseload%'!$B$92,'caseload data'!$D:$D,"TPO")/SUMIF('caseload data'!$C:$C,'divisional &amp; regional caseload%'!$B$92,'caseload data'!R:R),"")</f>
        <v/>
      </c>
      <c r="Q96" s="167" t="str">
        <f>IFERROR(SUMIFS('caseload data'!S:S,'caseload data'!$C:$C,'divisional &amp; regional caseload%'!$B$92,'caseload data'!$D:$D,"TPO")/SUMIF('caseload data'!$C:$C,'divisional &amp; regional caseload%'!$B$92,'caseload data'!S:S),"")</f>
        <v/>
      </c>
      <c r="R96" s="167" t="str">
        <f>IFERROR(SUMIFS('caseload data'!T:T,'caseload data'!$C:$C,'divisional &amp; regional caseload%'!$B$92,'caseload data'!$D:$D,"TPO")/SUMIF('caseload data'!$C:$C,'divisional &amp; regional caseload%'!$B$92,'caseload data'!T:T),"")</f>
        <v/>
      </c>
      <c r="T96" s="97" t="s">
        <v>953</v>
      </c>
      <c r="U96" s="167" t="str">
        <f>IFERROR(SUMIFS('caseload data'!E:E,'caseload data'!$C:$C,'divisional &amp; regional caseload%'!$T$92,'caseload data'!$D:$D,"TPO")/SUMIF('caseload data'!$C:$C,'divisional &amp; regional caseload%'!$T$92,'caseload data'!E:E),"")</f>
        <v/>
      </c>
      <c r="V96" s="167" t="str">
        <f>IFERROR(SUMIFS('caseload data'!F:F,'caseload data'!$C:$C,'divisional &amp; regional caseload%'!$T$92,'caseload data'!$D:$D,"TPO")/SUMIF('caseload data'!$C:$C,'divisional &amp; regional caseload%'!$T$92,'caseload data'!F:F),"")</f>
        <v/>
      </c>
      <c r="W96" s="167" t="str">
        <f>IFERROR(SUMIFS('caseload data'!G:G,'caseload data'!$C:$C,'divisional &amp; regional caseload%'!$T$92,'caseload data'!$D:$D,"TPO")/SUMIF('caseload data'!$C:$C,'divisional &amp; regional caseload%'!$T$92,'caseload data'!G:G),"")</f>
        <v/>
      </c>
      <c r="X96" s="167" t="str">
        <f>IFERROR(SUMIFS('caseload data'!H:H,'caseload data'!$C:$C,'divisional &amp; regional caseload%'!$T$92,'caseload data'!$D:$D,"TPO")/SUMIF('caseload data'!$C:$C,'divisional &amp; regional caseload%'!$T$92,'caseload data'!H:H),"")</f>
        <v/>
      </c>
      <c r="Y96" s="167" t="str">
        <f>IFERROR(SUMIFS('caseload data'!I:I,'caseload data'!$C:$C,'divisional &amp; regional caseload%'!$T$92,'caseload data'!$D:$D,"TPO")/SUMIF('caseload data'!$C:$C,'divisional &amp; regional caseload%'!$T$92,'caseload data'!I:I),"")</f>
        <v/>
      </c>
      <c r="Z96" s="167" t="str">
        <f>IFERROR(SUMIFS('caseload data'!J:J,'caseload data'!$C:$C,'divisional &amp; regional caseload%'!$T$92,'caseload data'!$D:$D,"TPO")/SUMIF('caseload data'!$C:$C,'divisional &amp; regional caseload%'!$T$92,'caseload data'!J:J),"")</f>
        <v/>
      </c>
      <c r="AA96" s="167" t="str">
        <f>IFERROR(SUMIFS('caseload data'!K:K,'caseload data'!$C:$C,'divisional &amp; regional caseload%'!$T$92,'caseload data'!$D:$D,"TPO")/SUMIF('caseload data'!$C:$C,'divisional &amp; regional caseload%'!$T$92,'caseload data'!K:K),"")</f>
        <v/>
      </c>
      <c r="AB96" s="167" t="str">
        <f>IFERROR(SUMIFS('caseload data'!L:L,'caseload data'!$C:$C,'divisional &amp; regional caseload%'!$T$92,'caseload data'!$D:$D,"TPO")/SUMIF('caseload data'!$C:$C,'divisional &amp; regional caseload%'!$T$92,'caseload data'!L:L),"")</f>
        <v/>
      </c>
      <c r="AC96" s="167" t="str">
        <f>IFERROR(SUMIFS('caseload data'!M:M,'caseload data'!$C:$C,'divisional &amp; regional caseload%'!$T$92,'caseload data'!$D:$D,"TPO")/SUMIF('caseload data'!$C:$C,'divisional &amp; regional caseload%'!$T$92,'caseload data'!M:M),"")</f>
        <v/>
      </c>
      <c r="AD96" s="167" t="str">
        <f>IFERROR(SUMIFS('caseload data'!N:N,'caseload data'!$C:$C,'divisional &amp; regional caseload%'!$T$92,'caseload data'!$D:$D,"TPO")/SUMIF('caseload data'!$C:$C,'divisional &amp; regional caseload%'!$T$92,'caseload data'!N:N),"")</f>
        <v/>
      </c>
      <c r="AE96" s="167" t="str">
        <f>IFERROR(SUMIFS('caseload data'!O:O,'caseload data'!$C:$C,'divisional &amp; regional caseload%'!$T$92,'caseload data'!$D:$D,"TPO")/SUMIF('caseload data'!$C:$C,'divisional &amp; regional caseload%'!$T$92,'caseload data'!O:O),"")</f>
        <v/>
      </c>
      <c r="AF96" s="167" t="str">
        <f>IFERROR(SUMIFS('caseload data'!P:P,'caseload data'!$C:$C,'divisional &amp; regional caseload%'!$T$92,'caseload data'!$D:$D,"TPO")/SUMIF('caseload data'!$C:$C,'divisional &amp; regional caseload%'!$T$92,'caseload data'!P:P),"")</f>
        <v/>
      </c>
      <c r="AG96" s="167" t="str">
        <f>IFERROR(SUMIFS('caseload data'!Q:Q,'caseload data'!$C:$C,'divisional &amp; regional caseload%'!$T$92,'caseload data'!$D:$D,"TPO")/SUMIF('caseload data'!$C:$C,'divisional &amp; regional caseload%'!$T$92,'caseload data'!Q:Q),"")</f>
        <v/>
      </c>
      <c r="AH96" s="167" t="str">
        <f>IFERROR(SUMIFS('caseload data'!R:R,'caseload data'!$C:$C,'divisional &amp; regional caseload%'!$T$92,'caseload data'!$D:$D,"TPO")/SUMIF('caseload data'!$C:$C,'divisional &amp; regional caseload%'!$T$92,'caseload data'!R:R),"")</f>
        <v/>
      </c>
      <c r="AI96" s="167" t="str">
        <f>IFERROR(SUMIFS('caseload data'!S:S,'caseload data'!$C:$C,'divisional &amp; regional caseload%'!$T$92,'caseload data'!$D:$D,"TPO")/SUMIF('caseload data'!$C:$C,'divisional &amp; regional caseload%'!$T$92,'caseload data'!S:S),"")</f>
        <v/>
      </c>
      <c r="AJ96" s="167" t="str">
        <f>IFERROR(SUMIFS('caseload data'!T:T,'caseload data'!$C:$C,'divisional &amp; regional caseload%'!$T$92,'caseload data'!$D:$D,"TPO")/SUMIF('caseload data'!$C:$C,'divisional &amp; regional caseload%'!$T$92,'caseload data'!T:T),"")</f>
        <v/>
      </c>
    </row>
    <row r="97" spans="2:36" x14ac:dyDescent="0.15">
      <c r="B97" s="98" t="s">
        <v>954</v>
      </c>
      <c r="C97" s="167" t="str">
        <f>IFERROR(SUMIFS('caseload data'!E:E,'caseload data'!$C:$C,'divisional &amp; regional caseload%'!$B$92,'caseload data'!$D:$D,"SPO")/SUMIF('caseload data'!$C:$C,'divisional &amp; regional caseload%'!$B$92,'caseload data'!E:E),"")</f>
        <v/>
      </c>
      <c r="D97" s="167" t="str">
        <f>IFERROR(SUMIFS('caseload data'!F:F,'caseload data'!$C:$C,'divisional &amp; regional caseload%'!$B$92,'caseload data'!$D:$D,"SPO")/SUMIF('caseload data'!$C:$C,'divisional &amp; regional caseload%'!$B$92,'caseload data'!F:F),"")</f>
        <v/>
      </c>
      <c r="E97" s="167" t="str">
        <f>IFERROR(SUMIFS('caseload data'!G:G,'caseload data'!$C:$C,'divisional &amp; regional caseload%'!$B$92,'caseload data'!$D:$D,"SPO")/SUMIF('caseload data'!$C:$C,'divisional &amp; regional caseload%'!$B$92,'caseload data'!G:G),"")</f>
        <v/>
      </c>
      <c r="F97" s="167" t="str">
        <f>IFERROR(SUMIFS('caseload data'!H:H,'caseload data'!$C:$C,'divisional &amp; regional caseload%'!$B$92,'caseload data'!$D:$D,"SPO")/SUMIF('caseload data'!$C:$C,'divisional &amp; regional caseload%'!$B$92,'caseload data'!H:H),"")</f>
        <v/>
      </c>
      <c r="G97" s="167" t="str">
        <f>IFERROR(SUMIFS('caseload data'!I:I,'caseload data'!$C:$C,'divisional &amp; regional caseload%'!$B$92,'caseload data'!$D:$D,"SPO")/SUMIF('caseload data'!$C:$C,'divisional &amp; regional caseload%'!$B$92,'caseload data'!I:I),"")</f>
        <v/>
      </c>
      <c r="H97" s="167" t="str">
        <f>IFERROR(SUMIFS('caseload data'!J:J,'caseload data'!$C:$C,'divisional &amp; regional caseload%'!$B$92,'caseload data'!$D:$D,"SPO")/SUMIF('caseload data'!$C:$C,'divisional &amp; regional caseload%'!$B$92,'caseload data'!J:J),"")</f>
        <v/>
      </c>
      <c r="I97" s="167" t="str">
        <f>IFERROR(SUMIFS('caseload data'!K:K,'caseload data'!$C:$C,'divisional &amp; regional caseload%'!$B$92,'caseload data'!$D:$D,"SPO")/SUMIF('caseload data'!$C:$C,'divisional &amp; regional caseload%'!$B$92,'caseload data'!K:K),"")</f>
        <v/>
      </c>
      <c r="J97" s="167" t="str">
        <f>IFERROR(SUMIFS('caseload data'!L:L,'caseload data'!$C:$C,'divisional &amp; regional caseload%'!$B$92,'caseload data'!$D:$D,"SPO")/SUMIF('caseload data'!$C:$C,'divisional &amp; regional caseload%'!$B$92,'caseload data'!L:L),"")</f>
        <v/>
      </c>
      <c r="K97" s="167" t="str">
        <f>IFERROR(SUMIFS('caseload data'!M:M,'caseload data'!$C:$C,'divisional &amp; regional caseload%'!$B$92,'caseload data'!$D:$D,"SPO")/SUMIF('caseload data'!$C:$C,'divisional &amp; regional caseload%'!$B$92,'caseload data'!M:M),"")</f>
        <v/>
      </c>
      <c r="L97" s="167" t="str">
        <f>IFERROR(SUMIFS('caseload data'!N:N,'caseload data'!$C:$C,'divisional &amp; regional caseload%'!$B$92,'caseload data'!$D:$D,"SPO")/SUMIF('caseload data'!$C:$C,'divisional &amp; regional caseload%'!$B$92,'caseload data'!N:N),"")</f>
        <v/>
      </c>
      <c r="M97" s="167" t="str">
        <f>IFERROR(SUMIFS('caseload data'!O:O,'caseload data'!$C:$C,'divisional &amp; regional caseload%'!$B$92,'caseload data'!$D:$D,"SPO")/SUMIF('caseload data'!$C:$C,'divisional &amp; regional caseload%'!$B$92,'caseload data'!O:O),"")</f>
        <v/>
      </c>
      <c r="N97" s="167" t="str">
        <f>IFERROR(SUMIFS('caseload data'!P:P,'caseload data'!$C:$C,'divisional &amp; regional caseload%'!$B$92,'caseload data'!$D:$D,"SPO")/SUMIF('caseload data'!$C:$C,'divisional &amp; regional caseload%'!$B$92,'caseload data'!P:P),"")</f>
        <v/>
      </c>
      <c r="O97" s="167" t="str">
        <f>IFERROR(SUMIFS('caseload data'!Q:Q,'caseload data'!$C:$C,'divisional &amp; regional caseload%'!$B$92,'caseload data'!$D:$D,"SPO")/SUMIF('caseload data'!$C:$C,'divisional &amp; regional caseload%'!$B$92,'caseload data'!Q:Q),"")</f>
        <v/>
      </c>
      <c r="P97" s="167" t="str">
        <f>IFERROR(SUMIFS('caseload data'!R:R,'caseload data'!$C:$C,'divisional &amp; regional caseload%'!$B$92,'caseload data'!$D:$D,"SPO")/SUMIF('caseload data'!$C:$C,'divisional &amp; regional caseload%'!$B$92,'caseload data'!R:R),"")</f>
        <v/>
      </c>
      <c r="Q97" s="167" t="str">
        <f>IFERROR(SUMIFS('caseload data'!S:S,'caseload data'!$C:$C,'divisional &amp; regional caseload%'!$B$92,'caseload data'!$D:$D,"SPO")/SUMIF('caseload data'!$C:$C,'divisional &amp; regional caseload%'!$B$92,'caseload data'!S:S),"")</f>
        <v/>
      </c>
      <c r="R97" s="167" t="str">
        <f>IFERROR(SUMIFS('caseload data'!T:T,'caseload data'!$C:$C,'divisional &amp; regional caseload%'!$B$92,'caseload data'!$D:$D,"SPO")/SUMIF('caseload data'!$C:$C,'divisional &amp; regional caseload%'!$B$92,'caseload data'!T:T),"")</f>
        <v/>
      </c>
      <c r="T97" s="98" t="s">
        <v>954</v>
      </c>
      <c r="U97" s="167" t="str">
        <f>IFERROR(SUMIFS('caseload data'!E:E,'caseload data'!$C:$C,'divisional &amp; regional caseload%'!$T$92,'caseload data'!$D:$D,"SPO")/SUMIF('caseload data'!$C:$C,'divisional &amp; regional caseload%'!$T$92,'caseload data'!E:E),"")</f>
        <v/>
      </c>
      <c r="V97" s="167" t="str">
        <f>IFERROR(SUMIFS('caseload data'!F:F,'caseload data'!$C:$C,'divisional &amp; regional caseload%'!$T$92,'caseload data'!$D:$D,"SPO")/SUMIF('caseload data'!$C:$C,'divisional &amp; regional caseload%'!$T$92,'caseload data'!F:F),"")</f>
        <v/>
      </c>
      <c r="W97" s="167" t="str">
        <f>IFERROR(SUMIFS('caseload data'!G:G,'caseload data'!$C:$C,'divisional &amp; regional caseload%'!$T$92,'caseload data'!$D:$D,"SPO")/SUMIF('caseload data'!$C:$C,'divisional &amp; regional caseload%'!$T$92,'caseload data'!G:G),"")</f>
        <v/>
      </c>
      <c r="X97" s="167" t="str">
        <f>IFERROR(SUMIFS('caseload data'!H:H,'caseload data'!$C:$C,'divisional &amp; regional caseload%'!$T$92,'caseload data'!$D:$D,"SPO")/SUMIF('caseload data'!$C:$C,'divisional &amp; regional caseload%'!$T$92,'caseload data'!H:H),"")</f>
        <v/>
      </c>
      <c r="Y97" s="167" t="str">
        <f>IFERROR(SUMIFS('caseload data'!I:I,'caseload data'!$C:$C,'divisional &amp; regional caseload%'!$T$92,'caseload data'!$D:$D,"SPO")/SUMIF('caseload data'!$C:$C,'divisional &amp; regional caseload%'!$T$92,'caseload data'!I:I),"")</f>
        <v/>
      </c>
      <c r="Z97" s="167" t="str">
        <f>IFERROR(SUMIFS('caseload data'!J:J,'caseload data'!$C:$C,'divisional &amp; regional caseload%'!$T$92,'caseload data'!$D:$D,"SPO")/SUMIF('caseload data'!$C:$C,'divisional &amp; regional caseload%'!$T$92,'caseload data'!J:J),"")</f>
        <v/>
      </c>
      <c r="AA97" s="167" t="str">
        <f>IFERROR(SUMIFS('caseload data'!K:K,'caseload data'!$C:$C,'divisional &amp; regional caseload%'!$T$92,'caseload data'!$D:$D,"SPO")/SUMIF('caseload data'!$C:$C,'divisional &amp; regional caseload%'!$T$92,'caseload data'!K:K),"")</f>
        <v/>
      </c>
      <c r="AB97" s="167" t="str">
        <f>IFERROR(SUMIFS('caseload data'!L:L,'caseload data'!$C:$C,'divisional &amp; regional caseload%'!$T$92,'caseload data'!$D:$D,"SPO")/SUMIF('caseload data'!$C:$C,'divisional &amp; regional caseload%'!$T$92,'caseload data'!L:L),"")</f>
        <v/>
      </c>
      <c r="AC97" s="167" t="str">
        <f>IFERROR(SUMIFS('caseload data'!M:M,'caseload data'!$C:$C,'divisional &amp; regional caseload%'!$T$92,'caseload data'!$D:$D,"SPO")/SUMIF('caseload data'!$C:$C,'divisional &amp; regional caseload%'!$T$92,'caseload data'!M:M),"")</f>
        <v/>
      </c>
      <c r="AD97" s="167" t="str">
        <f>IFERROR(SUMIFS('caseload data'!N:N,'caseload data'!$C:$C,'divisional &amp; regional caseload%'!$T$92,'caseload data'!$D:$D,"SPO")/SUMIF('caseload data'!$C:$C,'divisional &amp; regional caseload%'!$T$92,'caseload data'!N:N),"")</f>
        <v/>
      </c>
      <c r="AE97" s="167" t="str">
        <f>IFERROR(SUMIFS('caseload data'!O:O,'caseload data'!$C:$C,'divisional &amp; regional caseload%'!$T$92,'caseload data'!$D:$D,"SPO")/SUMIF('caseload data'!$C:$C,'divisional &amp; regional caseload%'!$T$92,'caseload data'!O:O),"")</f>
        <v/>
      </c>
      <c r="AF97" s="167" t="str">
        <f>IFERROR(SUMIFS('caseload data'!P:P,'caseload data'!$C:$C,'divisional &amp; regional caseload%'!$T$92,'caseload data'!$D:$D,"SPO")/SUMIF('caseload data'!$C:$C,'divisional &amp; regional caseload%'!$T$92,'caseload data'!P:P),"")</f>
        <v/>
      </c>
      <c r="AG97" s="167" t="str">
        <f>IFERROR(SUMIFS('caseload data'!Q:Q,'caseload data'!$C:$C,'divisional &amp; regional caseload%'!$T$92,'caseload data'!$D:$D,"SPO")/SUMIF('caseload data'!$C:$C,'divisional &amp; regional caseload%'!$T$92,'caseload data'!Q:Q),"")</f>
        <v/>
      </c>
      <c r="AH97" s="167" t="str">
        <f>IFERROR(SUMIFS('caseload data'!R:R,'caseload data'!$C:$C,'divisional &amp; regional caseload%'!$T$92,'caseload data'!$D:$D,"SPO")/SUMIF('caseload data'!$C:$C,'divisional &amp; regional caseload%'!$T$92,'caseload data'!R:R),"")</f>
        <v/>
      </c>
      <c r="AI97" s="167" t="str">
        <f>IFERROR(SUMIFS('caseload data'!S:S,'caseload data'!$C:$C,'divisional &amp; regional caseload%'!$T$92,'caseload data'!$D:$D,"SPO")/SUMIF('caseload data'!$C:$C,'divisional &amp; regional caseload%'!$T$92,'caseload data'!S:S),"")</f>
        <v/>
      </c>
      <c r="AJ97" s="167" t="str">
        <f>IFERROR(SUMIFS('caseload data'!T:T,'caseload data'!$C:$C,'divisional &amp; regional caseload%'!$T$92,'caseload data'!$D:$D,"SPO")/SUMIF('caseload data'!$C:$C,'divisional &amp; regional caseload%'!$T$92,'caseload data'!T:T),"")</f>
        <v/>
      </c>
    </row>
    <row r="99" spans="2:36" ht="24" customHeight="1" x14ac:dyDescent="0.15">
      <c r="B99" s="142">
        <f>HLOOKUP($B$5,Region_Table,28,0)</f>
        <v>0</v>
      </c>
      <c r="C99" s="556" t="s">
        <v>1039</v>
      </c>
      <c r="D99" s="557"/>
      <c r="E99" s="557"/>
      <c r="F99" s="557"/>
      <c r="G99" s="557"/>
      <c r="H99" s="557"/>
      <c r="I99" s="557"/>
      <c r="J99" s="557"/>
      <c r="K99" s="557"/>
      <c r="L99" s="557"/>
      <c r="M99" s="558"/>
      <c r="N99" s="558"/>
      <c r="O99" s="559"/>
      <c r="P99" s="543">
        <f>SUMIF('caseload data'!$C:$C,'divisional &amp; regional caseload%'!B99,'caseload data'!V:V)</f>
        <v>0</v>
      </c>
      <c r="Q99" s="560"/>
      <c r="R99" s="561"/>
      <c r="T99" s="142">
        <f>HLOOKUP($B$5,Region_Table,29,0)</f>
        <v>0</v>
      </c>
      <c r="U99" s="556" t="s">
        <v>1039</v>
      </c>
      <c r="V99" s="557"/>
      <c r="W99" s="557"/>
      <c r="X99" s="557"/>
      <c r="Y99" s="557"/>
      <c r="Z99" s="557"/>
      <c r="AA99" s="557"/>
      <c r="AB99" s="557"/>
      <c r="AC99" s="557"/>
      <c r="AD99" s="557"/>
      <c r="AE99" s="558"/>
      <c r="AF99" s="558"/>
      <c r="AG99" s="559"/>
      <c r="AH99" s="543">
        <f>SUMIF('caseload data'!$C:$C,'divisional &amp; regional caseload%'!T99,'caseload data'!V:V)</f>
        <v>0</v>
      </c>
      <c r="AI99" s="560"/>
      <c r="AJ99" s="561"/>
    </row>
    <row r="100" spans="2:36" x14ac:dyDescent="0.15">
      <c r="B100" s="95" t="s">
        <v>951</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5" t="s">
        <v>951</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167" t="str">
        <f>IFERROR(SUMIFS('caseload data'!E:E,'caseload data'!$C:$C,'divisional &amp; regional caseload%'!$B$99,'caseload data'!$D:$D,"PO")/SUMIF('caseload data'!$C:$C,'divisional &amp; regional caseload%'!$B$99,'caseload data'!E:E),"")</f>
        <v/>
      </c>
      <c r="D101" s="167" t="str">
        <f>IFERROR(SUMIFS('caseload data'!F:F,'caseload data'!$C:$C,'divisional &amp; regional caseload%'!$B$99,'caseload data'!$D:$D,"PO")/SUMIF('caseload data'!$C:$C,'divisional &amp; regional caseload%'!$B$99,'caseload data'!F:F),"")</f>
        <v/>
      </c>
      <c r="E101" s="167" t="str">
        <f>IFERROR(SUMIFS('caseload data'!G:G,'caseload data'!$C:$C,'divisional &amp; regional caseload%'!$B$99,'caseload data'!$D:$D,"PO")/SUMIF('caseload data'!$C:$C,'divisional &amp; regional caseload%'!$B$99,'caseload data'!G:G),"")</f>
        <v/>
      </c>
      <c r="F101" s="167" t="str">
        <f>IFERROR(SUMIFS('caseload data'!H:H,'caseload data'!$C:$C,'divisional &amp; regional caseload%'!$B$99,'caseload data'!$D:$D,"PO")/SUMIF('caseload data'!$C:$C,'divisional &amp; regional caseload%'!$B$99,'caseload data'!H:H),"")</f>
        <v/>
      </c>
      <c r="G101" s="167" t="str">
        <f>IFERROR(SUMIFS('caseload data'!I:I,'caseload data'!$C:$C,'divisional &amp; regional caseload%'!$B$99,'caseload data'!$D:$D,"PO")/SUMIF('caseload data'!$C:$C,'divisional &amp; regional caseload%'!$B$99,'caseload data'!I:I),"")</f>
        <v/>
      </c>
      <c r="H101" s="167" t="str">
        <f>IFERROR(SUMIFS('caseload data'!J:J,'caseload data'!$C:$C,'divisional &amp; regional caseload%'!$B$99,'caseload data'!$D:$D,"PO")/SUMIF('caseload data'!$C:$C,'divisional &amp; regional caseload%'!$B$99,'caseload data'!J:J),"")</f>
        <v/>
      </c>
      <c r="I101" s="167" t="str">
        <f>IFERROR(SUMIFS('caseload data'!K:K,'caseload data'!$C:$C,'divisional &amp; regional caseload%'!$B$99,'caseload data'!$D:$D,"PO")/SUMIF('caseload data'!$C:$C,'divisional &amp; regional caseload%'!$B$99,'caseload data'!K:K),"")</f>
        <v/>
      </c>
      <c r="J101" s="167" t="str">
        <f>IFERROR(SUMIFS('caseload data'!L:L,'caseload data'!$C:$C,'divisional &amp; regional caseload%'!$B$99,'caseload data'!$D:$D,"PO")/SUMIF('caseload data'!$C:$C,'divisional &amp; regional caseload%'!$B$99,'caseload data'!L:L),"")</f>
        <v/>
      </c>
      <c r="K101" s="167" t="str">
        <f>IFERROR(SUMIFS('caseload data'!M:M,'caseload data'!$C:$C,'divisional &amp; regional caseload%'!$B$99,'caseload data'!$D:$D,"PO")/SUMIF('caseload data'!$C:$C,'divisional &amp; regional caseload%'!$B$99,'caseload data'!M:M),"")</f>
        <v/>
      </c>
      <c r="L101" s="167" t="str">
        <f>IFERROR(SUMIFS('caseload data'!N:N,'caseload data'!$C:$C,'divisional &amp; regional caseload%'!$B$99,'caseload data'!$D:$D,"PO")/SUMIF('caseload data'!$C:$C,'divisional &amp; regional caseload%'!$B$99,'caseload data'!N:N),"")</f>
        <v/>
      </c>
      <c r="M101" s="167" t="str">
        <f>IFERROR(SUMIFS('caseload data'!O:O,'caseload data'!$C:$C,'divisional &amp; regional caseload%'!$B$99,'caseload data'!$D:$D,"PO")/SUMIF('caseload data'!$C:$C,'divisional &amp; regional caseload%'!$B$99,'caseload data'!O:O),"")</f>
        <v/>
      </c>
      <c r="N101" s="167" t="str">
        <f>IFERROR(SUMIFS('caseload data'!P:P,'caseload data'!$C:$C,'divisional &amp; regional caseload%'!$B$99,'caseload data'!$D:$D,"PO")/SUMIF('caseload data'!$C:$C,'divisional &amp; regional caseload%'!$B$99,'caseload data'!P:P),"")</f>
        <v/>
      </c>
      <c r="O101" s="167" t="str">
        <f>IFERROR(SUMIFS('caseload data'!Q:Q,'caseload data'!$C:$C,'divisional &amp; regional caseload%'!$B$99,'caseload data'!$D:$D,"PO")/SUMIF('caseload data'!$C:$C,'divisional &amp; regional caseload%'!$B$99,'caseload data'!Q:Q),"")</f>
        <v/>
      </c>
      <c r="P101" s="167" t="str">
        <f>IFERROR(SUMIFS('caseload data'!R:R,'caseload data'!$C:$C,'divisional &amp; regional caseload%'!$B$99,'caseload data'!$D:$D,"PO")/SUMIF('caseload data'!$C:$C,'divisional &amp; regional caseload%'!$B$99,'caseload data'!R:R),"")</f>
        <v/>
      </c>
      <c r="Q101" s="167" t="str">
        <f>IFERROR(SUMIFS('caseload data'!S:S,'caseload data'!$C:$C,'divisional &amp; regional caseload%'!$B$99,'caseload data'!$D:$D,"PO")/SUMIF('caseload data'!$C:$C,'divisional &amp; regional caseload%'!$B$99,'caseload data'!S:S),"")</f>
        <v/>
      </c>
      <c r="R101" s="167" t="str">
        <f>IFERROR(SUMIFS('caseload data'!T:T,'caseload data'!$C:$C,'divisional &amp; regional caseload%'!$B$99,'caseload data'!$D:$D,"PO")/SUMIF('caseload data'!$C:$C,'divisional &amp; regional caseload%'!$B$99,'caseload data'!T:T),"")</f>
        <v/>
      </c>
      <c r="T101" s="96" t="s">
        <v>947</v>
      </c>
      <c r="U101" s="167" t="str">
        <f>IFERROR(SUMIFS('caseload data'!E:E,'caseload data'!$C:$C,'divisional &amp; regional caseload%'!$T$99,'caseload data'!$D:$D,"PO")/SUMIF('caseload data'!$C:$C,'divisional &amp; regional caseload%'!$T$99,'caseload data'!E:E),"")</f>
        <v/>
      </c>
      <c r="V101" s="167" t="str">
        <f>IFERROR(SUMIFS('caseload data'!F:F,'caseload data'!$C:$C,'divisional &amp; regional caseload%'!$T$99,'caseload data'!$D:$D,"PO")/SUMIF('caseload data'!$C:$C,'divisional &amp; regional caseload%'!$T$99,'caseload data'!F:F),"")</f>
        <v/>
      </c>
      <c r="W101" s="167" t="str">
        <f>IFERROR(SUMIFS('caseload data'!G:G,'caseload data'!$C:$C,'divisional &amp; regional caseload%'!$T$99,'caseload data'!$D:$D,"PO")/SUMIF('caseload data'!$C:$C,'divisional &amp; regional caseload%'!$T$99,'caseload data'!G:G),"")</f>
        <v/>
      </c>
      <c r="X101" s="167" t="str">
        <f>IFERROR(SUMIFS('caseload data'!H:H,'caseload data'!$C:$C,'divisional &amp; regional caseload%'!$T$99,'caseload data'!$D:$D,"PO")/SUMIF('caseload data'!$C:$C,'divisional &amp; regional caseload%'!$T$99,'caseload data'!H:H),"")</f>
        <v/>
      </c>
      <c r="Y101" s="167" t="str">
        <f>IFERROR(SUMIFS('caseload data'!I:I,'caseload data'!$C:$C,'divisional &amp; regional caseload%'!$T$99,'caseload data'!$D:$D,"PO")/SUMIF('caseload data'!$C:$C,'divisional &amp; regional caseload%'!$T$99,'caseload data'!I:I),"")</f>
        <v/>
      </c>
      <c r="Z101" s="167" t="str">
        <f>IFERROR(SUMIFS('caseload data'!J:J,'caseload data'!$C:$C,'divisional &amp; regional caseload%'!$T$99,'caseload data'!$D:$D,"PO")/SUMIF('caseload data'!$C:$C,'divisional &amp; regional caseload%'!$T$99,'caseload data'!J:J),"")</f>
        <v/>
      </c>
      <c r="AA101" s="167" t="str">
        <f>IFERROR(SUMIFS('caseload data'!K:K,'caseload data'!$C:$C,'divisional &amp; regional caseload%'!$T$99,'caseload data'!$D:$D,"PO")/SUMIF('caseload data'!$C:$C,'divisional &amp; regional caseload%'!$T$99,'caseload data'!K:K),"")</f>
        <v/>
      </c>
      <c r="AB101" s="167" t="str">
        <f>IFERROR(SUMIFS('caseload data'!L:L,'caseload data'!$C:$C,'divisional &amp; regional caseload%'!$T$99,'caseload data'!$D:$D,"PO")/SUMIF('caseload data'!$C:$C,'divisional &amp; regional caseload%'!$T$99,'caseload data'!L:L),"")</f>
        <v/>
      </c>
      <c r="AC101" s="167" t="str">
        <f>IFERROR(SUMIFS('caseload data'!M:M,'caseload data'!$C:$C,'divisional &amp; regional caseload%'!$T$99,'caseload data'!$D:$D,"PO")/SUMIF('caseload data'!$C:$C,'divisional &amp; regional caseload%'!$T$99,'caseload data'!M:M),"")</f>
        <v/>
      </c>
      <c r="AD101" s="167" t="str">
        <f>IFERROR(SUMIFS('caseload data'!N:N,'caseload data'!$C:$C,'divisional &amp; regional caseload%'!$T$99,'caseload data'!$D:$D,"PO")/SUMIF('caseload data'!$C:$C,'divisional &amp; regional caseload%'!$T$99,'caseload data'!N:N),"")</f>
        <v/>
      </c>
      <c r="AE101" s="167" t="str">
        <f>IFERROR(SUMIFS('caseload data'!O:O,'caseload data'!$C:$C,'divisional &amp; regional caseload%'!$T$99,'caseload data'!$D:$D,"PO")/SUMIF('caseload data'!$C:$C,'divisional &amp; regional caseload%'!$T$99,'caseload data'!O:O),"")</f>
        <v/>
      </c>
      <c r="AF101" s="167" t="str">
        <f>IFERROR(SUMIFS('caseload data'!P:P,'caseload data'!$C:$C,'divisional &amp; regional caseload%'!$T$99,'caseload data'!$D:$D,"PO")/SUMIF('caseload data'!$C:$C,'divisional &amp; regional caseload%'!$T$99,'caseload data'!P:P),"")</f>
        <v/>
      </c>
      <c r="AG101" s="167" t="str">
        <f>IFERROR(SUMIFS('caseload data'!Q:Q,'caseload data'!$C:$C,'divisional &amp; regional caseload%'!$T$99,'caseload data'!$D:$D,"PO")/SUMIF('caseload data'!$C:$C,'divisional &amp; regional caseload%'!$T$99,'caseload data'!Q:Q),"")</f>
        <v/>
      </c>
      <c r="AH101" s="167" t="str">
        <f>IFERROR(SUMIFS('caseload data'!R:R,'caseload data'!$C:$C,'divisional &amp; regional caseload%'!$T$99,'caseload data'!$D:$D,"PO")/SUMIF('caseload data'!$C:$C,'divisional &amp; regional caseload%'!$T$99,'caseload data'!R:R),"")</f>
        <v/>
      </c>
      <c r="AI101" s="167" t="str">
        <f>IFERROR(SUMIFS('caseload data'!S:S,'caseload data'!$C:$C,'divisional &amp; regional caseload%'!$T$99,'caseload data'!$D:$D,"PO")/SUMIF('caseload data'!$C:$C,'divisional &amp; regional caseload%'!$T$99,'caseload data'!S:S),"")</f>
        <v/>
      </c>
      <c r="AJ101" s="167" t="str">
        <f>IFERROR(SUMIFS('caseload data'!T:T,'caseload data'!$C:$C,'divisional &amp; regional caseload%'!$T$99,'caseload data'!$D:$D,"PO")/SUMIF('caseload data'!$C:$C,'divisional &amp; regional caseload%'!$T$99,'caseload data'!T:T),"")</f>
        <v/>
      </c>
    </row>
    <row r="102" spans="2:36" x14ac:dyDescent="0.15">
      <c r="B102" s="97" t="s">
        <v>952</v>
      </c>
      <c r="C102" s="167" t="str">
        <f>IFERROR(SUMIFS('caseload data'!E:E,'caseload data'!$C:$C,'divisional &amp; regional caseload%'!$B$99,'caseload data'!$D:$D,"PSO")/SUMIF('caseload data'!$C:$C,'divisional &amp; regional caseload%'!$B$99,'caseload data'!E:E),"")</f>
        <v/>
      </c>
      <c r="D102" s="167" t="str">
        <f>IFERROR(SUMIFS('caseload data'!F:F,'caseload data'!$C:$C,'divisional &amp; regional caseload%'!$B$99,'caseload data'!$D:$D,"PSO")/SUMIF('caseload data'!$C:$C,'divisional &amp; regional caseload%'!$B$99,'caseload data'!F:F),"")</f>
        <v/>
      </c>
      <c r="E102" s="167" t="str">
        <f>IFERROR(SUMIFS('caseload data'!G:G,'caseload data'!$C:$C,'divisional &amp; regional caseload%'!$B$99,'caseload data'!$D:$D,"PSO")/SUMIF('caseload data'!$C:$C,'divisional &amp; regional caseload%'!$B$99,'caseload data'!G:G),"")</f>
        <v/>
      </c>
      <c r="F102" s="167" t="str">
        <f>IFERROR(SUMIFS('caseload data'!H:H,'caseload data'!$C:$C,'divisional &amp; regional caseload%'!$B$99,'caseload data'!$D:$D,"PSO")/SUMIF('caseload data'!$C:$C,'divisional &amp; regional caseload%'!$B$99,'caseload data'!H:H),"")</f>
        <v/>
      </c>
      <c r="G102" s="167" t="str">
        <f>IFERROR(SUMIFS('caseload data'!I:I,'caseload data'!$C:$C,'divisional &amp; regional caseload%'!$B$99,'caseload data'!$D:$D,"PSO")/SUMIF('caseload data'!$C:$C,'divisional &amp; regional caseload%'!$B$99,'caseload data'!I:I),"")</f>
        <v/>
      </c>
      <c r="H102" s="167" t="str">
        <f>IFERROR(SUMIFS('caseload data'!J:J,'caseload data'!$C:$C,'divisional &amp; regional caseload%'!$B$99,'caseload data'!$D:$D,"PSO")/SUMIF('caseload data'!$C:$C,'divisional &amp; regional caseload%'!$B$99,'caseload data'!J:J),"")</f>
        <v/>
      </c>
      <c r="I102" s="167" t="str">
        <f>IFERROR(SUMIFS('caseload data'!K:K,'caseload data'!$C:$C,'divisional &amp; regional caseload%'!$B$99,'caseload data'!$D:$D,"PSO")/SUMIF('caseload data'!$C:$C,'divisional &amp; regional caseload%'!$B$99,'caseload data'!K:K),"")</f>
        <v/>
      </c>
      <c r="J102" s="167" t="str">
        <f>IFERROR(SUMIFS('caseload data'!L:L,'caseload data'!$C:$C,'divisional &amp; regional caseload%'!$B$99,'caseload data'!$D:$D,"PSO")/SUMIF('caseload data'!$C:$C,'divisional &amp; regional caseload%'!$B$99,'caseload data'!L:L),"")</f>
        <v/>
      </c>
      <c r="K102" s="167" t="str">
        <f>IFERROR(SUMIFS('caseload data'!M:M,'caseload data'!$C:$C,'divisional &amp; regional caseload%'!$B$99,'caseload data'!$D:$D,"PSO")/SUMIF('caseload data'!$C:$C,'divisional &amp; regional caseload%'!$B$99,'caseload data'!M:M),"")</f>
        <v/>
      </c>
      <c r="L102" s="167" t="str">
        <f>IFERROR(SUMIFS('caseload data'!N:N,'caseload data'!$C:$C,'divisional &amp; regional caseload%'!$B$99,'caseload data'!$D:$D,"PSO")/SUMIF('caseload data'!$C:$C,'divisional &amp; regional caseload%'!$B$99,'caseload data'!N:N),"")</f>
        <v/>
      </c>
      <c r="M102" s="167" t="str">
        <f>IFERROR(SUMIFS('caseload data'!O:O,'caseload data'!$C:$C,'divisional &amp; regional caseload%'!$B$99,'caseload data'!$D:$D,"PSO")/SUMIF('caseload data'!$C:$C,'divisional &amp; regional caseload%'!$B$99,'caseload data'!O:O),"")</f>
        <v/>
      </c>
      <c r="N102" s="167" t="str">
        <f>IFERROR(SUMIFS('caseload data'!P:P,'caseload data'!$C:$C,'divisional &amp; regional caseload%'!$B$99,'caseload data'!$D:$D,"PSO")/SUMIF('caseload data'!$C:$C,'divisional &amp; regional caseload%'!$B$99,'caseload data'!P:P),"")</f>
        <v/>
      </c>
      <c r="O102" s="167" t="str">
        <f>IFERROR(SUMIFS('caseload data'!Q:Q,'caseload data'!$C:$C,'divisional &amp; regional caseload%'!$B$99,'caseload data'!$D:$D,"PSO")/SUMIF('caseload data'!$C:$C,'divisional &amp; regional caseload%'!$B$99,'caseload data'!Q:Q),"")</f>
        <v/>
      </c>
      <c r="P102" s="167" t="str">
        <f>IFERROR(SUMIFS('caseload data'!R:R,'caseload data'!$C:$C,'divisional &amp; regional caseload%'!$B$99,'caseload data'!$D:$D,"PSO")/SUMIF('caseload data'!$C:$C,'divisional &amp; regional caseload%'!$B$99,'caseload data'!R:R),"")</f>
        <v/>
      </c>
      <c r="Q102" s="167" t="str">
        <f>IFERROR(SUMIFS('caseload data'!S:S,'caseload data'!$C:$C,'divisional &amp; regional caseload%'!$B$99,'caseload data'!$D:$D,"PSO")/SUMIF('caseload data'!$C:$C,'divisional &amp; regional caseload%'!$B$99,'caseload data'!S:S),"")</f>
        <v/>
      </c>
      <c r="R102" s="167" t="str">
        <f>IFERROR(SUMIFS('caseload data'!T:T,'caseload data'!$C:$C,'divisional &amp; regional caseload%'!$B$99,'caseload data'!$D:$D,"PSO")/SUMIF('caseload data'!$C:$C,'divisional &amp; regional caseload%'!$B$99,'caseload data'!T:T),"")</f>
        <v/>
      </c>
      <c r="T102" s="97" t="s">
        <v>952</v>
      </c>
      <c r="U102" s="167" t="str">
        <f>IFERROR(SUMIFS('caseload data'!E:E,'caseload data'!$C:$C,'divisional &amp; regional caseload%'!$T$99,'caseload data'!$D:$D,"PSO")/SUMIF('caseload data'!$C:$C,'divisional &amp; regional caseload%'!$T$99,'caseload data'!E:E),"")</f>
        <v/>
      </c>
      <c r="V102" s="167" t="str">
        <f>IFERROR(SUMIFS('caseload data'!F:F,'caseload data'!$C:$C,'divisional &amp; regional caseload%'!$T$99,'caseload data'!$D:$D,"PSO")/SUMIF('caseload data'!$C:$C,'divisional &amp; regional caseload%'!$T$99,'caseload data'!F:F),"")</f>
        <v/>
      </c>
      <c r="W102" s="167" t="str">
        <f>IFERROR(SUMIFS('caseload data'!G:G,'caseload data'!$C:$C,'divisional &amp; regional caseload%'!$T$99,'caseload data'!$D:$D,"PSO")/SUMIF('caseload data'!$C:$C,'divisional &amp; regional caseload%'!$T$99,'caseload data'!G:G),"")</f>
        <v/>
      </c>
      <c r="X102" s="167" t="str">
        <f>IFERROR(SUMIFS('caseload data'!H:H,'caseload data'!$C:$C,'divisional &amp; regional caseload%'!$T$99,'caseload data'!$D:$D,"PSO")/SUMIF('caseload data'!$C:$C,'divisional &amp; regional caseload%'!$T$99,'caseload data'!H:H),"")</f>
        <v/>
      </c>
      <c r="Y102" s="167" t="str">
        <f>IFERROR(SUMIFS('caseload data'!I:I,'caseload data'!$C:$C,'divisional &amp; regional caseload%'!$T$99,'caseload data'!$D:$D,"PSO")/SUMIF('caseload data'!$C:$C,'divisional &amp; regional caseload%'!$T$99,'caseload data'!I:I),"")</f>
        <v/>
      </c>
      <c r="Z102" s="167" t="str">
        <f>IFERROR(SUMIFS('caseload data'!J:J,'caseload data'!$C:$C,'divisional &amp; regional caseload%'!$T$99,'caseload data'!$D:$D,"PSO")/SUMIF('caseload data'!$C:$C,'divisional &amp; regional caseload%'!$T$99,'caseload data'!J:J),"")</f>
        <v/>
      </c>
      <c r="AA102" s="167" t="str">
        <f>IFERROR(SUMIFS('caseload data'!K:K,'caseload data'!$C:$C,'divisional &amp; regional caseload%'!$T$99,'caseload data'!$D:$D,"PSO")/SUMIF('caseload data'!$C:$C,'divisional &amp; regional caseload%'!$T$99,'caseload data'!K:K),"")</f>
        <v/>
      </c>
      <c r="AB102" s="167" t="str">
        <f>IFERROR(SUMIFS('caseload data'!L:L,'caseload data'!$C:$C,'divisional &amp; regional caseload%'!$T$99,'caseload data'!$D:$D,"PSO")/SUMIF('caseload data'!$C:$C,'divisional &amp; regional caseload%'!$T$99,'caseload data'!L:L),"")</f>
        <v/>
      </c>
      <c r="AC102" s="167" t="str">
        <f>IFERROR(SUMIFS('caseload data'!M:M,'caseload data'!$C:$C,'divisional &amp; regional caseload%'!$T$99,'caseload data'!$D:$D,"PSO")/SUMIF('caseload data'!$C:$C,'divisional &amp; regional caseload%'!$T$99,'caseload data'!M:M),"")</f>
        <v/>
      </c>
      <c r="AD102" s="167" t="str">
        <f>IFERROR(SUMIFS('caseload data'!N:N,'caseload data'!$C:$C,'divisional &amp; regional caseload%'!$T$99,'caseload data'!$D:$D,"PSO")/SUMIF('caseload data'!$C:$C,'divisional &amp; regional caseload%'!$T$99,'caseload data'!N:N),"")</f>
        <v/>
      </c>
      <c r="AE102" s="167" t="str">
        <f>IFERROR(SUMIFS('caseload data'!O:O,'caseload data'!$C:$C,'divisional &amp; regional caseload%'!$T$99,'caseload data'!$D:$D,"PSO")/SUMIF('caseload data'!$C:$C,'divisional &amp; regional caseload%'!$T$99,'caseload data'!O:O),"")</f>
        <v/>
      </c>
      <c r="AF102" s="167" t="str">
        <f>IFERROR(SUMIFS('caseload data'!P:P,'caseload data'!$C:$C,'divisional &amp; regional caseload%'!$T$99,'caseload data'!$D:$D,"PSO")/SUMIF('caseload data'!$C:$C,'divisional &amp; regional caseload%'!$T$99,'caseload data'!P:P),"")</f>
        <v/>
      </c>
      <c r="AG102" s="167" t="str">
        <f>IFERROR(SUMIFS('caseload data'!Q:Q,'caseload data'!$C:$C,'divisional &amp; regional caseload%'!$T$99,'caseload data'!$D:$D,"PSO")/SUMIF('caseload data'!$C:$C,'divisional &amp; regional caseload%'!$T$99,'caseload data'!Q:Q),"")</f>
        <v/>
      </c>
      <c r="AH102" s="167" t="str">
        <f>IFERROR(SUMIFS('caseload data'!R:R,'caseload data'!$C:$C,'divisional &amp; regional caseload%'!$T$99,'caseload data'!$D:$D,"PSO")/SUMIF('caseload data'!$C:$C,'divisional &amp; regional caseload%'!$T$99,'caseload data'!R:R),"")</f>
        <v/>
      </c>
      <c r="AI102" s="167" t="str">
        <f>IFERROR(SUMIFS('caseload data'!S:S,'caseload data'!$C:$C,'divisional &amp; regional caseload%'!$T$99,'caseload data'!$D:$D,"PSO")/SUMIF('caseload data'!$C:$C,'divisional &amp; regional caseload%'!$T$99,'caseload data'!S:S),"")</f>
        <v/>
      </c>
      <c r="AJ102" s="167" t="str">
        <f>IFERROR(SUMIFS('caseload data'!T:T,'caseload data'!$C:$C,'divisional &amp; regional caseload%'!$T$99,'caseload data'!$D:$D,"PSO")/SUMIF('caseload data'!$C:$C,'divisional &amp; regional caseload%'!$T$99,'caseload data'!T:T),"")</f>
        <v/>
      </c>
    </row>
    <row r="103" spans="2:36" x14ac:dyDescent="0.15">
      <c r="B103" s="97" t="s">
        <v>953</v>
      </c>
      <c r="C103" s="167" t="str">
        <f>IFERROR(SUMIFS('caseload data'!E:E,'caseload data'!$C:$C,'divisional &amp; regional caseload%'!$B$99,'caseload data'!$D:$D,"TPO")/SUMIF('caseload data'!$C:$C,'divisional &amp; regional caseload%'!$B$99,'caseload data'!E:E),"")</f>
        <v/>
      </c>
      <c r="D103" s="167" t="str">
        <f>IFERROR(SUMIFS('caseload data'!F:F,'caseload data'!$C:$C,'divisional &amp; regional caseload%'!$B$99,'caseload data'!$D:$D,"TPO")/SUMIF('caseload data'!$C:$C,'divisional &amp; regional caseload%'!$B$99,'caseload data'!F:F),"")</f>
        <v/>
      </c>
      <c r="E103" s="167" t="str">
        <f>IFERROR(SUMIFS('caseload data'!G:G,'caseload data'!$C:$C,'divisional &amp; regional caseload%'!$B$99,'caseload data'!$D:$D,"TPO")/SUMIF('caseload data'!$C:$C,'divisional &amp; regional caseload%'!$B$99,'caseload data'!G:G),"")</f>
        <v/>
      </c>
      <c r="F103" s="167" t="str">
        <f>IFERROR(SUMIFS('caseload data'!H:H,'caseload data'!$C:$C,'divisional &amp; regional caseload%'!$B$99,'caseload data'!$D:$D,"TPO")/SUMIF('caseload data'!$C:$C,'divisional &amp; regional caseload%'!$B$99,'caseload data'!H:H),"")</f>
        <v/>
      </c>
      <c r="G103" s="167" t="str">
        <f>IFERROR(SUMIFS('caseload data'!I:I,'caseload data'!$C:$C,'divisional &amp; regional caseload%'!$B$99,'caseload data'!$D:$D,"TPO")/SUMIF('caseload data'!$C:$C,'divisional &amp; regional caseload%'!$B$99,'caseload data'!I:I),"")</f>
        <v/>
      </c>
      <c r="H103" s="167" t="str">
        <f>IFERROR(SUMIFS('caseload data'!J:J,'caseload data'!$C:$C,'divisional &amp; regional caseload%'!$B$99,'caseload data'!$D:$D,"TPO")/SUMIF('caseload data'!$C:$C,'divisional &amp; regional caseload%'!$B$99,'caseload data'!J:J),"")</f>
        <v/>
      </c>
      <c r="I103" s="167" t="str">
        <f>IFERROR(SUMIFS('caseload data'!K:K,'caseload data'!$C:$C,'divisional &amp; regional caseload%'!$B$99,'caseload data'!$D:$D,"TPO")/SUMIF('caseload data'!$C:$C,'divisional &amp; regional caseload%'!$B$99,'caseload data'!K:K),"")</f>
        <v/>
      </c>
      <c r="J103" s="167" t="str">
        <f>IFERROR(SUMIFS('caseload data'!L:L,'caseload data'!$C:$C,'divisional &amp; regional caseload%'!$B$99,'caseload data'!$D:$D,"TPO")/SUMIF('caseload data'!$C:$C,'divisional &amp; regional caseload%'!$B$99,'caseload data'!L:L),"")</f>
        <v/>
      </c>
      <c r="K103" s="167" t="str">
        <f>IFERROR(SUMIFS('caseload data'!M:M,'caseload data'!$C:$C,'divisional &amp; regional caseload%'!$B$99,'caseload data'!$D:$D,"TPO")/SUMIF('caseload data'!$C:$C,'divisional &amp; regional caseload%'!$B$99,'caseload data'!M:M),"")</f>
        <v/>
      </c>
      <c r="L103" s="167" t="str">
        <f>IFERROR(SUMIFS('caseload data'!N:N,'caseload data'!$C:$C,'divisional &amp; regional caseload%'!$B$99,'caseload data'!$D:$D,"TPO")/SUMIF('caseload data'!$C:$C,'divisional &amp; regional caseload%'!$B$99,'caseload data'!N:N),"")</f>
        <v/>
      </c>
      <c r="M103" s="167" t="str">
        <f>IFERROR(SUMIFS('caseload data'!O:O,'caseload data'!$C:$C,'divisional &amp; regional caseload%'!$B$99,'caseload data'!$D:$D,"TPO")/SUMIF('caseload data'!$C:$C,'divisional &amp; regional caseload%'!$B$99,'caseload data'!O:O),"")</f>
        <v/>
      </c>
      <c r="N103" s="167" t="str">
        <f>IFERROR(SUMIFS('caseload data'!P:P,'caseload data'!$C:$C,'divisional &amp; regional caseload%'!$B$99,'caseload data'!$D:$D,"TPO")/SUMIF('caseload data'!$C:$C,'divisional &amp; regional caseload%'!$B$99,'caseload data'!P:P),"")</f>
        <v/>
      </c>
      <c r="O103" s="167" t="str">
        <f>IFERROR(SUMIFS('caseload data'!Q:Q,'caseload data'!$C:$C,'divisional &amp; regional caseload%'!$B$99,'caseload data'!$D:$D,"TPO")/SUMIF('caseload data'!$C:$C,'divisional &amp; regional caseload%'!$B$99,'caseload data'!Q:Q),"")</f>
        <v/>
      </c>
      <c r="P103" s="167" t="str">
        <f>IFERROR(SUMIFS('caseload data'!R:R,'caseload data'!$C:$C,'divisional &amp; regional caseload%'!$B$99,'caseload data'!$D:$D,"TPO")/SUMIF('caseload data'!$C:$C,'divisional &amp; regional caseload%'!$B$99,'caseload data'!R:R),"")</f>
        <v/>
      </c>
      <c r="Q103" s="167" t="str">
        <f>IFERROR(SUMIFS('caseload data'!S:S,'caseload data'!$C:$C,'divisional &amp; regional caseload%'!$B$99,'caseload data'!$D:$D,"TPO")/SUMIF('caseload data'!$C:$C,'divisional &amp; regional caseload%'!$B$99,'caseload data'!S:S),"")</f>
        <v/>
      </c>
      <c r="R103" s="167" t="str">
        <f>IFERROR(SUMIFS('caseload data'!T:T,'caseload data'!$C:$C,'divisional &amp; regional caseload%'!$B$99,'caseload data'!$D:$D,"TPO")/SUMIF('caseload data'!$C:$C,'divisional &amp; regional caseload%'!$B$99,'caseload data'!T:T),"")</f>
        <v/>
      </c>
      <c r="T103" s="97" t="s">
        <v>953</v>
      </c>
      <c r="U103" s="167" t="str">
        <f>IFERROR(SUMIFS('caseload data'!E:E,'caseload data'!$C:$C,'divisional &amp; regional caseload%'!$T$99,'caseload data'!$D:$D,"TPO")/SUMIF('caseload data'!$C:$C,'divisional &amp; regional caseload%'!$T$99,'caseload data'!E:E),"")</f>
        <v/>
      </c>
      <c r="V103" s="167" t="str">
        <f>IFERROR(SUMIFS('caseload data'!F:F,'caseload data'!$C:$C,'divisional &amp; regional caseload%'!$T$99,'caseload data'!$D:$D,"TPO")/SUMIF('caseload data'!$C:$C,'divisional &amp; regional caseload%'!$T$99,'caseload data'!F:F),"")</f>
        <v/>
      </c>
      <c r="W103" s="167" t="str">
        <f>IFERROR(SUMIFS('caseload data'!G:G,'caseload data'!$C:$C,'divisional &amp; regional caseload%'!$T$99,'caseload data'!$D:$D,"TPO")/SUMIF('caseload data'!$C:$C,'divisional &amp; regional caseload%'!$T$99,'caseload data'!G:G),"")</f>
        <v/>
      </c>
      <c r="X103" s="167" t="str">
        <f>IFERROR(SUMIFS('caseload data'!H:H,'caseload data'!$C:$C,'divisional &amp; regional caseload%'!$T$99,'caseload data'!$D:$D,"TPO")/SUMIF('caseload data'!$C:$C,'divisional &amp; regional caseload%'!$T$99,'caseload data'!H:H),"")</f>
        <v/>
      </c>
      <c r="Y103" s="167" t="str">
        <f>IFERROR(SUMIFS('caseload data'!I:I,'caseload data'!$C:$C,'divisional &amp; regional caseload%'!$T$99,'caseload data'!$D:$D,"TPO")/SUMIF('caseload data'!$C:$C,'divisional &amp; regional caseload%'!$T$99,'caseload data'!I:I),"")</f>
        <v/>
      </c>
      <c r="Z103" s="167" t="str">
        <f>IFERROR(SUMIFS('caseload data'!J:J,'caseload data'!$C:$C,'divisional &amp; regional caseload%'!$T$99,'caseload data'!$D:$D,"TPO")/SUMIF('caseload data'!$C:$C,'divisional &amp; regional caseload%'!$T$99,'caseload data'!J:J),"")</f>
        <v/>
      </c>
      <c r="AA103" s="167" t="str">
        <f>IFERROR(SUMIFS('caseload data'!K:K,'caseload data'!$C:$C,'divisional &amp; regional caseload%'!$T$99,'caseload data'!$D:$D,"TPO")/SUMIF('caseload data'!$C:$C,'divisional &amp; regional caseload%'!$T$99,'caseload data'!K:K),"")</f>
        <v/>
      </c>
      <c r="AB103" s="167" t="str">
        <f>IFERROR(SUMIFS('caseload data'!L:L,'caseload data'!$C:$C,'divisional &amp; regional caseload%'!$T$99,'caseload data'!$D:$D,"TPO")/SUMIF('caseload data'!$C:$C,'divisional &amp; regional caseload%'!$T$99,'caseload data'!L:L),"")</f>
        <v/>
      </c>
      <c r="AC103" s="167" t="str">
        <f>IFERROR(SUMIFS('caseload data'!M:M,'caseload data'!$C:$C,'divisional &amp; regional caseload%'!$T$99,'caseload data'!$D:$D,"TPO")/SUMIF('caseload data'!$C:$C,'divisional &amp; regional caseload%'!$T$99,'caseload data'!M:M),"")</f>
        <v/>
      </c>
      <c r="AD103" s="167" t="str">
        <f>IFERROR(SUMIFS('caseload data'!N:N,'caseload data'!$C:$C,'divisional &amp; regional caseload%'!$T$99,'caseload data'!$D:$D,"TPO")/SUMIF('caseload data'!$C:$C,'divisional &amp; regional caseload%'!$T$99,'caseload data'!N:N),"")</f>
        <v/>
      </c>
      <c r="AE103" s="167" t="str">
        <f>IFERROR(SUMIFS('caseload data'!O:O,'caseload data'!$C:$C,'divisional &amp; regional caseload%'!$T$99,'caseload data'!$D:$D,"TPO")/SUMIF('caseload data'!$C:$C,'divisional &amp; regional caseload%'!$T$99,'caseload data'!O:O),"")</f>
        <v/>
      </c>
      <c r="AF103" s="167" t="str">
        <f>IFERROR(SUMIFS('caseload data'!P:P,'caseload data'!$C:$C,'divisional &amp; regional caseload%'!$T$99,'caseload data'!$D:$D,"TPO")/SUMIF('caseload data'!$C:$C,'divisional &amp; regional caseload%'!$T$99,'caseload data'!P:P),"")</f>
        <v/>
      </c>
      <c r="AG103" s="167" t="str">
        <f>IFERROR(SUMIFS('caseload data'!Q:Q,'caseload data'!$C:$C,'divisional &amp; regional caseload%'!$T$99,'caseload data'!$D:$D,"TPO")/SUMIF('caseload data'!$C:$C,'divisional &amp; regional caseload%'!$T$99,'caseload data'!Q:Q),"")</f>
        <v/>
      </c>
      <c r="AH103" s="167" t="str">
        <f>IFERROR(SUMIFS('caseload data'!R:R,'caseload data'!$C:$C,'divisional &amp; regional caseload%'!$T$99,'caseload data'!$D:$D,"TPO")/SUMIF('caseload data'!$C:$C,'divisional &amp; regional caseload%'!$T$99,'caseload data'!R:R),"")</f>
        <v/>
      </c>
      <c r="AI103" s="167" t="str">
        <f>IFERROR(SUMIFS('caseload data'!S:S,'caseload data'!$C:$C,'divisional &amp; regional caseload%'!$T$99,'caseload data'!$D:$D,"TPO")/SUMIF('caseload data'!$C:$C,'divisional &amp; regional caseload%'!$T$99,'caseload data'!S:S),"")</f>
        <v/>
      </c>
      <c r="AJ103" s="167" t="str">
        <f>IFERROR(SUMIFS('caseload data'!T:T,'caseload data'!$C:$C,'divisional &amp; regional caseload%'!$T$99,'caseload data'!$D:$D,"TPO")/SUMIF('caseload data'!$C:$C,'divisional &amp; regional caseload%'!$T$99,'caseload data'!T:T),"")</f>
        <v/>
      </c>
    </row>
    <row r="104" spans="2:36" x14ac:dyDescent="0.15">
      <c r="B104" s="98" t="s">
        <v>954</v>
      </c>
      <c r="C104" s="167" t="str">
        <f>IFERROR(SUMIFS('caseload data'!E:E,'caseload data'!$C:$C,'divisional &amp; regional caseload%'!$B$99,'caseload data'!$D:$D,"SPO")/SUMIF('caseload data'!$C:$C,'divisional &amp; regional caseload%'!$B$99,'caseload data'!E:E),"")</f>
        <v/>
      </c>
      <c r="D104" s="167" t="str">
        <f>IFERROR(SUMIFS('caseload data'!F:F,'caseload data'!$C:$C,'divisional &amp; regional caseload%'!$B$99,'caseload data'!$D:$D,"SPO")/SUMIF('caseload data'!$C:$C,'divisional &amp; regional caseload%'!$B$99,'caseload data'!F:F),"")</f>
        <v/>
      </c>
      <c r="E104" s="167" t="str">
        <f>IFERROR(SUMIFS('caseload data'!G:G,'caseload data'!$C:$C,'divisional &amp; regional caseload%'!$B$99,'caseload data'!$D:$D,"SPO")/SUMIF('caseload data'!$C:$C,'divisional &amp; regional caseload%'!$B$99,'caseload data'!G:G),"")</f>
        <v/>
      </c>
      <c r="F104" s="167" t="str">
        <f>IFERROR(SUMIFS('caseload data'!H:H,'caseload data'!$C:$C,'divisional &amp; regional caseload%'!$B$99,'caseload data'!$D:$D,"SPO")/SUMIF('caseload data'!$C:$C,'divisional &amp; regional caseload%'!$B$99,'caseload data'!H:H),"")</f>
        <v/>
      </c>
      <c r="G104" s="167" t="str">
        <f>IFERROR(SUMIFS('caseload data'!I:I,'caseload data'!$C:$C,'divisional &amp; regional caseload%'!$B$99,'caseload data'!$D:$D,"SPO")/SUMIF('caseload data'!$C:$C,'divisional &amp; regional caseload%'!$B$99,'caseload data'!I:I),"")</f>
        <v/>
      </c>
      <c r="H104" s="167" t="str">
        <f>IFERROR(SUMIFS('caseload data'!J:J,'caseload data'!$C:$C,'divisional &amp; regional caseload%'!$B$99,'caseload data'!$D:$D,"SPO")/SUMIF('caseload data'!$C:$C,'divisional &amp; regional caseload%'!$B$99,'caseload data'!J:J),"")</f>
        <v/>
      </c>
      <c r="I104" s="167" t="str">
        <f>IFERROR(SUMIFS('caseload data'!K:K,'caseload data'!$C:$C,'divisional &amp; regional caseload%'!$B$99,'caseload data'!$D:$D,"SPO")/SUMIF('caseload data'!$C:$C,'divisional &amp; regional caseload%'!$B$99,'caseload data'!K:K),"")</f>
        <v/>
      </c>
      <c r="J104" s="167" t="str">
        <f>IFERROR(SUMIFS('caseload data'!L:L,'caseload data'!$C:$C,'divisional &amp; regional caseload%'!$B$99,'caseload data'!$D:$D,"SPO")/SUMIF('caseload data'!$C:$C,'divisional &amp; regional caseload%'!$B$99,'caseload data'!L:L),"")</f>
        <v/>
      </c>
      <c r="K104" s="167" t="str">
        <f>IFERROR(SUMIFS('caseload data'!M:M,'caseload data'!$C:$C,'divisional &amp; regional caseload%'!$B$99,'caseload data'!$D:$D,"SPO")/SUMIF('caseload data'!$C:$C,'divisional &amp; regional caseload%'!$B$99,'caseload data'!M:M),"")</f>
        <v/>
      </c>
      <c r="L104" s="167" t="str">
        <f>IFERROR(SUMIFS('caseload data'!N:N,'caseload data'!$C:$C,'divisional &amp; regional caseload%'!$B$99,'caseload data'!$D:$D,"SPO")/SUMIF('caseload data'!$C:$C,'divisional &amp; regional caseload%'!$B$99,'caseload data'!N:N),"")</f>
        <v/>
      </c>
      <c r="M104" s="167" t="str">
        <f>IFERROR(SUMIFS('caseload data'!O:O,'caseload data'!$C:$C,'divisional &amp; regional caseload%'!$B$99,'caseload data'!$D:$D,"SPO")/SUMIF('caseload data'!$C:$C,'divisional &amp; regional caseload%'!$B$99,'caseload data'!O:O),"")</f>
        <v/>
      </c>
      <c r="N104" s="167" t="str">
        <f>IFERROR(SUMIFS('caseload data'!P:P,'caseload data'!$C:$C,'divisional &amp; regional caseload%'!$B$99,'caseload data'!$D:$D,"SPO")/SUMIF('caseload data'!$C:$C,'divisional &amp; regional caseload%'!$B$99,'caseload data'!P:P),"")</f>
        <v/>
      </c>
      <c r="O104" s="167" t="str">
        <f>IFERROR(SUMIFS('caseload data'!Q:Q,'caseload data'!$C:$C,'divisional &amp; regional caseload%'!$B$99,'caseload data'!$D:$D,"SPO")/SUMIF('caseload data'!$C:$C,'divisional &amp; regional caseload%'!$B$99,'caseload data'!Q:Q),"")</f>
        <v/>
      </c>
      <c r="P104" s="167" t="str">
        <f>IFERROR(SUMIFS('caseload data'!R:R,'caseload data'!$C:$C,'divisional &amp; regional caseload%'!$B$99,'caseload data'!$D:$D,"SPO")/SUMIF('caseload data'!$C:$C,'divisional &amp; regional caseload%'!$B$99,'caseload data'!R:R),"")</f>
        <v/>
      </c>
      <c r="Q104" s="167" t="str">
        <f>IFERROR(SUMIFS('caseload data'!S:S,'caseload data'!$C:$C,'divisional &amp; regional caseload%'!$B$99,'caseload data'!$D:$D,"SPO")/SUMIF('caseload data'!$C:$C,'divisional &amp; regional caseload%'!$B$99,'caseload data'!S:S),"")</f>
        <v/>
      </c>
      <c r="R104" s="167" t="str">
        <f>IFERROR(SUMIFS('caseload data'!T:T,'caseload data'!$C:$C,'divisional &amp; regional caseload%'!$B$99,'caseload data'!$D:$D,"SPO")/SUMIF('caseload data'!$C:$C,'divisional &amp; regional caseload%'!$B$99,'caseload data'!T:T),"")</f>
        <v/>
      </c>
      <c r="T104" s="98" t="s">
        <v>954</v>
      </c>
      <c r="U104" s="167" t="str">
        <f>IFERROR(SUMIFS('caseload data'!E:E,'caseload data'!$C:$C,'divisional &amp; regional caseload%'!$T$99,'caseload data'!$D:$D,"SPO")/SUMIF('caseload data'!$C:$C,'divisional &amp; regional caseload%'!$T$99,'caseload data'!E:E),"")</f>
        <v/>
      </c>
      <c r="V104" s="167" t="str">
        <f>IFERROR(SUMIFS('caseload data'!F:F,'caseload data'!$C:$C,'divisional &amp; regional caseload%'!$T$99,'caseload data'!$D:$D,"SPO")/SUMIF('caseload data'!$C:$C,'divisional &amp; regional caseload%'!$T$99,'caseload data'!F:F),"")</f>
        <v/>
      </c>
      <c r="W104" s="167" t="str">
        <f>IFERROR(SUMIFS('caseload data'!G:G,'caseload data'!$C:$C,'divisional &amp; regional caseload%'!$T$99,'caseload data'!$D:$D,"SPO")/SUMIF('caseload data'!$C:$C,'divisional &amp; regional caseload%'!$T$99,'caseload data'!G:G),"")</f>
        <v/>
      </c>
      <c r="X104" s="167" t="str">
        <f>IFERROR(SUMIFS('caseload data'!H:H,'caseload data'!$C:$C,'divisional &amp; regional caseload%'!$T$99,'caseload data'!$D:$D,"SPO")/SUMIF('caseload data'!$C:$C,'divisional &amp; regional caseload%'!$T$99,'caseload data'!H:H),"")</f>
        <v/>
      </c>
      <c r="Y104" s="167" t="str">
        <f>IFERROR(SUMIFS('caseload data'!I:I,'caseload data'!$C:$C,'divisional &amp; regional caseload%'!$T$99,'caseload data'!$D:$D,"SPO")/SUMIF('caseload data'!$C:$C,'divisional &amp; regional caseload%'!$T$99,'caseload data'!I:I),"")</f>
        <v/>
      </c>
      <c r="Z104" s="167" t="str">
        <f>IFERROR(SUMIFS('caseload data'!J:J,'caseload data'!$C:$C,'divisional &amp; regional caseload%'!$T$99,'caseload data'!$D:$D,"SPO")/SUMIF('caseload data'!$C:$C,'divisional &amp; regional caseload%'!$T$99,'caseload data'!J:J),"")</f>
        <v/>
      </c>
      <c r="AA104" s="167" t="str">
        <f>IFERROR(SUMIFS('caseload data'!K:K,'caseload data'!$C:$C,'divisional &amp; regional caseload%'!$T$99,'caseload data'!$D:$D,"SPO")/SUMIF('caseload data'!$C:$C,'divisional &amp; regional caseload%'!$T$99,'caseload data'!K:K),"")</f>
        <v/>
      </c>
      <c r="AB104" s="167" t="str">
        <f>IFERROR(SUMIFS('caseload data'!L:L,'caseload data'!$C:$C,'divisional &amp; regional caseload%'!$T$99,'caseload data'!$D:$D,"SPO")/SUMIF('caseload data'!$C:$C,'divisional &amp; regional caseload%'!$T$99,'caseload data'!L:L),"")</f>
        <v/>
      </c>
      <c r="AC104" s="167" t="str">
        <f>IFERROR(SUMIFS('caseload data'!M:M,'caseload data'!$C:$C,'divisional &amp; regional caseload%'!$T$99,'caseload data'!$D:$D,"SPO")/SUMIF('caseload data'!$C:$C,'divisional &amp; regional caseload%'!$T$99,'caseload data'!M:M),"")</f>
        <v/>
      </c>
      <c r="AD104" s="167" t="str">
        <f>IFERROR(SUMIFS('caseload data'!N:N,'caseload data'!$C:$C,'divisional &amp; regional caseload%'!$T$99,'caseload data'!$D:$D,"SPO")/SUMIF('caseload data'!$C:$C,'divisional &amp; regional caseload%'!$T$99,'caseload data'!N:N),"")</f>
        <v/>
      </c>
      <c r="AE104" s="167" t="str">
        <f>IFERROR(SUMIFS('caseload data'!O:O,'caseload data'!$C:$C,'divisional &amp; regional caseload%'!$T$99,'caseload data'!$D:$D,"SPO")/SUMIF('caseload data'!$C:$C,'divisional &amp; regional caseload%'!$T$99,'caseload data'!O:O),"")</f>
        <v/>
      </c>
      <c r="AF104" s="167" t="str">
        <f>IFERROR(SUMIFS('caseload data'!P:P,'caseload data'!$C:$C,'divisional &amp; regional caseload%'!$T$99,'caseload data'!$D:$D,"SPO")/SUMIF('caseload data'!$C:$C,'divisional &amp; regional caseload%'!$T$99,'caseload data'!P:P),"")</f>
        <v/>
      </c>
      <c r="AG104" s="167" t="str">
        <f>IFERROR(SUMIFS('caseload data'!Q:Q,'caseload data'!$C:$C,'divisional &amp; regional caseload%'!$T$99,'caseload data'!$D:$D,"SPO")/SUMIF('caseload data'!$C:$C,'divisional &amp; regional caseload%'!$T$99,'caseload data'!Q:Q),"")</f>
        <v/>
      </c>
      <c r="AH104" s="167" t="str">
        <f>IFERROR(SUMIFS('caseload data'!R:R,'caseload data'!$C:$C,'divisional &amp; regional caseload%'!$T$99,'caseload data'!$D:$D,"SPO")/SUMIF('caseload data'!$C:$C,'divisional &amp; regional caseload%'!$T$99,'caseload data'!R:R),"")</f>
        <v/>
      </c>
      <c r="AI104" s="167" t="str">
        <f>IFERROR(SUMIFS('caseload data'!S:S,'caseload data'!$C:$C,'divisional &amp; regional caseload%'!$T$99,'caseload data'!$D:$D,"SPO")/SUMIF('caseload data'!$C:$C,'divisional &amp; regional caseload%'!$T$99,'caseload data'!S:S),"")</f>
        <v/>
      </c>
      <c r="AJ104" s="167" t="str">
        <f>IFERROR(SUMIFS('caseload data'!T:T,'caseload data'!$C:$C,'divisional &amp; regional caseload%'!$T$99,'caseload data'!$D:$D,"SPO")/SUMIF('caseload data'!$C:$C,'divisional &amp; regional caseload%'!$T$99,'caseload data'!T:T),"")</f>
        <v/>
      </c>
    </row>
  </sheetData>
  <mergeCells count="58">
    <mergeCell ref="C85:O85"/>
    <mergeCell ref="P85:R85"/>
    <mergeCell ref="C92:O92"/>
    <mergeCell ref="P92:R92"/>
    <mergeCell ref="C99:O99"/>
    <mergeCell ref="P99:R99"/>
    <mergeCell ref="U85:AG85"/>
    <mergeCell ref="AH85:AJ85"/>
    <mergeCell ref="U92:AG92"/>
    <mergeCell ref="AH92:AJ92"/>
    <mergeCell ref="U99:AG99"/>
    <mergeCell ref="AH99:AJ99"/>
    <mergeCell ref="C71:O71"/>
    <mergeCell ref="P71:R71"/>
    <mergeCell ref="U71:AG71"/>
    <mergeCell ref="AH71:AJ71"/>
    <mergeCell ref="C78:O78"/>
    <mergeCell ref="P78:R78"/>
    <mergeCell ref="U78:AG78"/>
    <mergeCell ref="AH78:AJ78"/>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election activeCell="B3" sqref="B3"/>
    </sheetView>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564" t="s">
        <v>1044</v>
      </c>
      <c r="C1" s="512"/>
      <c r="D1" s="512"/>
      <c r="E1" s="512"/>
      <c r="F1" s="512"/>
      <c r="G1" s="512"/>
      <c r="H1" s="512"/>
      <c r="I1" s="512"/>
      <c r="J1" s="512"/>
      <c r="K1" s="512"/>
      <c r="L1" s="256"/>
      <c r="M1" s="256"/>
      <c r="N1" s="256"/>
      <c r="O1" s="256"/>
      <c r="P1" s="256"/>
      <c r="Q1" s="256"/>
      <c r="R1" s="256"/>
      <c r="S1" s="256"/>
      <c r="T1" s="256"/>
      <c r="U1" s="256"/>
      <c r="V1" s="256"/>
      <c r="W1" s="256"/>
      <c r="X1" s="256"/>
      <c r="Y1" s="256"/>
      <c r="Z1" s="256"/>
    </row>
    <row r="2" spans="1:26" ht="42" customHeight="1" x14ac:dyDescent="0.15">
      <c r="A2"/>
      <c r="B2" s="565" t="s">
        <v>1362</v>
      </c>
      <c r="C2" s="460"/>
      <c r="D2" s="460"/>
      <c r="E2" s="460"/>
      <c r="F2" s="460"/>
      <c r="G2" s="460"/>
      <c r="H2" s="460"/>
      <c r="I2" s="460"/>
      <c r="J2" s="460"/>
      <c r="K2" s="460"/>
      <c r="L2" s="257"/>
      <c r="M2" s="257"/>
      <c r="N2" s="257"/>
      <c r="O2" s="257"/>
      <c r="P2" s="257"/>
      <c r="Q2" s="257"/>
      <c r="R2" s="257"/>
      <c r="S2" s="257"/>
      <c r="T2" s="257"/>
      <c r="U2" s="257"/>
      <c r="V2" s="257"/>
      <c r="W2" s="257"/>
      <c r="X2" s="257"/>
      <c r="Y2" s="257"/>
      <c r="Z2" s="257"/>
    </row>
    <row r="3" spans="1:26" ht="58.5" customHeight="1" x14ac:dyDescent="0.15">
      <c r="A3"/>
      <c r="B3" s="189" t="s">
        <v>885</v>
      </c>
    </row>
    <row r="4" spans="1:26" ht="33" customHeight="1" x14ac:dyDescent="0.2">
      <c r="A4" s="10"/>
      <c r="B4" s="242" t="s">
        <v>17</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19" t="s">
        <v>1045</v>
      </c>
      <c r="C6" s="219" t="s">
        <v>1046</v>
      </c>
      <c r="D6" s="219" t="s">
        <v>1047</v>
      </c>
      <c r="E6" s="219" t="s">
        <v>1048</v>
      </c>
      <c r="F6" s="153"/>
      <c r="G6" s="219" t="s">
        <v>891</v>
      </c>
      <c r="H6" s="219" t="s">
        <v>892</v>
      </c>
      <c r="I6" s="153"/>
      <c r="J6" s="219" t="s">
        <v>893</v>
      </c>
      <c r="K6" s="219" t="s">
        <v>894</v>
      </c>
    </row>
    <row r="7" spans="1:26" ht="16" x14ac:dyDescent="0.15">
      <c r="A7" s="11"/>
      <c r="B7" s="154" t="s">
        <v>970</v>
      </c>
      <c r="C7" s="155" t="e">
        <f>SUM((SUMIF('capacity data'!E:E,"PO",'capacity data'!G:G))-SUMIF('capacity data'!E:E,"PO",'capacity data'!H:H))/SUMIF('capacity data'!E:E,"PO",'capacity data'!G:G)</f>
        <v>#DIV/0!</v>
      </c>
      <c r="D7" s="156" t="e">
        <f>SUM((SUMIF('capacity data'!E:E,"PSO",'capacity data'!G:G))-SUMIF('capacity data'!E:E,"PSO",'capacity data'!H:H))/SUMIF('capacity data'!E:E,"PSO",'capacity data'!G:G)</f>
        <v>#DIV/0!</v>
      </c>
      <c r="E7" s="156" t="e">
        <f>SUM((SUMIF('capacity data'!E:E,"TPO",'capacity data'!G:G))-SUMIF('capacity data'!E:E,"TPO",'capacity data'!H:H))/SUMIF('capacity data'!E:E,"TPO",'capacity data'!G:G)</f>
        <v>#DIV/0!</v>
      </c>
      <c r="F7" s="153"/>
      <c r="G7" s="203" t="e">
        <f>SUMIF('capacity data'!$E:$E,"PSO",'capacity data'!$L:$L)/SUM(SUMIF('capacity data'!$E:$E,"PSO",'capacity data'!$G:$G)-SUMIF('capacity data'!$E:$E,"PSO",'capacity data'!$H:$H))</f>
        <v>#DIV/0!</v>
      </c>
      <c r="H7" s="203" t="e">
        <f>SUMIF('capacity data'!$E:$E,"PSO",'capacity data'!$L:$L)/SUMIF('capacity data'!$E:$E,"PSO",'capacity data'!$G:$G)</f>
        <v>#DIV/0!</v>
      </c>
      <c r="I7" s="153"/>
      <c r="J7" s="204" t="e">
        <f>SUMIF('capacity data'!$E:$E,"TPO",'capacity data'!$L:$L)/SUM(SUMIF('capacity data'!$E:$E,"TPO",'capacity data'!$G:$G)-SUMIF('capacity data'!$E:$E,"TPO",'capacity data'!$H:$H))</f>
        <v>#DIV/0!</v>
      </c>
      <c r="K7" s="204" t="e">
        <f>SUMIF('capacity data'!$E:$E,"TPO",'capacity data'!$L:$L)/SUMIF('capacity data'!$E:$E,"TPO",'capacity data'!$G:$G)</f>
        <v>#DIV/0!</v>
      </c>
    </row>
    <row r="8" spans="1:26" ht="16" x14ac:dyDescent="0.2">
      <c r="A8" s="10"/>
      <c r="B8" s="62" t="str">
        <f>HLOOKUP($B$4,Region_Table,2,0)</f>
        <v>All East Midlands Region</v>
      </c>
      <c r="C8" s="67"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7"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7"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3"/>
      <c r="G8" s="211" t="str">
        <f>IFERROR(SUMIFS('capacity data'!$L:$L,'capacity data'!$B:$B,B8,'capacity data'!$E:$E,"PSO")/SUM((SUMIFS('capacity data'!$G:$G,'capacity data'!$E:$E,"PSO",'capacity data'!$B:$B,B8))-SUMIFS('capacity data'!$H:$H,'capacity data'!$E:$E,"PSO",'capacity data'!$B:$B,B8)),"")</f>
        <v/>
      </c>
      <c r="H8" s="211" t="str">
        <f>IFERROR(SUMIFS('capacity data'!$L:$L,'capacity data'!$B:$B,B8,'capacity data'!$E:$E,"PSO")/SUMIFS('capacity data'!$G:$G,'capacity data'!$E:$E,"PSO",'capacity data'!$B:$B,B8),"")</f>
        <v/>
      </c>
      <c r="I8" s="153"/>
      <c r="J8" s="66" t="str">
        <f>IFERROR(SUMIFS('capacity data'!$L:$L,'capacity data'!$B:$B,B8,'capacity data'!$E:$E,"TPO")/SUM((SUMIFS('capacity data'!$G:$G,'capacity data'!$E:$E,"TPO",'capacity data'!$B:$B,B8))-SUMIFS('capacity data'!$H:$H,'capacity data'!$E:$E,"TPO",'capacity data'!$B:$B,B8)),"")</f>
        <v/>
      </c>
      <c r="K8" s="66" t="str">
        <f>IFERROR(SUMIFS('capacity data'!$L:$L,'capacity data'!$B:$B,B8,'capacity data'!$E:$E,"TPO")/SUMIFS('capacity data'!$G:$G,'capacity data'!$E:$E,"TPO",'capacity data'!$B:$B,B8),"")</f>
        <v/>
      </c>
    </row>
    <row r="9" spans="1:26" ht="16" x14ac:dyDescent="0.2">
      <c r="A9" s="10"/>
      <c r="B9" s="62" t="str">
        <f>HLOOKUP($B$4,Region_Table,3,0)</f>
        <v>Derby City - N53</v>
      </c>
      <c r="C9" s="67"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7"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7"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3"/>
      <c r="G9" s="211" t="str">
        <f>IFERROR(SUMIFS('capacity data'!$L:$L,'capacity data'!$B:$B,B9,'capacity data'!$E:$E,"PSO")/SUM((SUMIFS('capacity data'!$G:$G,'capacity data'!$E:$E,"PSO",'capacity data'!$B:$B,B9))-SUMIFS('capacity data'!$H:$H,'capacity data'!$E:$E,"PSO",'capacity data'!$B:$B,B9)),"")</f>
        <v/>
      </c>
      <c r="H9" s="211" t="str">
        <f>IFERROR(SUMIFS('capacity data'!$L:$L,'capacity data'!$B:$B,B9,'capacity data'!$E:$E,"PSO")/SUMIFS('capacity data'!$G:$G,'capacity data'!$E:$E,"PSO",'capacity data'!$B:$B,B9),"")</f>
        <v/>
      </c>
      <c r="I9" s="153"/>
      <c r="J9" s="66" t="str">
        <f>IFERROR(SUMIFS('capacity data'!$L:$L,'capacity data'!$B:$B,B9,'capacity data'!$E:$E,"TPO")/SUM((SUMIFS('capacity data'!$G:$G,'capacity data'!$E:$E,"TPO",'capacity data'!$B:$B,B9))-SUMIFS('capacity data'!$H:$H,'capacity data'!$E:$E,"TPO",'capacity data'!$B:$B,B9)),"")</f>
        <v/>
      </c>
      <c r="K9" s="66" t="str">
        <f>IFERROR(SUMIFS('capacity data'!$L:$L,'capacity data'!$B:$B,B9,'capacity data'!$E:$E,"TPO")/SUMIFS('capacity data'!$G:$G,'capacity data'!$E:$E,"TPO",'capacity data'!$B:$B,B9),"")</f>
        <v/>
      </c>
    </row>
    <row r="10" spans="1:26" ht="16" x14ac:dyDescent="0.2">
      <c r="A10" s="10"/>
      <c r="B10" s="62" t="str">
        <f>HLOOKUP($B$4,Region_Table,4,0)</f>
        <v>Derbyshire - N53</v>
      </c>
      <c r="C10" s="67"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7"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7"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8"/>
      <c r="G10" s="211" t="str">
        <f>IFERROR(SUMIFS('capacity data'!$L:$L,'capacity data'!$B:$B,B10,'capacity data'!$E:$E,"PSO")/SUM((SUMIFS('capacity data'!$G:$G,'capacity data'!$E:$E,"PSO",'capacity data'!$B:$B,B10))-SUMIFS('capacity data'!$H:$H,'capacity data'!$E:$E,"PSO",'capacity data'!$B:$B,B10)),"")</f>
        <v/>
      </c>
      <c r="H10" s="211" t="str">
        <f>IFERROR(SUMIFS('capacity data'!$L:$L,'capacity data'!$B:$B,B10,'capacity data'!$E:$E,"PSO")/SUMIFS('capacity data'!$G:$G,'capacity data'!$E:$E,"PSO",'capacity data'!$B:$B,B10),"")</f>
        <v/>
      </c>
      <c r="I10" s="153"/>
      <c r="J10" s="66" t="str">
        <f>IFERROR(SUMIFS('capacity data'!$L:$L,'capacity data'!$B:$B,B10,'capacity data'!$E:$E,"TPO")/SUM((SUMIFS('capacity data'!$G:$G,'capacity data'!$E:$E,"TPO",'capacity data'!$B:$B,B10))-SUMIFS('capacity data'!$H:$H,'capacity data'!$E:$E,"TPO",'capacity data'!$B:$B,B10)),"")</f>
        <v/>
      </c>
      <c r="K10" s="66" t="str">
        <f>IFERROR(SUMIFS('capacity data'!$L:$L,'capacity data'!$B:$B,B10,'capacity data'!$E:$E,"TPO")/SUMIFS('capacity data'!$G:$G,'capacity data'!$E:$E,"TPO",'capacity data'!$B:$B,B10),"")</f>
        <v/>
      </c>
    </row>
    <row r="11" spans="1:26" ht="16" x14ac:dyDescent="0.2">
      <c r="A11" s="10"/>
      <c r="B11" s="62" t="str">
        <f>HLOOKUP($B$4,Region_Table,5,0)</f>
        <v>Leicester, Leicestershire and Rutland</v>
      </c>
      <c r="C11" s="67"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7"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7"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3"/>
      <c r="G11" s="211" t="str">
        <f>IFERROR(SUMIFS('capacity data'!$L:$L,'capacity data'!$B:$B,B11,'capacity data'!$E:$E,"PSO")/SUM((SUMIFS('capacity data'!$G:$G,'capacity data'!$E:$E,"PSO",'capacity data'!$B:$B,B11))-SUMIFS('capacity data'!$H:$H,'capacity data'!$E:$E,"PSO",'capacity data'!$B:$B,B11)),"")</f>
        <v/>
      </c>
      <c r="H11" s="211" t="str">
        <f>IFERROR(SUMIFS('capacity data'!$L:$L,'capacity data'!$B:$B,B11,'capacity data'!$E:$E,"PSO")/SUMIFS('capacity data'!$G:$G,'capacity data'!$E:$E,"PSO",'capacity data'!$B:$B,B11),"")</f>
        <v/>
      </c>
      <c r="I11" s="153"/>
      <c r="J11" s="66" t="str">
        <f>IFERROR(SUMIFS('capacity data'!$L:$L,'capacity data'!$B:$B,B11,'capacity data'!$E:$E,"TPO")/SUM((SUMIFS('capacity data'!$G:$G,'capacity data'!$E:$E,"TPO",'capacity data'!$B:$B,B11))-SUMIFS('capacity data'!$H:$H,'capacity data'!$E:$E,"TPO",'capacity data'!$B:$B,B11)),"")</f>
        <v/>
      </c>
      <c r="K11" s="66" t="str">
        <f>IFERROR(SUMIFS('capacity data'!$L:$L,'capacity data'!$B:$B,B11,'capacity data'!$E:$E,"TPO")/SUMIFS('capacity data'!$G:$G,'capacity data'!$E:$E,"TPO",'capacity data'!$B:$B,B11),"")</f>
        <v/>
      </c>
    </row>
    <row r="12" spans="1:26" ht="16" x14ac:dyDescent="0.2">
      <c r="A12" s="10"/>
      <c r="B12" s="62" t="str">
        <f>HLOOKUP($B$4,Region_Table,6,0)</f>
        <v>Lincolnshire East and West - N53</v>
      </c>
      <c r="C12" s="67"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7"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7"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3"/>
      <c r="G12" s="211" t="str">
        <f>IFERROR(SUMIFS('capacity data'!$L:$L,'capacity data'!$B:$B,B12,'capacity data'!$E:$E,"PSO")/SUM((SUMIFS('capacity data'!$G:$G,'capacity data'!$E:$E,"PSO",'capacity data'!$B:$B,B12))-SUMIFS('capacity data'!$H:$H,'capacity data'!$E:$E,"PSO",'capacity data'!$B:$B,B12)),"")</f>
        <v/>
      </c>
      <c r="H12" s="211" t="str">
        <f>IFERROR(SUMIFS('capacity data'!$L:$L,'capacity data'!$B:$B,B12,'capacity data'!$E:$E,"PSO")/SUMIFS('capacity data'!$G:$G,'capacity data'!$E:$E,"PSO",'capacity data'!$B:$B,B12),"")</f>
        <v/>
      </c>
      <c r="I12" s="153"/>
      <c r="J12" s="66" t="str">
        <f>IFERROR(SUMIFS('capacity data'!$L:$L,'capacity data'!$B:$B,B12,'capacity data'!$E:$E,"TPO")/SUM((SUMIFS('capacity data'!$G:$G,'capacity data'!$E:$E,"TPO",'capacity data'!$B:$B,B12))-SUMIFS('capacity data'!$H:$H,'capacity data'!$E:$E,"TPO",'capacity data'!$B:$B,B12)),"")</f>
        <v/>
      </c>
      <c r="K12" s="66" t="str">
        <f>IFERROR(SUMIFS('capacity data'!$L:$L,'capacity data'!$B:$B,B12,'capacity data'!$E:$E,"TPO")/SUMIFS('capacity data'!$G:$G,'capacity data'!$E:$E,"TPO",'capacity data'!$B:$B,B12),"")</f>
        <v/>
      </c>
    </row>
    <row r="13" spans="1:26" ht="16" x14ac:dyDescent="0.2">
      <c r="A13" s="10"/>
      <c r="B13" s="62" t="str">
        <f>HLOOKUP($B$4,Region_Table,7,0)</f>
        <v>Nottingham City</v>
      </c>
      <c r="C13" s="67"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7"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7"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3"/>
      <c r="G13" s="211" t="str">
        <f>IFERROR(SUMIFS('capacity data'!$L:$L,'capacity data'!$B:$B,B13,'capacity data'!$E:$E,"PSO")/SUM((SUMIFS('capacity data'!$G:$G,'capacity data'!$E:$E,"PSO",'capacity data'!$B:$B,B13))-SUMIFS('capacity data'!$H:$H,'capacity data'!$E:$E,"PSO",'capacity data'!$B:$B,B13)),"")</f>
        <v/>
      </c>
      <c r="H13" s="211" t="str">
        <f>IFERROR(SUMIFS('capacity data'!$L:$L,'capacity data'!$B:$B,B13,'capacity data'!$E:$E,"PSO")/SUMIFS('capacity data'!$G:$G,'capacity data'!$E:$E,"PSO",'capacity data'!$B:$B,B13),"")</f>
        <v/>
      </c>
      <c r="I13" s="153"/>
      <c r="J13" s="66" t="str">
        <f>IFERROR(SUMIFS('capacity data'!$L:$L,'capacity data'!$B:$B,B13,'capacity data'!$E:$E,"TPO")/SUM((SUMIFS('capacity data'!$G:$G,'capacity data'!$E:$E,"TPO",'capacity data'!$B:$B,B13))-SUMIFS('capacity data'!$H:$H,'capacity data'!$E:$E,"TPO",'capacity data'!$B:$B,B13)),"")</f>
        <v/>
      </c>
      <c r="K13" s="66" t="str">
        <f>IFERROR(SUMIFS('capacity data'!$L:$L,'capacity data'!$B:$B,B13,'capacity data'!$E:$E,"TPO")/SUMIFS('capacity data'!$G:$G,'capacity data'!$E:$E,"TPO",'capacity data'!$B:$B,B13),"")</f>
        <v/>
      </c>
    </row>
    <row r="14" spans="1:26" ht="16" x14ac:dyDescent="0.2">
      <c r="A14" s="10"/>
      <c r="B14" s="62" t="str">
        <f>HLOOKUP($B$4,Region_Table,8,0)</f>
        <v>Nottinghamshire - N53</v>
      </c>
      <c r="C14" s="67"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7"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7"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3"/>
      <c r="G14" s="211" t="str">
        <f>IFERROR(SUMIFS('capacity data'!$L:$L,'capacity data'!$B:$B,B14,'capacity data'!$E:$E,"PSO")/SUM((SUMIFS('capacity data'!$G:$G,'capacity data'!$E:$E,"PSO",'capacity data'!$B:$B,B14))-SUMIFS('capacity data'!$H:$H,'capacity data'!$E:$E,"PSO",'capacity data'!$B:$B,B14)),"")</f>
        <v/>
      </c>
      <c r="H14" s="211" t="str">
        <f>IFERROR(SUMIFS('capacity data'!$L:$L,'capacity data'!$B:$B,B14,'capacity data'!$E:$E,"PSO")/SUMIFS('capacity data'!$G:$G,'capacity data'!$E:$E,"PSO",'capacity data'!$B:$B,B14),"")</f>
        <v/>
      </c>
      <c r="I14" s="153"/>
      <c r="J14" s="66" t="str">
        <f>IFERROR(SUMIFS('capacity data'!$L:$L,'capacity data'!$B:$B,B14,'capacity data'!$E:$E,"TPO")/SUM((SUMIFS('capacity data'!$G:$G,'capacity data'!$E:$E,"TPO",'capacity data'!$B:$B,B14))-SUMIFS('capacity data'!$H:$H,'capacity data'!$E:$E,"TPO",'capacity data'!$B:$B,B14)),"")</f>
        <v/>
      </c>
      <c r="K14" s="66" t="str">
        <f>IFERROR(SUMIFS('capacity data'!$L:$L,'capacity data'!$B:$B,B14,'capacity data'!$E:$E,"TPO")/SUMIFS('capacity data'!$G:$G,'capacity data'!$E:$E,"TPO",'capacity data'!$B:$B,B14),"")</f>
        <v/>
      </c>
    </row>
    <row r="15" spans="1:26" ht="16" x14ac:dyDescent="0.2">
      <c r="A15" s="10"/>
      <c r="B15" s="62" t="str">
        <f>HLOOKUP($B$4,Region_Table,9,0)</f>
        <v>Unpaid Work and Attendance Centres - N53</v>
      </c>
      <c r="C15" s="67"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7"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7"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3"/>
      <c r="G15" s="211" t="str">
        <f>IFERROR(SUMIFS('capacity data'!$L:$L,'capacity data'!$B:$B,B15,'capacity data'!$E:$E,"PSO")/SUM((SUMIFS('capacity data'!$G:$G,'capacity data'!$E:$E,"PSO",'capacity data'!$B:$B,B15))-SUMIFS('capacity data'!$H:$H,'capacity data'!$E:$E,"PSO",'capacity data'!$B:$B,B15)),"")</f>
        <v/>
      </c>
      <c r="H15" s="211" t="str">
        <f>IFERROR(SUMIFS('capacity data'!$L:$L,'capacity data'!$B:$B,B15,'capacity data'!$E:$E,"PSO")/SUMIFS('capacity data'!$G:$G,'capacity data'!$E:$E,"PSO",'capacity data'!$B:$B,B15),"")</f>
        <v/>
      </c>
      <c r="I15" s="153"/>
      <c r="J15" s="66" t="str">
        <f>IFERROR(SUMIFS('capacity data'!$L:$L,'capacity data'!$B:$B,B15,'capacity data'!$E:$E,"TPO")/SUM((SUMIFS('capacity data'!$G:$G,'capacity data'!$E:$E,"TPO",'capacity data'!$B:$B,B15))-SUMIFS('capacity data'!$H:$H,'capacity data'!$E:$E,"TPO",'capacity data'!$B:$B,B15)),"")</f>
        <v/>
      </c>
      <c r="K15" s="66" t="str">
        <f>IFERROR(SUMIFS('capacity data'!$L:$L,'capacity data'!$B:$B,B15,'capacity data'!$E:$E,"TPO")/SUMIFS('capacity data'!$G:$G,'capacity data'!$E:$E,"TPO",'capacity data'!$B:$B,B15),"")</f>
        <v/>
      </c>
    </row>
    <row r="16" spans="1:26" ht="16" x14ac:dyDescent="0.2">
      <c r="A16" s="10"/>
      <c r="B16" s="62">
        <f>HLOOKUP($B$4,Region_Table,10,0)</f>
        <v>0</v>
      </c>
      <c r="C16" s="67"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7"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7"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3"/>
      <c r="G16" s="211" t="str">
        <f>IFERROR(SUMIFS('capacity data'!$L:$L,'capacity data'!$B:$B,B16,'capacity data'!$E:$E,"PSO")/SUM((SUMIFS('capacity data'!$G:$G,'capacity data'!$E:$E,"PSO",'capacity data'!$B:$B,B16))-SUMIFS('capacity data'!$H:$H,'capacity data'!$E:$E,"PSO",'capacity data'!$B:$B,B16)),"")</f>
        <v/>
      </c>
      <c r="H16" s="211" t="str">
        <f>IFERROR(SUMIFS('capacity data'!$L:$L,'capacity data'!$B:$B,B16,'capacity data'!$E:$E,"PSO")/SUMIFS('capacity data'!$G:$G,'capacity data'!$E:$E,"PSO",'capacity data'!$B:$B,B16),"")</f>
        <v/>
      </c>
      <c r="I16" s="153"/>
      <c r="J16" s="66" t="str">
        <f>IFERROR(SUMIFS('capacity data'!$L:$L,'capacity data'!$B:$B,B16,'capacity data'!$E:$E,"TPO")/SUM((SUMIFS('capacity data'!$G:$G,'capacity data'!$E:$E,"TPO",'capacity data'!$B:$B,B16))-SUMIFS('capacity data'!$H:$H,'capacity data'!$E:$E,"TPO",'capacity data'!$B:$B,B16)),"")</f>
        <v/>
      </c>
      <c r="K16" s="66" t="str">
        <f>IFERROR(SUMIFS('capacity data'!$L:$L,'capacity data'!$B:$B,B16,'capacity data'!$E:$E,"TPO")/SUMIFS('capacity data'!$G:$G,'capacity data'!$E:$E,"TPO",'capacity data'!$B:$B,B16),"")</f>
        <v/>
      </c>
    </row>
    <row r="17" spans="1:11" ht="16" x14ac:dyDescent="0.2">
      <c r="A17" s="12" t="s">
        <v>21</v>
      </c>
      <c r="B17" s="62">
        <f>HLOOKUP($B$4,Region_Table,11,0)</f>
        <v>0</v>
      </c>
      <c r="C17" s="67"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7"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7"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3"/>
      <c r="G17" s="211" t="str">
        <f>IFERROR(SUMIFS('capacity data'!$L:$L,'capacity data'!$B:$B,B17,'capacity data'!$E:$E,"PSO")/SUM((SUMIFS('capacity data'!$G:$G,'capacity data'!$E:$E,"PSO",'capacity data'!$B:$B,B17))-SUMIFS('capacity data'!$H:$H,'capacity data'!$E:$E,"PSO",'capacity data'!$B:$B,B17)),"")</f>
        <v/>
      </c>
      <c r="H17" s="211" t="str">
        <f>IFERROR(SUMIFS('capacity data'!$L:$L,'capacity data'!$B:$B,B17,'capacity data'!$E:$E,"PSO")/SUMIFS('capacity data'!$G:$G,'capacity data'!$E:$E,"PSO",'capacity data'!$B:$B,B17),"")</f>
        <v/>
      </c>
      <c r="I17" s="153"/>
      <c r="J17" s="66" t="str">
        <f>IFERROR(SUMIFS('capacity data'!$L:$L,'capacity data'!$B:$B,B17,'capacity data'!$E:$E,"TPO")/SUM((SUMIFS('capacity data'!$G:$G,'capacity data'!$E:$E,"TPO",'capacity data'!$B:$B,B17))-SUMIFS('capacity data'!$H:$H,'capacity data'!$E:$E,"TPO",'capacity data'!$B:$B,B17)),"")</f>
        <v/>
      </c>
      <c r="K17" s="66" t="str">
        <f>IFERROR(SUMIFS('capacity data'!$L:$L,'capacity data'!$B:$B,B17,'capacity data'!$E:$E,"TPO")/SUMIFS('capacity data'!$G:$G,'capacity data'!$E:$E,"TPO",'capacity data'!$B:$B,B17),"")</f>
        <v/>
      </c>
    </row>
    <row r="18" spans="1:11" ht="16" x14ac:dyDescent="0.2">
      <c r="A18" s="12" t="s">
        <v>1049</v>
      </c>
      <c r="B18" s="62">
        <f>HLOOKUP($B$4,Region_Table,12,0)</f>
        <v>0</v>
      </c>
      <c r="C18" s="67"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7"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7"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3"/>
      <c r="G18" s="211" t="str">
        <f>IFERROR(SUMIFS('capacity data'!$L:$L,'capacity data'!$B:$B,B18,'capacity data'!$E:$E,"PSO")/SUM((SUMIFS('capacity data'!$G:$G,'capacity data'!$E:$E,"PSO",'capacity data'!$B:$B,B18))-SUMIFS('capacity data'!$H:$H,'capacity data'!$E:$E,"PSO",'capacity data'!$B:$B,B18)),"")</f>
        <v/>
      </c>
      <c r="H18" s="211" t="str">
        <f>IFERROR(SUMIFS('capacity data'!$L:$L,'capacity data'!$B:$B,B18,'capacity data'!$E:$E,"PSO")/SUMIFS('capacity data'!$G:$G,'capacity data'!$E:$E,"PSO",'capacity data'!$B:$B,B18),"")</f>
        <v/>
      </c>
      <c r="I18" s="153"/>
      <c r="J18" s="66" t="str">
        <f>IFERROR(SUMIFS('capacity data'!$L:$L,'capacity data'!$B:$B,B18,'capacity data'!$E:$E,"TPO")/SUM((SUMIFS('capacity data'!$G:$G,'capacity data'!$E:$E,"TPO",'capacity data'!$B:$B,B18))-SUMIFS('capacity data'!$H:$H,'capacity data'!$E:$E,"TPO",'capacity data'!$B:$B,B18)),"")</f>
        <v/>
      </c>
      <c r="K18" s="66" t="str">
        <f>IFERROR(SUMIFS('capacity data'!$L:$L,'capacity data'!$B:$B,B18,'capacity data'!$E:$E,"TPO")/SUMIFS('capacity data'!$G:$G,'capacity data'!$E:$E,"TPO",'capacity data'!$B:$B,B18),"")</f>
        <v/>
      </c>
    </row>
    <row r="19" spans="1:11" ht="16" x14ac:dyDescent="0.2">
      <c r="A19" s="12" t="s">
        <v>1050</v>
      </c>
      <c r="B19" s="62">
        <f>HLOOKUP($B$4,Region_Table,13,0)</f>
        <v>0</v>
      </c>
      <c r="C19" s="67"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7"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7"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3"/>
      <c r="G19" s="211" t="str">
        <f>IFERROR(SUMIFS('capacity data'!$L:$L,'capacity data'!$B:$B,B19,'capacity data'!$E:$E,"PSO")/SUM((SUMIFS('capacity data'!$G:$G,'capacity data'!$E:$E,"PSO",'capacity data'!$B:$B,B19))-SUMIFS('capacity data'!$H:$H,'capacity data'!$E:$E,"PSO",'capacity data'!$B:$B,B19)),"")</f>
        <v/>
      </c>
      <c r="H19" s="211" t="str">
        <f>IFERROR(SUMIFS('capacity data'!$L:$L,'capacity data'!$B:$B,B19,'capacity data'!$E:$E,"PSO")/SUMIFS('capacity data'!$G:$G,'capacity data'!$E:$E,"PSO",'capacity data'!$B:$B,B19),"")</f>
        <v/>
      </c>
      <c r="I19" s="153"/>
      <c r="J19" s="66" t="str">
        <f>IFERROR(SUMIFS('capacity data'!$L:$L,'capacity data'!$B:$B,B19,'capacity data'!$E:$E,"TPO")/SUM((SUMIFS('capacity data'!$G:$G,'capacity data'!$E:$E,"TPO",'capacity data'!$B:$B,B19))-SUMIFS('capacity data'!$H:$H,'capacity data'!$E:$E,"TPO",'capacity data'!$B:$B,B19)),"")</f>
        <v/>
      </c>
      <c r="K19" s="66" t="str">
        <f>IFERROR(SUMIFS('capacity data'!$L:$L,'capacity data'!$B:$B,B19,'capacity data'!$E:$E,"TPO")/SUMIFS('capacity data'!$G:$G,'capacity data'!$E:$E,"TPO",'capacity data'!$B:$B,B19),"")</f>
        <v/>
      </c>
    </row>
    <row r="20" spans="1:11" ht="16" x14ac:dyDescent="0.2">
      <c r="A20" s="12" t="s">
        <v>1051</v>
      </c>
      <c r="B20" s="62">
        <f>HLOOKUP($B$4,Region_Table,14,0)</f>
        <v>0</v>
      </c>
      <c r="C20" s="67"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7"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7"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3"/>
      <c r="G20" s="211" t="str">
        <f>IFERROR(SUMIFS('capacity data'!$L:$L,'capacity data'!$B:$B,B20,'capacity data'!$E:$E,"PSO")/SUM((SUMIFS('capacity data'!$G:$G,'capacity data'!$E:$E,"PSO",'capacity data'!$B:$B,B20))-SUMIFS('capacity data'!$H:$H,'capacity data'!$E:$E,"PSO",'capacity data'!$B:$B,B20)),"")</f>
        <v/>
      </c>
      <c r="H20" s="211" t="str">
        <f>IFERROR(SUMIFS('capacity data'!$L:$L,'capacity data'!$B:$B,B20,'capacity data'!$E:$E,"PSO")/SUMIFS('capacity data'!$G:$G,'capacity data'!$E:$E,"PSO",'capacity data'!$B:$B,B20),"")</f>
        <v/>
      </c>
      <c r="I20" s="153"/>
      <c r="J20" s="66" t="str">
        <f>IFERROR(SUMIFS('capacity data'!$L:$L,'capacity data'!$B:$B,B20,'capacity data'!$E:$E,"TPO")/SUM((SUMIFS('capacity data'!$G:$G,'capacity data'!$E:$E,"TPO",'capacity data'!$B:$B,B20))-SUMIFS('capacity data'!$H:$H,'capacity data'!$E:$E,"TPO",'capacity data'!$B:$B,B20)),"")</f>
        <v/>
      </c>
      <c r="K20" s="66" t="str">
        <f>IFERROR(SUMIFS('capacity data'!$L:$L,'capacity data'!$B:$B,B20,'capacity data'!$E:$E,"TPO")/SUMIFS('capacity data'!$G:$G,'capacity data'!$E:$E,"TPO",'capacity data'!$B:$B,B20),"")</f>
        <v/>
      </c>
    </row>
    <row r="21" spans="1:11" ht="16" x14ac:dyDescent="0.2">
      <c r="A21" s="12" t="s">
        <v>1052</v>
      </c>
      <c r="B21" s="62">
        <f>HLOOKUP($B$4,Region_Table,15,0)</f>
        <v>0</v>
      </c>
      <c r="C21" s="67"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7"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7"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3"/>
      <c r="G21" s="211" t="str">
        <f>IFERROR(SUMIFS('capacity data'!$L:$L,'capacity data'!$B:$B,B21,'capacity data'!$E:$E,"PSO")/SUM((SUMIFS('capacity data'!$G:$G,'capacity data'!$E:$E,"PSO",'capacity data'!$B:$B,B21))-SUMIFS('capacity data'!$H:$H,'capacity data'!$E:$E,"PSO",'capacity data'!$B:$B,B21)),"")</f>
        <v/>
      </c>
      <c r="H21" s="211" t="str">
        <f>IFERROR(SUMIFS('capacity data'!$L:$L,'capacity data'!$B:$B,B21,'capacity data'!$E:$E,"PSO")/SUMIFS('capacity data'!$G:$G,'capacity data'!$E:$E,"PSO",'capacity data'!$B:$B,B21),"")</f>
        <v/>
      </c>
      <c r="I21" s="153"/>
      <c r="J21" s="66" t="str">
        <f>IFERROR(SUMIFS('capacity data'!$L:$L,'capacity data'!$B:$B,B21,'capacity data'!$E:$E,"TPO")/SUM((SUMIFS('capacity data'!$G:$G,'capacity data'!$E:$E,"TPO",'capacity data'!$B:$B,B21))-SUMIFS('capacity data'!$H:$H,'capacity data'!$E:$E,"TPO",'capacity data'!$B:$B,B21)),"")</f>
        <v/>
      </c>
      <c r="K21" s="66" t="str">
        <f>IFERROR(SUMIFS('capacity data'!$L:$L,'capacity data'!$B:$B,B21,'capacity data'!$E:$E,"TPO")/SUMIFS('capacity data'!$G:$G,'capacity data'!$E:$E,"TPO",'capacity data'!$B:$B,B21),"")</f>
        <v/>
      </c>
    </row>
    <row r="22" spans="1:11" ht="16" x14ac:dyDescent="0.2">
      <c r="A22" s="12" t="s">
        <v>1053</v>
      </c>
      <c r="B22" s="62">
        <f>HLOOKUP($B$4,Region_Table,16,0)</f>
        <v>0</v>
      </c>
      <c r="C22" s="67"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7"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7"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3"/>
      <c r="G22" s="211" t="str">
        <f>IFERROR(SUMIFS('capacity data'!$L:$L,'capacity data'!$B:$B,B22,'capacity data'!$E:$E,"PSO")/SUM((SUMIFS('capacity data'!$G:$G,'capacity data'!$E:$E,"PSO",'capacity data'!$B:$B,B22))-SUMIFS('capacity data'!$H:$H,'capacity data'!$E:$E,"PSO",'capacity data'!$B:$B,B22)),"")</f>
        <v/>
      </c>
      <c r="H22" s="211" t="str">
        <f>IFERROR(SUMIFS('capacity data'!$L:$L,'capacity data'!$B:$B,B22,'capacity data'!$E:$E,"PSO")/SUMIFS('capacity data'!$G:$G,'capacity data'!$E:$E,"PSO",'capacity data'!$B:$B,B22),"")</f>
        <v/>
      </c>
      <c r="I22" s="153"/>
      <c r="J22" s="66" t="str">
        <f>IFERROR(SUMIFS('capacity data'!$L:$L,'capacity data'!$B:$B,B22,'capacity data'!$E:$E,"TPO")/SUM((SUMIFS('capacity data'!$G:$G,'capacity data'!$E:$E,"TPO",'capacity data'!$B:$B,B22))-SUMIFS('capacity data'!$H:$H,'capacity data'!$E:$E,"TPO",'capacity data'!$B:$B,B22)),"")</f>
        <v/>
      </c>
      <c r="K22" s="66" t="str">
        <f>IFERROR(SUMIFS('capacity data'!$L:$L,'capacity data'!$B:$B,B22,'capacity data'!$E:$E,"TPO")/SUMIFS('capacity data'!$G:$G,'capacity data'!$E:$E,"TPO",'capacity data'!$B:$B,B22),"")</f>
        <v/>
      </c>
    </row>
    <row r="23" spans="1:11" ht="16" customHeight="1" x14ac:dyDescent="0.2">
      <c r="A23" s="12" t="s">
        <v>26</v>
      </c>
      <c r="B23" s="62">
        <f>HLOOKUP($B$4,Region_Table,17,0)</f>
        <v>0</v>
      </c>
      <c r="C23" s="67"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7"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7"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3"/>
      <c r="G23" s="211" t="str">
        <f>IFERROR(SUMIFS('capacity data'!$L:$L,'capacity data'!$B:$B,B23,'capacity data'!$E:$E,"PSO")/SUM((SUMIFS('capacity data'!$G:$G,'capacity data'!$E:$E,"PSO",'capacity data'!$B:$B,B23))-SUMIFS('capacity data'!$H:$H,'capacity data'!$E:$E,"PSO",'capacity data'!$B:$B,B23)),"")</f>
        <v/>
      </c>
      <c r="H23" s="211" t="str">
        <f>IFERROR(SUMIFS('capacity data'!$L:$L,'capacity data'!$B:$B,B23,'capacity data'!$E:$E,"PSO")/SUMIFS('capacity data'!$G:$G,'capacity data'!$E:$E,"PSO",'capacity data'!$B:$B,B23),"")</f>
        <v/>
      </c>
      <c r="I23" s="153"/>
      <c r="J23" s="66" t="str">
        <f>IFERROR(SUMIFS('capacity data'!$L:$L,'capacity data'!$B:$B,B23,'capacity data'!$E:$E,"TPO")/SUM((SUMIFS('capacity data'!$G:$G,'capacity data'!$E:$E,"TPO",'capacity data'!$B:$B,B23))-SUMIFS('capacity data'!$H:$H,'capacity data'!$E:$E,"TPO",'capacity data'!$B:$B,B23)),"")</f>
        <v/>
      </c>
      <c r="K23" s="66" t="str">
        <f>IFERROR(SUMIFS('capacity data'!$L:$L,'capacity data'!$B:$B,B23,'capacity data'!$E:$E,"TPO")/SUMIFS('capacity data'!$G:$G,'capacity data'!$E:$E,"TPO",'capacity data'!$B:$B,B23),"")</f>
        <v/>
      </c>
    </row>
    <row r="24" spans="1:11" ht="16" x14ac:dyDescent="0.2">
      <c r="A24" s="221"/>
      <c r="B24" s="62">
        <f>HLOOKUP($B$4,Region_Table,18,0)</f>
        <v>0</v>
      </c>
      <c r="C24" s="67"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7"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7"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3"/>
      <c r="G24" s="211" t="str">
        <f>IFERROR(SUMIFS('capacity data'!$L:$L,'capacity data'!$B:$B,B24,'capacity data'!$E:$E,"PSO")/SUM((SUMIFS('capacity data'!$G:$G,'capacity data'!$E:$E,"PSO",'capacity data'!$B:$B,B24))-SUMIFS('capacity data'!$H:$H,'capacity data'!$E:$E,"PSO",'capacity data'!$B:$B,B24)),"")</f>
        <v/>
      </c>
      <c r="H24" s="211" t="str">
        <f>IFERROR(SUMIFS('capacity data'!$L:$L,'capacity data'!$B:$B,B24,'capacity data'!$E:$E,"PSO")/SUMIFS('capacity data'!$G:$G,'capacity data'!$E:$E,"PSO",'capacity data'!$B:$B,B24),"")</f>
        <v/>
      </c>
      <c r="I24" s="153"/>
      <c r="J24" s="66" t="str">
        <f>IFERROR(SUMIFS('capacity data'!$L:$L,'capacity data'!$B:$B,B24,'capacity data'!$E:$E,"TPO")/SUM((SUMIFS('capacity data'!$G:$G,'capacity data'!$E:$E,"TPO",'capacity data'!$B:$B,B24))-SUMIFS('capacity data'!$H:$H,'capacity data'!$E:$E,"TPO",'capacity data'!$B:$B,B24)),"")</f>
        <v/>
      </c>
      <c r="K24" s="66" t="str">
        <f>IFERROR(SUMIFS('capacity data'!$L:$L,'capacity data'!$B:$B,B24,'capacity data'!$E:$E,"TPO")/SUMIFS('capacity data'!$G:$G,'capacity data'!$E:$E,"TPO",'capacity data'!$B:$B,B24),"")</f>
        <v/>
      </c>
    </row>
    <row r="25" spans="1:11" ht="16" x14ac:dyDescent="0.2">
      <c r="A25" s="221"/>
      <c r="B25" s="62">
        <f>HLOOKUP($B$4,Region_Table,19,0)</f>
        <v>0</v>
      </c>
      <c r="C25" s="67"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7"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7"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3"/>
      <c r="G25" s="211" t="str">
        <f>IFERROR(SUMIFS('capacity data'!$L:$L,'capacity data'!$B:$B,B25,'capacity data'!$E:$E,"PSO")/SUM((SUMIFS('capacity data'!$G:$G,'capacity data'!$E:$E,"PSO",'capacity data'!$B:$B,B25))-SUMIFS('capacity data'!$H:$H,'capacity data'!$E:$E,"PSO",'capacity data'!$B:$B,B25)),"")</f>
        <v/>
      </c>
      <c r="H25" s="211" t="str">
        <f>IFERROR(SUMIFS('capacity data'!$L:$L,'capacity data'!$B:$B,B25,'capacity data'!$E:$E,"PSO")/SUMIFS('capacity data'!$G:$G,'capacity data'!$E:$E,"PSO",'capacity data'!$B:$B,B25),"")</f>
        <v/>
      </c>
      <c r="I25" s="153"/>
      <c r="J25" s="66" t="str">
        <f>IFERROR(SUMIFS('capacity data'!$L:$L,'capacity data'!$B:$B,B25,'capacity data'!$E:$E,"TPO")/SUM((SUMIFS('capacity data'!$G:$G,'capacity data'!$E:$E,"TPO",'capacity data'!$B:$B,B25))-SUMIFS('capacity data'!$H:$H,'capacity data'!$E:$E,"TPO",'capacity data'!$B:$B,B25)),"")</f>
        <v/>
      </c>
      <c r="K25" s="66" t="str">
        <f>IFERROR(SUMIFS('capacity data'!$L:$L,'capacity data'!$B:$B,B25,'capacity data'!$E:$E,"TPO")/SUMIFS('capacity data'!$G:$G,'capacity data'!$E:$E,"TPO",'capacity data'!$B:$B,B25),"")</f>
        <v/>
      </c>
    </row>
    <row r="26" spans="1:11" ht="16" x14ac:dyDescent="0.2">
      <c r="A26" s="221"/>
      <c r="B26" s="62">
        <f>HLOOKUP($B$4,Region_Table,20,0)</f>
        <v>0</v>
      </c>
      <c r="C26" s="67"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7"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7"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3"/>
      <c r="G26" s="211" t="str">
        <f>IFERROR(SUMIFS('capacity data'!$L:$L,'capacity data'!$B:$B,B26,'capacity data'!$E:$E,"PSO")/SUM((SUMIFS('capacity data'!$G:$G,'capacity data'!$E:$E,"PSO",'capacity data'!$B:$B,B26))-SUMIFS('capacity data'!$H:$H,'capacity data'!$E:$E,"PSO",'capacity data'!$B:$B,B26)),"")</f>
        <v/>
      </c>
      <c r="H26" s="211" t="str">
        <f>IFERROR(SUMIFS('capacity data'!$L:$L,'capacity data'!$B:$B,B26,'capacity data'!$E:$E,"PSO")/SUMIFS('capacity data'!$G:$G,'capacity data'!$E:$E,"PSO",'capacity data'!$B:$B,B26),"")</f>
        <v/>
      </c>
      <c r="I26" s="153"/>
      <c r="J26" s="66" t="str">
        <f>IFERROR(SUMIFS('capacity data'!$L:$L,'capacity data'!$B:$B,B26,'capacity data'!$E:$E,"TPO")/SUM((SUMIFS('capacity data'!$G:$G,'capacity data'!$E:$E,"TPO",'capacity data'!$B:$B,B26))-SUMIFS('capacity data'!$H:$H,'capacity data'!$E:$E,"TPO",'capacity data'!$B:$B,B26)),"")</f>
        <v/>
      </c>
      <c r="K26" s="66" t="str">
        <f>IFERROR(SUMIFS('capacity data'!$L:$L,'capacity data'!$B:$B,B26,'capacity data'!$E:$E,"TPO")/SUMIFS('capacity data'!$G:$G,'capacity data'!$E:$E,"TPO",'capacity data'!$B:$B,B26),"")</f>
        <v/>
      </c>
    </row>
    <row r="27" spans="1:11" ht="16" x14ac:dyDescent="0.2">
      <c r="A27" s="221"/>
      <c r="B27" s="62">
        <f>HLOOKUP($B$4,Region_Table,21,0)</f>
        <v>0</v>
      </c>
      <c r="C27" s="67"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7"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7"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3"/>
      <c r="G27" s="211" t="str">
        <f>IFERROR(SUMIFS('capacity data'!$L:$L,'capacity data'!$B:$B,B27,'capacity data'!$E:$E,"PSO")/SUM((SUMIFS('capacity data'!$G:$G,'capacity data'!$E:$E,"PSO",'capacity data'!$B:$B,B27))-SUMIFS('capacity data'!$H:$H,'capacity data'!$E:$E,"PSO",'capacity data'!$B:$B,B27)),"")</f>
        <v/>
      </c>
      <c r="H27" s="211" t="str">
        <f>IFERROR(SUMIFS('capacity data'!$L:$L,'capacity data'!$B:$B,B27,'capacity data'!$E:$E,"PSO")/SUMIFS('capacity data'!$G:$G,'capacity data'!$E:$E,"PSO",'capacity data'!$B:$B,B27),"")</f>
        <v/>
      </c>
      <c r="I27" s="153"/>
      <c r="J27" s="66" t="str">
        <f>IFERROR(SUMIFS('capacity data'!$L:$L,'capacity data'!$B:$B,B27,'capacity data'!$E:$E,"TPO")/SUM((SUMIFS('capacity data'!$G:$G,'capacity data'!$E:$E,"TPO",'capacity data'!$B:$B,B27))-SUMIFS('capacity data'!$H:$H,'capacity data'!$E:$E,"TPO",'capacity data'!$B:$B,B27)),"")</f>
        <v/>
      </c>
      <c r="K27" s="66" t="str">
        <f>IFERROR(SUMIFS('capacity data'!$L:$L,'capacity data'!$B:$B,B27,'capacity data'!$E:$E,"TPO")/SUMIFS('capacity data'!$G:$G,'capacity data'!$E:$E,"TPO",'capacity data'!$B:$B,B27),"")</f>
        <v/>
      </c>
    </row>
    <row r="28" spans="1:11" ht="16" x14ac:dyDescent="0.2">
      <c r="A28" s="221"/>
      <c r="B28" s="62">
        <f>HLOOKUP($B$4,Region_Table,22,0)</f>
        <v>0</v>
      </c>
      <c r="C28" s="67"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7"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7"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3"/>
      <c r="G28" s="211" t="str">
        <f>IFERROR(SUMIFS('capacity data'!$L:$L,'capacity data'!$B:$B,B28,'capacity data'!$E:$E,"PSO")/SUM((SUMIFS('capacity data'!$G:$G,'capacity data'!$E:$E,"PSO",'capacity data'!$B:$B,B28))-SUMIFS('capacity data'!$H:$H,'capacity data'!$E:$E,"PSO",'capacity data'!$B:$B,B28)),"")</f>
        <v/>
      </c>
      <c r="H28" s="211" t="str">
        <f>IFERROR(SUMIFS('capacity data'!$L:$L,'capacity data'!$B:$B,B28,'capacity data'!$E:$E,"PSO")/SUMIFS('capacity data'!$G:$G,'capacity data'!$E:$E,"PSO",'capacity data'!$B:$B,B28),"")</f>
        <v/>
      </c>
      <c r="I28" s="153"/>
      <c r="J28" s="66" t="str">
        <f>IFERROR(SUMIFS('capacity data'!$L:$L,'capacity data'!$B:$B,B28,'capacity data'!$E:$E,"TPO")/SUM((SUMIFS('capacity data'!$G:$G,'capacity data'!$E:$E,"TPO",'capacity data'!$B:$B,B28))-SUMIFS('capacity data'!$H:$H,'capacity data'!$E:$E,"TPO",'capacity data'!$B:$B,B28)),"")</f>
        <v/>
      </c>
      <c r="K28" s="66" t="str">
        <f>IFERROR(SUMIFS('capacity data'!$L:$L,'capacity data'!$B:$B,B28,'capacity data'!$E:$E,"TPO")/SUMIFS('capacity data'!$G:$G,'capacity data'!$E:$E,"TPO",'capacity data'!$B:$B,B28),"")</f>
        <v/>
      </c>
    </row>
    <row r="29" spans="1:11" ht="16" x14ac:dyDescent="0.2">
      <c r="A29" s="221"/>
      <c r="B29" s="62">
        <f>HLOOKUP($B$4,Region_Table,23,0)</f>
        <v>0</v>
      </c>
      <c r="C29" s="67"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7"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7"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3"/>
      <c r="G29" s="211" t="str">
        <f>IFERROR(SUMIFS('capacity data'!$L:$L,'capacity data'!$B:$B,B29,'capacity data'!$E:$E,"PSO")/SUM((SUMIFS('capacity data'!$G:$G,'capacity data'!$E:$E,"PSO",'capacity data'!$B:$B,B29))-SUMIFS('capacity data'!$H:$H,'capacity data'!$E:$E,"PSO",'capacity data'!$B:$B,B29)),"")</f>
        <v/>
      </c>
      <c r="H29" s="211" t="str">
        <f>IFERROR(SUMIFS('capacity data'!$L:$L,'capacity data'!$B:$B,B29,'capacity data'!$E:$E,"PSO")/SUMIFS('capacity data'!$G:$G,'capacity data'!$E:$E,"PSO",'capacity data'!$B:$B,B29),"")</f>
        <v/>
      </c>
      <c r="I29" s="153"/>
      <c r="J29" s="66" t="str">
        <f>IFERROR(SUMIFS('capacity data'!$L:$L,'capacity data'!$B:$B,B29,'capacity data'!$E:$E,"TPO")/SUM((SUMIFS('capacity data'!$G:$G,'capacity data'!$E:$E,"TPO",'capacity data'!$B:$B,B29))-SUMIFS('capacity data'!$H:$H,'capacity data'!$E:$E,"TPO",'capacity data'!$B:$B,B29)),"")</f>
        <v/>
      </c>
      <c r="K29" s="66" t="str">
        <f>IFERROR(SUMIFS('capacity data'!$L:$L,'capacity data'!$B:$B,B29,'capacity data'!$E:$E,"TPO")/SUMIFS('capacity data'!$G:$G,'capacity data'!$E:$E,"TPO",'capacity data'!$B:$B,B29),"")</f>
        <v/>
      </c>
    </row>
    <row r="30" spans="1:11" ht="16" x14ac:dyDescent="0.2">
      <c r="A30" s="221"/>
      <c r="B30" s="62">
        <f>HLOOKUP($B$4,Region_Table,24,0)</f>
        <v>0</v>
      </c>
      <c r="C30" s="67"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7"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7"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3"/>
      <c r="G30" s="211" t="str">
        <f>IFERROR(SUMIFS('capacity data'!$L:$L,'capacity data'!$B:$B,B30,'capacity data'!$E:$E,"PSO")/SUM((SUMIFS('capacity data'!$G:$G,'capacity data'!$E:$E,"PSO",'capacity data'!$B:$B,B30))-SUMIFS('capacity data'!$H:$H,'capacity data'!$E:$E,"PSO",'capacity data'!$B:$B,B30)),"")</f>
        <v/>
      </c>
      <c r="H30" s="211" t="str">
        <f>IFERROR(SUMIFS('capacity data'!$L:$L,'capacity data'!$B:$B,B30,'capacity data'!$E:$E,"PSO")/SUMIFS('capacity data'!$G:$G,'capacity data'!$E:$E,"PSO",'capacity data'!$B:$B,B30),"")</f>
        <v/>
      </c>
      <c r="I30" s="153"/>
      <c r="J30" s="66" t="str">
        <f>IFERROR(SUMIFS('capacity data'!$L:$L,'capacity data'!$B:$B,B30,'capacity data'!$E:$E,"TPO")/SUM((SUMIFS('capacity data'!$G:$G,'capacity data'!$E:$E,"TPO",'capacity data'!$B:$B,B30))-SUMIFS('capacity data'!$H:$H,'capacity data'!$E:$E,"TPO",'capacity data'!$B:$B,B30)),"")</f>
        <v/>
      </c>
      <c r="K30" s="66" t="str">
        <f>IFERROR(SUMIFS('capacity data'!$L:$L,'capacity data'!$B:$B,B30,'capacity data'!$E:$E,"TPO")/SUMIFS('capacity data'!$G:$G,'capacity data'!$E:$E,"TPO",'capacity data'!$B:$B,B30),"")</f>
        <v/>
      </c>
    </row>
    <row r="31" spans="1:11" ht="16" x14ac:dyDescent="0.2">
      <c r="A31" s="221"/>
      <c r="B31" s="62">
        <f>HLOOKUP($B$4,Region_Table,25,0)</f>
        <v>0</v>
      </c>
      <c r="C31" s="67"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7"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7"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3"/>
      <c r="G31" s="211" t="str">
        <f>IFERROR(SUMIFS('capacity data'!$L:$L,'capacity data'!$B:$B,B31,'capacity data'!$E:$E,"PSO")/SUM((SUMIFS('capacity data'!$G:$G,'capacity data'!$E:$E,"PSO",'capacity data'!$B:$B,B31))-SUMIFS('capacity data'!$H:$H,'capacity data'!$E:$E,"PSO",'capacity data'!$B:$B,B31)),"")</f>
        <v/>
      </c>
      <c r="H31" s="211" t="str">
        <f>IFERROR(SUMIFS('capacity data'!$L:$L,'capacity data'!$B:$B,B31,'capacity data'!$E:$E,"PSO")/SUMIFS('capacity data'!$G:$G,'capacity data'!$E:$E,"PSO",'capacity data'!$B:$B,B31),"")</f>
        <v/>
      </c>
      <c r="I31" s="153"/>
      <c r="J31" s="66" t="str">
        <f>IFERROR(SUMIFS('capacity data'!$L:$L,'capacity data'!$B:$B,B31,'capacity data'!$E:$E,"TPO")/SUM((SUMIFS('capacity data'!$G:$G,'capacity data'!$E:$E,"TPO",'capacity data'!$B:$B,B31))-SUMIFS('capacity data'!$H:$H,'capacity data'!$E:$E,"TPO",'capacity data'!$B:$B,B31)),"")</f>
        <v/>
      </c>
      <c r="K31" s="66" t="str">
        <f>IFERROR(SUMIFS('capacity data'!$L:$L,'capacity data'!$B:$B,B31,'capacity data'!$E:$E,"TPO")/SUMIFS('capacity data'!$G:$G,'capacity data'!$E:$E,"TPO",'capacity data'!$B:$B,B31),"")</f>
        <v/>
      </c>
    </row>
    <row r="32" spans="1:11" ht="16" x14ac:dyDescent="0.2">
      <c r="A32" s="221"/>
      <c r="B32" s="62">
        <f>HLOOKUP($B$4,Region_Table,26,0)</f>
        <v>0</v>
      </c>
      <c r="C32" s="67"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7"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7"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3"/>
      <c r="G32" s="211" t="str">
        <f>IFERROR(SUMIFS('capacity data'!$L:$L,'capacity data'!$B:$B,B32,'capacity data'!$E:$E,"PSO")/SUM((SUMIFS('capacity data'!$G:$G,'capacity data'!$E:$E,"PSO",'capacity data'!$B:$B,B32))-SUMIFS('capacity data'!$H:$H,'capacity data'!$E:$E,"PSO",'capacity data'!$B:$B,B32)),"")</f>
        <v/>
      </c>
      <c r="H32" s="211" t="str">
        <f>IFERROR(SUMIFS('capacity data'!$L:$L,'capacity data'!$B:$B,B32,'capacity data'!$E:$E,"PSO")/SUMIFS('capacity data'!$G:$G,'capacity data'!$E:$E,"PSO",'capacity data'!$B:$B,B32),"")</f>
        <v/>
      </c>
      <c r="I32" s="153"/>
      <c r="J32" s="66" t="str">
        <f>IFERROR(SUMIFS('capacity data'!$L:$L,'capacity data'!$B:$B,B32,'capacity data'!$E:$E,"TPO")/SUM((SUMIFS('capacity data'!$G:$G,'capacity data'!$E:$E,"TPO",'capacity data'!$B:$B,B32))-SUMIFS('capacity data'!$H:$H,'capacity data'!$E:$E,"TPO",'capacity data'!$B:$B,B32)),"")</f>
        <v/>
      </c>
      <c r="K32" s="66" t="str">
        <f>IFERROR(SUMIFS('capacity data'!$L:$L,'capacity data'!$B:$B,B32,'capacity data'!$E:$E,"TPO")/SUMIFS('capacity data'!$G:$G,'capacity data'!$E:$E,"TPO",'capacity data'!$B:$B,B32),"")</f>
        <v/>
      </c>
    </row>
    <row r="33" spans="1:23" ht="16" x14ac:dyDescent="0.2">
      <c r="A33" s="221"/>
      <c r="B33" s="62">
        <f>HLOOKUP($B$4,Region_Table,27,0)</f>
        <v>0</v>
      </c>
      <c r="C33" s="67"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7"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7"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3"/>
      <c r="G33" s="211" t="str">
        <f>IFERROR(SUMIFS('capacity data'!$L:$L,'capacity data'!$B:$B,B33,'capacity data'!$E:$E,"PSO")/SUM((SUMIFS('capacity data'!$G:$G,'capacity data'!$E:$E,"PSO",'capacity data'!$B:$B,B33))-SUMIFS('capacity data'!$H:$H,'capacity data'!$E:$E,"PSO",'capacity data'!$B:$B,B33)),"")</f>
        <v/>
      </c>
      <c r="H33" s="211" t="str">
        <f>IFERROR(SUMIFS('capacity data'!$L:$L,'capacity data'!$B:$B,B33,'capacity data'!$E:$E,"PSO")/SUMIFS('capacity data'!$G:$G,'capacity data'!$E:$E,"PSO",'capacity data'!$B:$B,B33),"")</f>
        <v/>
      </c>
      <c r="I33" s="153"/>
      <c r="J33" s="66" t="str">
        <f>IFERROR(SUMIFS('capacity data'!$L:$L,'capacity data'!$B:$B,B33,'capacity data'!$E:$E,"TPO")/SUM((SUMIFS('capacity data'!$G:$G,'capacity data'!$E:$E,"TPO",'capacity data'!$B:$B,B33))-SUMIFS('capacity data'!$H:$H,'capacity data'!$E:$E,"TPO",'capacity data'!$B:$B,B33)),"")</f>
        <v/>
      </c>
      <c r="K33" s="66" t="str">
        <f>IFERROR(SUMIFS('capacity data'!$L:$L,'capacity data'!$B:$B,B33,'capacity data'!$E:$E,"TPO")/SUMIFS('capacity data'!$G:$G,'capacity data'!$E:$E,"TPO",'capacity data'!$B:$B,B33),"")</f>
        <v/>
      </c>
    </row>
    <row r="34" spans="1:23" ht="16" x14ac:dyDescent="0.2">
      <c r="A34" s="221"/>
      <c r="B34" s="62">
        <f>HLOOKUP($B$4,Region_Table,28,0)</f>
        <v>0</v>
      </c>
      <c r="C34" s="67"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7"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7"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3"/>
      <c r="G34" s="211" t="str">
        <f>IFERROR(SUMIFS('capacity data'!$L:$L,'capacity data'!$B:$B,B34,'capacity data'!$E:$E,"PSO")/SUM((SUMIFS('capacity data'!$G:$G,'capacity data'!$E:$E,"PSO",'capacity data'!$B:$B,B34))-SUMIFS('capacity data'!$H:$H,'capacity data'!$E:$E,"PSO",'capacity data'!$B:$B,B34)),"")</f>
        <v/>
      </c>
      <c r="H34" s="211" t="str">
        <f>IFERROR(SUMIFS('capacity data'!$L:$L,'capacity data'!$B:$B,B34,'capacity data'!$E:$E,"PSO")/SUMIFS('capacity data'!$G:$G,'capacity data'!$E:$E,"PSO",'capacity data'!$B:$B,B34),"")</f>
        <v/>
      </c>
      <c r="I34" s="153"/>
      <c r="J34" s="66" t="str">
        <f>IFERROR(SUMIFS('capacity data'!$L:$L,'capacity data'!$B:$B,B34,'capacity data'!$E:$E,"TPO")/SUM((SUMIFS('capacity data'!$G:$G,'capacity data'!$E:$E,"TPO",'capacity data'!$B:$B,B34))-SUMIFS('capacity data'!$H:$H,'capacity data'!$E:$E,"TPO",'capacity data'!$B:$B,B34)),"")</f>
        <v/>
      </c>
      <c r="K34" s="66"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19" t="s">
        <v>1045</v>
      </c>
      <c r="C36" s="157" t="s">
        <v>1054</v>
      </c>
      <c r="D36" s="157" t="s">
        <v>1055</v>
      </c>
      <c r="E36" s="157" t="s">
        <v>1056</v>
      </c>
      <c r="F36" s="157" t="s">
        <v>1057</v>
      </c>
      <c r="G36" s="157" t="s">
        <v>1058</v>
      </c>
      <c r="H36" s="157" t="s">
        <v>1059</v>
      </c>
      <c r="I36" s="157" t="s">
        <v>1060</v>
      </c>
      <c r="J36" s="158" t="s">
        <v>1061</v>
      </c>
      <c r="K36" s="157" t="s">
        <v>1062</v>
      </c>
      <c r="L36" s="157" t="s">
        <v>1063</v>
      </c>
      <c r="M36" s="157" t="s">
        <v>1064</v>
      </c>
      <c r="N36" s="2"/>
      <c r="O36" s="2"/>
      <c r="P36" s="2"/>
      <c r="Q36" s="2"/>
      <c r="R36" s="2"/>
      <c r="S36" s="2"/>
      <c r="T36" s="2"/>
      <c r="U36" s="2"/>
      <c r="V36" s="2"/>
      <c r="W36" s="1"/>
    </row>
    <row r="37" spans="1:23" ht="16" x14ac:dyDescent="0.2">
      <c r="A37" s="10"/>
      <c r="B37" s="154" t="s">
        <v>970</v>
      </c>
      <c r="C37" s="159">
        <f>COUNTIF('capacity data'!E:E,"PO")</f>
        <v>0</v>
      </c>
      <c r="D37" s="159">
        <f>COUNTIFS('capacity data'!E:E,"PO",'capacity data'!F:F,"&gt;110%")</f>
        <v>0</v>
      </c>
      <c r="E37" s="160" t="str">
        <f>IFERROR((D37/C37),"0")</f>
        <v>0</v>
      </c>
      <c r="F37" s="159">
        <f>COUNTIF('capacity data'!E:E,"PSO")</f>
        <v>0</v>
      </c>
      <c r="G37" s="159">
        <f>COUNTIFS('capacity data'!E:E,"PSO",'capacity data'!F:F,"&gt;110%")</f>
        <v>0</v>
      </c>
      <c r="H37" s="160" t="str">
        <f>IFERROR((G37/F37),"")</f>
        <v/>
      </c>
      <c r="I37" s="159">
        <f>COUNTIFS('capacity data'!E:E,"PSO",'capacity data'!F:F,"&lt;90%")</f>
        <v>0</v>
      </c>
      <c r="J37" s="160" t="str">
        <f>IFERROR((I37/F37),"")</f>
        <v/>
      </c>
      <c r="K37" s="159">
        <f>COUNTIF('capacity data'!E:E,"TPO")</f>
        <v>0</v>
      </c>
      <c r="L37" s="159">
        <f>COUNTIFS('capacity data'!E:E,"TPO",'capacity data'!F:F,"&gt;110%")</f>
        <v>0</v>
      </c>
      <c r="M37" s="160" t="str">
        <f>IFERROR((L37/K37),"")</f>
        <v/>
      </c>
      <c r="N37" s="2"/>
      <c r="O37" s="2"/>
      <c r="P37" s="2"/>
      <c r="Q37" s="2"/>
      <c r="R37" s="2"/>
      <c r="S37" s="2"/>
      <c r="T37" s="2"/>
      <c r="U37" s="2"/>
      <c r="V37" s="2"/>
      <c r="W37" s="1"/>
    </row>
    <row r="38" spans="1:23" ht="16" x14ac:dyDescent="0.2">
      <c r="A38" s="10"/>
      <c r="B38" s="62" t="str">
        <f>HLOOKUP($B$4,Region_Table,2,0)</f>
        <v>All East Midlands Region</v>
      </c>
      <c r="C38" s="75">
        <f>COUNTIFS('capacity data'!$B:$B,'cluster capacity, unallocateds'!B38,'capacity data'!$E:$E,"PO")</f>
        <v>0</v>
      </c>
      <c r="D38" s="75">
        <f>COUNTIFS('capacity data'!$B:$B,'cluster capacity, unallocateds'!B38,'capacity data'!$E:$E,"PO",'capacity data'!$F:$F,"&gt;110%")</f>
        <v>0</v>
      </c>
      <c r="E38" s="66" t="str">
        <f t="shared" ref="E38:E56" si="0">IFERROR((D38/C38),"")</f>
        <v/>
      </c>
      <c r="F38" s="75">
        <f>COUNTIFS('capacity data'!$B:$B,'cluster capacity, unallocateds'!B38,'capacity data'!$E:$E,"PSO")</f>
        <v>0</v>
      </c>
      <c r="G38" s="75">
        <f>COUNTIFS('capacity data'!$B:$B,'cluster capacity, unallocateds'!B38,'capacity data'!$E:$E,"PSO",'capacity data'!$F:$F,"&gt;110%")</f>
        <v>0</v>
      </c>
      <c r="H38" s="66" t="str">
        <f t="shared" ref="H38:H56" si="1">IFERROR((G38/F38),"")</f>
        <v/>
      </c>
      <c r="I38" s="75">
        <f>COUNTIFS('capacity data'!$B:$B,'cluster capacity, unallocateds'!B38,'capacity data'!$E:$E,"PSO",'capacity data'!$F:$F,"&lt;90%")</f>
        <v>0</v>
      </c>
      <c r="J38" s="66" t="str">
        <f t="shared" ref="J38:J56" si="2">IFERROR((I38/F38),"")</f>
        <v/>
      </c>
      <c r="K38" s="75">
        <f>COUNTIFS('capacity data'!$B:$B,'cluster capacity, unallocateds'!B38,'capacity data'!$E:$E,"TPO")</f>
        <v>0</v>
      </c>
      <c r="L38" s="75">
        <f>COUNTIFS('capacity data'!$B:$B,'cluster capacity, unallocateds'!B38,'capacity data'!$E:$E,"TPO",'capacity data'!$F:$F,"&gt;110%")</f>
        <v>0</v>
      </c>
      <c r="M38" s="66" t="str">
        <f t="shared" ref="M38:M56" si="3">IFERROR((L38/K38),"")</f>
        <v/>
      </c>
      <c r="N38" s="2"/>
      <c r="O38" s="2"/>
      <c r="P38" s="2"/>
      <c r="Q38" s="2"/>
      <c r="R38" s="2"/>
      <c r="S38" s="2"/>
      <c r="T38" s="2"/>
      <c r="U38" s="2"/>
      <c r="V38" s="2"/>
      <c r="W38" s="1"/>
    </row>
    <row r="39" spans="1:23" ht="16" x14ac:dyDescent="0.2">
      <c r="A39" s="10"/>
      <c r="B39" s="62" t="str">
        <f>HLOOKUP($B$4,Region_Table,3,0)</f>
        <v>Derby City - N53</v>
      </c>
      <c r="C39" s="75">
        <f>COUNTIFS('capacity data'!$B:$B,'cluster capacity, unallocateds'!B39,'capacity data'!$E:$E,"PO")</f>
        <v>0</v>
      </c>
      <c r="D39" s="75">
        <f>COUNTIFS('capacity data'!$B:$B,'cluster capacity, unallocateds'!B39,'capacity data'!$E:$E,"PO",'capacity data'!$F:$F,"&gt;110%")</f>
        <v>0</v>
      </c>
      <c r="E39" s="66" t="str">
        <f t="shared" si="0"/>
        <v/>
      </c>
      <c r="F39" s="75">
        <f>COUNTIFS('capacity data'!$B:$B,'cluster capacity, unallocateds'!B39,'capacity data'!$E:$E,"PSO")</f>
        <v>0</v>
      </c>
      <c r="G39" s="75">
        <f>COUNTIFS('capacity data'!$B:$B,'cluster capacity, unallocateds'!B39,'capacity data'!$E:$E,"PSO",'capacity data'!$F:$F,"&gt;110%")</f>
        <v>0</v>
      </c>
      <c r="H39" s="66" t="str">
        <f t="shared" si="1"/>
        <v/>
      </c>
      <c r="I39" s="75">
        <f>COUNTIFS('capacity data'!$B:$B,'cluster capacity, unallocateds'!B39,'capacity data'!$E:$E,"PSO",'capacity data'!$F:$F,"&lt;90%")</f>
        <v>0</v>
      </c>
      <c r="J39" s="66" t="str">
        <f t="shared" si="2"/>
        <v/>
      </c>
      <c r="K39" s="75">
        <f>COUNTIFS('capacity data'!$B:$B,'cluster capacity, unallocateds'!B39,'capacity data'!$E:$E,"TPO")</f>
        <v>0</v>
      </c>
      <c r="L39" s="75">
        <f>COUNTIFS('capacity data'!$B:$B,'cluster capacity, unallocateds'!B39,'capacity data'!$E:$E,"TPO",'capacity data'!$F:$F,"&gt;110%")</f>
        <v>0</v>
      </c>
      <c r="M39" s="66" t="str">
        <f t="shared" si="3"/>
        <v/>
      </c>
      <c r="N39" s="2"/>
      <c r="O39" s="2"/>
      <c r="P39" s="2"/>
      <c r="Q39" s="2"/>
      <c r="R39" s="2"/>
      <c r="S39" s="2"/>
      <c r="T39" s="2"/>
      <c r="U39" s="2"/>
      <c r="V39" s="2"/>
      <c r="W39" s="1"/>
    </row>
    <row r="40" spans="1:23" ht="16" x14ac:dyDescent="0.2">
      <c r="A40" s="10"/>
      <c r="B40" s="62" t="str">
        <f>HLOOKUP($B$4,Region_Table,4,0)</f>
        <v>Derbyshire - N53</v>
      </c>
      <c r="C40" s="75">
        <f>COUNTIFS('capacity data'!$B:$B,'cluster capacity, unallocateds'!B40,'capacity data'!$E:$E,"PO")</f>
        <v>0</v>
      </c>
      <c r="D40" s="75">
        <f>COUNTIFS('capacity data'!$B:$B,'cluster capacity, unallocateds'!B40,'capacity data'!$E:$E,"PO",'capacity data'!$F:$F,"&gt;110%")</f>
        <v>0</v>
      </c>
      <c r="E40" s="66" t="str">
        <f t="shared" si="0"/>
        <v/>
      </c>
      <c r="F40" s="75">
        <f>COUNTIFS('capacity data'!$B:$B,'cluster capacity, unallocateds'!B40,'capacity data'!$E:$E,"PSO")</f>
        <v>0</v>
      </c>
      <c r="G40" s="75">
        <f>COUNTIFS('capacity data'!$B:$B,'cluster capacity, unallocateds'!B40,'capacity data'!$E:$E,"PSO",'capacity data'!$F:$F,"&gt;110%")</f>
        <v>0</v>
      </c>
      <c r="H40" s="66" t="str">
        <f t="shared" si="1"/>
        <v/>
      </c>
      <c r="I40" s="75">
        <f>COUNTIFS('capacity data'!$B:$B,'cluster capacity, unallocateds'!B40,'capacity data'!$E:$E,"PSO",'capacity data'!$F:$F,"&lt;90%")</f>
        <v>0</v>
      </c>
      <c r="J40" s="66" t="str">
        <f t="shared" si="2"/>
        <v/>
      </c>
      <c r="K40" s="75">
        <f>COUNTIFS('capacity data'!$B:$B,'cluster capacity, unallocateds'!B40,'capacity data'!$E:$E,"TPO")</f>
        <v>0</v>
      </c>
      <c r="L40" s="75">
        <f>COUNTIFS('capacity data'!$B:$B,'cluster capacity, unallocateds'!B40,'capacity data'!$E:$E,"TPO",'capacity data'!$F:$F,"&gt;110%")</f>
        <v>0</v>
      </c>
      <c r="M40" s="66" t="str">
        <f t="shared" si="3"/>
        <v/>
      </c>
      <c r="N40" s="2"/>
      <c r="O40" s="2"/>
      <c r="P40" s="2"/>
      <c r="Q40" s="2"/>
      <c r="R40" s="2"/>
      <c r="S40" s="2"/>
      <c r="T40" s="2"/>
      <c r="U40" s="2"/>
      <c r="V40" s="2"/>
      <c r="W40" s="1"/>
    </row>
    <row r="41" spans="1:23" ht="16" x14ac:dyDescent="0.2">
      <c r="A41" s="10"/>
      <c r="B41" s="62" t="str">
        <f>HLOOKUP($B$4,Region_Table,5,0)</f>
        <v>Leicester, Leicestershire and Rutland</v>
      </c>
      <c r="C41" s="75">
        <f>COUNTIFS('capacity data'!$B:$B,'cluster capacity, unallocateds'!B41,'capacity data'!$E:$E,"PO")</f>
        <v>0</v>
      </c>
      <c r="D41" s="75">
        <f>COUNTIFS('capacity data'!$B:$B,'cluster capacity, unallocateds'!B41,'capacity data'!$E:$E,"PO",'capacity data'!$F:$F,"&gt;110%")</f>
        <v>0</v>
      </c>
      <c r="E41" s="66" t="str">
        <f t="shared" si="0"/>
        <v/>
      </c>
      <c r="F41" s="75">
        <f>COUNTIFS('capacity data'!$B:$B,'cluster capacity, unallocateds'!B41,'capacity data'!$E:$E,"PSO")</f>
        <v>0</v>
      </c>
      <c r="G41" s="75">
        <f>COUNTIFS('capacity data'!$B:$B,'cluster capacity, unallocateds'!B41,'capacity data'!$E:$E,"PSO",'capacity data'!$F:$F,"&gt;110%")</f>
        <v>0</v>
      </c>
      <c r="H41" s="66" t="str">
        <f t="shared" si="1"/>
        <v/>
      </c>
      <c r="I41" s="75">
        <f>COUNTIFS('capacity data'!$B:$B,'cluster capacity, unallocateds'!B41,'capacity data'!$E:$E,"PSO",'capacity data'!$F:$F,"&lt;90%")</f>
        <v>0</v>
      </c>
      <c r="J41" s="66" t="str">
        <f t="shared" si="2"/>
        <v/>
      </c>
      <c r="K41" s="75">
        <f>COUNTIFS('capacity data'!$B:$B,'cluster capacity, unallocateds'!B41,'capacity data'!$E:$E,"TPO")</f>
        <v>0</v>
      </c>
      <c r="L41" s="75">
        <f>COUNTIFS('capacity data'!$B:$B,'cluster capacity, unallocateds'!B41,'capacity data'!$E:$E,"TPO",'capacity data'!$F:$F,"&gt;110%")</f>
        <v>0</v>
      </c>
      <c r="M41" s="66" t="str">
        <f t="shared" si="3"/>
        <v/>
      </c>
      <c r="N41" s="2"/>
      <c r="O41" s="2"/>
      <c r="P41" s="2"/>
      <c r="Q41" s="2"/>
      <c r="R41" s="2"/>
      <c r="S41" s="2"/>
      <c r="T41" s="2"/>
      <c r="U41" s="2"/>
      <c r="V41" s="2"/>
      <c r="W41" s="1"/>
    </row>
    <row r="42" spans="1:23" ht="16" x14ac:dyDescent="0.2">
      <c r="A42" s="10"/>
      <c r="B42" s="62" t="str">
        <f>HLOOKUP($B$4,Region_Table,6,0)</f>
        <v>Lincolnshire East and West - N53</v>
      </c>
      <c r="C42" s="75">
        <f>COUNTIFS('capacity data'!$B:$B,'cluster capacity, unallocateds'!B42,'capacity data'!$E:$E,"PO")</f>
        <v>0</v>
      </c>
      <c r="D42" s="75">
        <f>COUNTIFS('capacity data'!$B:$B,'cluster capacity, unallocateds'!B42,'capacity data'!$E:$E,"PO",'capacity data'!$F:$F,"&gt;110%")</f>
        <v>0</v>
      </c>
      <c r="E42" s="66" t="str">
        <f t="shared" si="0"/>
        <v/>
      </c>
      <c r="F42" s="75">
        <f>COUNTIFS('capacity data'!$B:$B,'cluster capacity, unallocateds'!B42,'capacity data'!$E:$E,"PSO")</f>
        <v>0</v>
      </c>
      <c r="G42" s="75">
        <f>COUNTIFS('capacity data'!$B:$B,'cluster capacity, unallocateds'!B42,'capacity data'!$E:$E,"PSO",'capacity data'!$F:$F,"&gt;110%")</f>
        <v>0</v>
      </c>
      <c r="H42" s="66" t="str">
        <f t="shared" si="1"/>
        <v/>
      </c>
      <c r="I42" s="75">
        <f>COUNTIFS('capacity data'!$B:$B,'cluster capacity, unallocateds'!B42,'capacity data'!$E:$E,"PSO",'capacity data'!$F:$F,"&lt;90%")</f>
        <v>0</v>
      </c>
      <c r="J42" s="66" t="str">
        <f t="shared" si="2"/>
        <v/>
      </c>
      <c r="K42" s="75">
        <f>COUNTIFS('capacity data'!$B:$B,'cluster capacity, unallocateds'!B42,'capacity data'!$E:$E,"TPO")</f>
        <v>0</v>
      </c>
      <c r="L42" s="75">
        <f>COUNTIFS('capacity data'!$B:$B,'cluster capacity, unallocateds'!B42,'capacity data'!$E:$E,"TPO",'capacity data'!$F:$F,"&gt;110%")</f>
        <v>0</v>
      </c>
      <c r="M42" s="66" t="str">
        <f t="shared" si="3"/>
        <v/>
      </c>
      <c r="N42" s="2"/>
      <c r="O42" s="2"/>
      <c r="P42" s="2"/>
      <c r="Q42" s="2"/>
      <c r="R42" s="2"/>
      <c r="S42" s="2"/>
      <c r="T42" s="2"/>
      <c r="U42" s="2"/>
      <c r="V42" s="2"/>
      <c r="W42" s="1"/>
    </row>
    <row r="43" spans="1:23" ht="16" x14ac:dyDescent="0.2">
      <c r="A43" s="10"/>
      <c r="B43" s="62" t="str">
        <f>HLOOKUP($B$4,Region_Table,7,0)</f>
        <v>Nottingham City</v>
      </c>
      <c r="C43" s="75">
        <f>COUNTIFS('capacity data'!$B:$B,'cluster capacity, unallocateds'!B43,'capacity data'!$E:$E,"PO")</f>
        <v>0</v>
      </c>
      <c r="D43" s="75">
        <f>COUNTIFS('capacity data'!$B:$B,'cluster capacity, unallocateds'!B43,'capacity data'!$E:$E,"PO",'capacity data'!$F:$F,"&gt;110%")</f>
        <v>0</v>
      </c>
      <c r="E43" s="66" t="str">
        <f t="shared" si="0"/>
        <v/>
      </c>
      <c r="F43" s="75">
        <f>COUNTIFS('capacity data'!$B:$B,'cluster capacity, unallocateds'!B43,'capacity data'!$E:$E,"PSO")</f>
        <v>0</v>
      </c>
      <c r="G43" s="75">
        <f>COUNTIFS('capacity data'!$B:$B,'cluster capacity, unallocateds'!B43,'capacity data'!$E:$E,"PSO",'capacity data'!$F:$F,"&gt;110%")</f>
        <v>0</v>
      </c>
      <c r="H43" s="66" t="str">
        <f t="shared" si="1"/>
        <v/>
      </c>
      <c r="I43" s="75">
        <f>COUNTIFS('capacity data'!$B:$B,'cluster capacity, unallocateds'!B43,'capacity data'!$E:$E,"PSO",'capacity data'!$F:$F,"&lt;90%")</f>
        <v>0</v>
      </c>
      <c r="J43" s="66" t="str">
        <f t="shared" si="2"/>
        <v/>
      </c>
      <c r="K43" s="75">
        <f>COUNTIFS('capacity data'!$B:$B,'cluster capacity, unallocateds'!B43,'capacity data'!$E:$E,"TPO")</f>
        <v>0</v>
      </c>
      <c r="L43" s="75">
        <f>COUNTIFS('capacity data'!$B:$B,'cluster capacity, unallocateds'!B43,'capacity data'!$E:$E,"TPO",'capacity data'!$F:$F,"&gt;110%")</f>
        <v>0</v>
      </c>
      <c r="M43" s="66" t="str">
        <f t="shared" si="3"/>
        <v/>
      </c>
      <c r="N43" s="2"/>
      <c r="O43" s="2"/>
      <c r="P43" s="2"/>
      <c r="Q43" s="2"/>
      <c r="R43" s="2"/>
      <c r="S43" s="2"/>
      <c r="T43" s="2"/>
      <c r="U43" s="2"/>
      <c r="V43" s="2"/>
      <c r="W43" s="1"/>
    </row>
    <row r="44" spans="1:23" ht="16" x14ac:dyDescent="0.2">
      <c r="A44" s="10"/>
      <c r="B44" s="62" t="str">
        <f>HLOOKUP($B$4,Region_Table,8,0)</f>
        <v>Nottinghamshire - N53</v>
      </c>
      <c r="C44" s="75">
        <f>COUNTIFS('capacity data'!$B:$B,'cluster capacity, unallocateds'!B44,'capacity data'!$E:$E,"PO")</f>
        <v>0</v>
      </c>
      <c r="D44" s="75">
        <f>COUNTIFS('capacity data'!$B:$B,'cluster capacity, unallocateds'!B44,'capacity data'!$E:$E,"PO",'capacity data'!$F:$F,"&gt;110%")</f>
        <v>0</v>
      </c>
      <c r="E44" s="66" t="str">
        <f t="shared" si="0"/>
        <v/>
      </c>
      <c r="F44" s="75">
        <f>COUNTIFS('capacity data'!$B:$B,'cluster capacity, unallocateds'!B44,'capacity data'!$E:$E,"PSO")</f>
        <v>0</v>
      </c>
      <c r="G44" s="75">
        <f>COUNTIFS('capacity data'!$B:$B,'cluster capacity, unallocateds'!B44,'capacity data'!$E:$E,"PSO",'capacity data'!$F:$F,"&gt;110%")</f>
        <v>0</v>
      </c>
      <c r="H44" s="66" t="str">
        <f t="shared" si="1"/>
        <v/>
      </c>
      <c r="I44" s="75">
        <f>COUNTIFS('capacity data'!$B:$B,'cluster capacity, unallocateds'!B44,'capacity data'!$E:$E,"PSO",'capacity data'!$F:$F,"&lt;90%")</f>
        <v>0</v>
      </c>
      <c r="J44" s="66" t="str">
        <f t="shared" si="2"/>
        <v/>
      </c>
      <c r="K44" s="75">
        <f>COUNTIFS('capacity data'!$B:$B,'cluster capacity, unallocateds'!B44,'capacity data'!$E:$E,"TPO")</f>
        <v>0</v>
      </c>
      <c r="L44" s="75">
        <f>COUNTIFS('capacity data'!$B:$B,'cluster capacity, unallocateds'!B44,'capacity data'!$E:$E,"TPO",'capacity data'!$F:$F,"&gt;110%")</f>
        <v>0</v>
      </c>
      <c r="M44" s="66" t="str">
        <f t="shared" si="3"/>
        <v/>
      </c>
      <c r="N44" s="2"/>
      <c r="O44" s="2"/>
      <c r="P44" s="2"/>
      <c r="Q44" s="2"/>
      <c r="R44" s="2"/>
      <c r="S44" s="2"/>
      <c r="T44" s="2"/>
      <c r="U44" s="2"/>
      <c r="V44" s="2"/>
      <c r="W44" s="1"/>
    </row>
    <row r="45" spans="1:23" ht="16" x14ac:dyDescent="0.2">
      <c r="A45" s="10"/>
      <c r="B45" s="62" t="str">
        <f>HLOOKUP($B$4,Region_Table,9,0)</f>
        <v>Unpaid Work and Attendance Centres - N53</v>
      </c>
      <c r="C45" s="75">
        <f>COUNTIFS('capacity data'!$B:$B,'cluster capacity, unallocateds'!B45,'capacity data'!$E:$E,"PO")</f>
        <v>0</v>
      </c>
      <c r="D45" s="75">
        <f>COUNTIFS('capacity data'!$B:$B,'cluster capacity, unallocateds'!B45,'capacity data'!$E:$E,"PO",'capacity data'!$F:$F,"&gt;110%")</f>
        <v>0</v>
      </c>
      <c r="E45" s="66" t="str">
        <f t="shared" si="0"/>
        <v/>
      </c>
      <c r="F45" s="75">
        <f>COUNTIFS('capacity data'!$B:$B,'cluster capacity, unallocateds'!B45,'capacity data'!$E:$E,"PSO")</f>
        <v>0</v>
      </c>
      <c r="G45" s="75">
        <f>COUNTIFS('capacity data'!$B:$B,'cluster capacity, unallocateds'!B45,'capacity data'!$E:$E,"PSO",'capacity data'!$F:$F,"&gt;110%")</f>
        <v>0</v>
      </c>
      <c r="H45" s="66" t="str">
        <f t="shared" si="1"/>
        <v/>
      </c>
      <c r="I45" s="75">
        <f>COUNTIFS('capacity data'!$B:$B,'cluster capacity, unallocateds'!B45,'capacity data'!$E:$E,"PSO",'capacity data'!$F:$F,"&lt;90%")</f>
        <v>0</v>
      </c>
      <c r="J45" s="66" t="str">
        <f t="shared" si="2"/>
        <v/>
      </c>
      <c r="K45" s="75">
        <f>COUNTIFS('capacity data'!$B:$B,'cluster capacity, unallocateds'!B45,'capacity data'!$E:$E,"TPO")</f>
        <v>0</v>
      </c>
      <c r="L45" s="75">
        <f>COUNTIFS('capacity data'!$B:$B,'cluster capacity, unallocateds'!B45,'capacity data'!$E:$E,"TPO",'capacity data'!$F:$F,"&gt;110%")</f>
        <v>0</v>
      </c>
      <c r="M45" s="66" t="str">
        <f t="shared" si="3"/>
        <v/>
      </c>
      <c r="N45" s="2"/>
      <c r="O45" s="2"/>
      <c r="P45" s="2"/>
      <c r="Q45" s="2"/>
      <c r="R45" s="2"/>
      <c r="S45" s="2"/>
      <c r="T45" s="2"/>
      <c r="U45" s="2"/>
      <c r="V45" s="2"/>
      <c r="W45" s="1"/>
    </row>
    <row r="46" spans="1:23" ht="16" x14ac:dyDescent="0.2">
      <c r="A46" s="10"/>
      <c r="B46" s="62">
        <f>HLOOKUP($B$4,Region_Table,10,0)</f>
        <v>0</v>
      </c>
      <c r="C46" s="75">
        <f>COUNTIFS('capacity data'!$B:$B,'cluster capacity, unallocateds'!B46,'capacity data'!$E:$E,"PO")</f>
        <v>0</v>
      </c>
      <c r="D46" s="75">
        <f>COUNTIFS('capacity data'!$B:$B,'cluster capacity, unallocateds'!B46,'capacity data'!$E:$E,"PO",'capacity data'!$F:$F,"&gt;110%")</f>
        <v>0</v>
      </c>
      <c r="E46" s="66" t="str">
        <f t="shared" si="0"/>
        <v/>
      </c>
      <c r="F46" s="75">
        <f>COUNTIFS('capacity data'!$B:$B,'cluster capacity, unallocateds'!B46,'capacity data'!$E:$E,"PSO")</f>
        <v>0</v>
      </c>
      <c r="G46" s="75">
        <f>COUNTIFS('capacity data'!$B:$B,'cluster capacity, unallocateds'!B46,'capacity data'!$E:$E,"PSO",'capacity data'!$F:$F,"&gt;110%")</f>
        <v>0</v>
      </c>
      <c r="H46" s="66" t="str">
        <f t="shared" si="1"/>
        <v/>
      </c>
      <c r="I46" s="75">
        <f>COUNTIFS('capacity data'!$B:$B,'cluster capacity, unallocateds'!B46,'capacity data'!$E:$E,"PSO",'capacity data'!$F:$F,"&lt;90%")</f>
        <v>0</v>
      </c>
      <c r="J46" s="66" t="str">
        <f t="shared" si="2"/>
        <v/>
      </c>
      <c r="K46" s="75">
        <f>COUNTIFS('capacity data'!$B:$B,'cluster capacity, unallocateds'!B46,'capacity data'!$E:$E,"TPO")</f>
        <v>0</v>
      </c>
      <c r="L46" s="75">
        <f>COUNTIFS('capacity data'!$B:$B,'cluster capacity, unallocateds'!B46,'capacity data'!$E:$E,"TPO",'capacity data'!$F:$F,"&gt;110%")</f>
        <v>0</v>
      </c>
      <c r="M46" s="66" t="str">
        <f t="shared" si="3"/>
        <v/>
      </c>
      <c r="N46" s="2"/>
      <c r="O46" s="2"/>
      <c r="P46" s="2"/>
      <c r="Q46" s="2"/>
      <c r="R46" s="2"/>
      <c r="S46" s="2"/>
      <c r="T46" s="2"/>
      <c r="U46" s="2"/>
      <c r="V46" s="2"/>
      <c r="W46" s="1"/>
    </row>
    <row r="47" spans="1:23" ht="16" x14ac:dyDescent="0.2">
      <c r="A47" s="10"/>
      <c r="B47" s="62">
        <f>HLOOKUP($B$4,Region_Table,11,0)</f>
        <v>0</v>
      </c>
      <c r="C47" s="75">
        <f>COUNTIFS('capacity data'!$B:$B,'cluster capacity, unallocateds'!B47,'capacity data'!$E:$E,"PO")</f>
        <v>0</v>
      </c>
      <c r="D47" s="75">
        <f>COUNTIFS('capacity data'!$B:$B,'cluster capacity, unallocateds'!B47,'capacity data'!$E:$E,"PO",'capacity data'!$F:$F,"&gt;110%")</f>
        <v>0</v>
      </c>
      <c r="E47" s="66" t="str">
        <f t="shared" si="0"/>
        <v/>
      </c>
      <c r="F47" s="75">
        <f>COUNTIFS('capacity data'!$B:$B,'cluster capacity, unallocateds'!B47,'capacity data'!$E:$E,"PSO")</f>
        <v>0</v>
      </c>
      <c r="G47" s="75">
        <f>COUNTIFS('capacity data'!$B:$B,'cluster capacity, unallocateds'!B47,'capacity data'!$E:$E,"PSO",'capacity data'!$F:$F,"&gt;110%")</f>
        <v>0</v>
      </c>
      <c r="H47" s="66" t="str">
        <f t="shared" si="1"/>
        <v/>
      </c>
      <c r="I47" s="75">
        <f>COUNTIFS('capacity data'!$B:$B,'cluster capacity, unallocateds'!B47,'capacity data'!$E:$E,"PSO",'capacity data'!$F:$F,"&lt;90%")</f>
        <v>0</v>
      </c>
      <c r="J47" s="66" t="str">
        <f t="shared" si="2"/>
        <v/>
      </c>
      <c r="K47" s="75">
        <f>COUNTIFS('capacity data'!$B:$B,'cluster capacity, unallocateds'!B47,'capacity data'!$E:$E,"TPO")</f>
        <v>0</v>
      </c>
      <c r="L47" s="75">
        <f>COUNTIFS('capacity data'!$B:$B,'cluster capacity, unallocateds'!B47,'capacity data'!$E:$E,"TPO",'capacity data'!$F:$F,"&gt;110%")</f>
        <v>0</v>
      </c>
      <c r="M47" s="66" t="str">
        <f t="shared" si="3"/>
        <v/>
      </c>
      <c r="N47" s="2"/>
      <c r="O47" s="2"/>
      <c r="P47" s="2"/>
      <c r="Q47" s="2"/>
      <c r="R47" s="2"/>
      <c r="S47" s="2"/>
      <c r="T47" s="2"/>
      <c r="U47" s="2"/>
      <c r="V47" s="2"/>
      <c r="W47" s="1"/>
    </row>
    <row r="48" spans="1:23" ht="16" x14ac:dyDescent="0.2">
      <c r="A48" s="10"/>
      <c r="B48" s="62">
        <f>HLOOKUP($B$4,Region_Table,12,0)</f>
        <v>0</v>
      </c>
      <c r="C48" s="75">
        <f>COUNTIFS('capacity data'!$B:$B,'cluster capacity, unallocateds'!B48,'capacity data'!$E:$E,"PO")</f>
        <v>0</v>
      </c>
      <c r="D48" s="75">
        <f>COUNTIFS('capacity data'!$B:$B,'cluster capacity, unallocateds'!B48,'capacity data'!$E:$E,"PO",'capacity data'!$F:$F,"&gt;110%")</f>
        <v>0</v>
      </c>
      <c r="E48" s="66" t="str">
        <f t="shared" si="0"/>
        <v/>
      </c>
      <c r="F48" s="75">
        <f>COUNTIFS('capacity data'!$B:$B,'cluster capacity, unallocateds'!B48,'capacity data'!$E:$E,"PSO")</f>
        <v>0</v>
      </c>
      <c r="G48" s="75">
        <f>COUNTIFS('capacity data'!$B:$B,'cluster capacity, unallocateds'!B48,'capacity data'!$E:$E,"PSO",'capacity data'!$F:$F,"&gt;110%")</f>
        <v>0</v>
      </c>
      <c r="H48" s="66" t="str">
        <f t="shared" si="1"/>
        <v/>
      </c>
      <c r="I48" s="75">
        <f>COUNTIFS('capacity data'!$B:$B,'cluster capacity, unallocateds'!B48,'capacity data'!$E:$E,"PSO",'capacity data'!$F:$F,"&lt;90%")</f>
        <v>0</v>
      </c>
      <c r="J48" s="66" t="str">
        <f t="shared" si="2"/>
        <v/>
      </c>
      <c r="K48" s="75">
        <f>COUNTIFS('capacity data'!$B:$B,'cluster capacity, unallocateds'!B48,'capacity data'!$E:$E,"TPO")</f>
        <v>0</v>
      </c>
      <c r="L48" s="75">
        <f>COUNTIFS('capacity data'!$B:$B,'cluster capacity, unallocateds'!B48,'capacity data'!$E:$E,"TPO",'capacity data'!$F:$F,"&gt;110%")</f>
        <v>0</v>
      </c>
      <c r="M48" s="66" t="str">
        <f t="shared" si="3"/>
        <v/>
      </c>
      <c r="N48" s="2"/>
      <c r="O48" s="2"/>
      <c r="P48" s="2"/>
      <c r="Q48" s="2"/>
      <c r="R48" s="2"/>
      <c r="S48" s="2"/>
      <c r="T48" s="2"/>
      <c r="U48" s="2"/>
      <c r="V48" s="2"/>
      <c r="W48" s="1"/>
    </row>
    <row r="49" spans="1:23" ht="16" x14ac:dyDescent="0.2">
      <c r="A49" s="10"/>
      <c r="B49" s="62">
        <f>HLOOKUP($B$4,Region_Table,13,0)</f>
        <v>0</v>
      </c>
      <c r="C49" s="75">
        <f>COUNTIFS('capacity data'!$B:$B,'cluster capacity, unallocateds'!B49,'capacity data'!$E:$E,"PO")</f>
        <v>0</v>
      </c>
      <c r="D49" s="75">
        <f>COUNTIFS('capacity data'!$B:$B,'cluster capacity, unallocateds'!B49,'capacity data'!$E:$E,"PO",'capacity data'!$F:$F,"&gt;110%")</f>
        <v>0</v>
      </c>
      <c r="E49" s="66" t="str">
        <f t="shared" si="0"/>
        <v/>
      </c>
      <c r="F49" s="75">
        <f>COUNTIFS('capacity data'!$B:$B,'cluster capacity, unallocateds'!B49,'capacity data'!$E:$E,"PSO")</f>
        <v>0</v>
      </c>
      <c r="G49" s="75">
        <f>COUNTIFS('capacity data'!$B:$B,'cluster capacity, unallocateds'!B49,'capacity data'!$E:$E,"PSO",'capacity data'!$F:$F,"&gt;110%")</f>
        <v>0</v>
      </c>
      <c r="H49" s="66" t="str">
        <f t="shared" si="1"/>
        <v/>
      </c>
      <c r="I49" s="75">
        <f>COUNTIFS('capacity data'!$B:$B,'cluster capacity, unallocateds'!B49,'capacity data'!$E:$E,"PSO",'capacity data'!$F:$F,"&lt;90%")</f>
        <v>0</v>
      </c>
      <c r="J49" s="66" t="str">
        <f t="shared" si="2"/>
        <v/>
      </c>
      <c r="K49" s="75">
        <f>COUNTIFS('capacity data'!$B:$B,'cluster capacity, unallocateds'!B49,'capacity data'!$E:$E,"TPO")</f>
        <v>0</v>
      </c>
      <c r="L49" s="75">
        <f>COUNTIFS('capacity data'!$B:$B,'cluster capacity, unallocateds'!B49,'capacity data'!$E:$E,"TPO",'capacity data'!$F:$F,"&gt;110%")</f>
        <v>0</v>
      </c>
      <c r="M49" s="66" t="str">
        <f t="shared" si="3"/>
        <v/>
      </c>
      <c r="N49" s="2"/>
      <c r="O49" s="2"/>
      <c r="P49" s="2"/>
      <c r="Q49" s="2"/>
      <c r="R49" s="2"/>
      <c r="S49" s="2"/>
      <c r="T49" s="2"/>
      <c r="U49" s="2"/>
      <c r="V49" s="2"/>
      <c r="W49" s="1"/>
    </row>
    <row r="50" spans="1:23" ht="16" x14ac:dyDescent="0.2">
      <c r="A50" s="10"/>
      <c r="B50" s="62">
        <f>HLOOKUP($B$4,Region_Table,14,0)</f>
        <v>0</v>
      </c>
      <c r="C50" s="75">
        <f>COUNTIFS('capacity data'!$B:$B,'cluster capacity, unallocateds'!B50,'capacity data'!$E:$E,"PO")</f>
        <v>0</v>
      </c>
      <c r="D50" s="75">
        <f>COUNTIFS('capacity data'!$B:$B,'cluster capacity, unallocateds'!B50,'capacity data'!$E:$E,"PO",'capacity data'!$F:$F,"&gt;110%")</f>
        <v>0</v>
      </c>
      <c r="E50" s="66" t="str">
        <f t="shared" si="0"/>
        <v/>
      </c>
      <c r="F50" s="75">
        <f>COUNTIFS('capacity data'!$B:$B,'cluster capacity, unallocateds'!B50,'capacity data'!$E:$E,"PSO")</f>
        <v>0</v>
      </c>
      <c r="G50" s="75">
        <f>COUNTIFS('capacity data'!$B:$B,'cluster capacity, unallocateds'!B50,'capacity data'!$E:$E,"PSO",'capacity data'!$F:$F,"&gt;110%")</f>
        <v>0</v>
      </c>
      <c r="H50" s="66" t="str">
        <f t="shared" si="1"/>
        <v/>
      </c>
      <c r="I50" s="75">
        <f>COUNTIFS('capacity data'!$B:$B,'cluster capacity, unallocateds'!B50,'capacity data'!$E:$E,"PSO",'capacity data'!$F:$F,"&lt;90%")</f>
        <v>0</v>
      </c>
      <c r="J50" s="66" t="str">
        <f t="shared" si="2"/>
        <v/>
      </c>
      <c r="K50" s="75">
        <f>COUNTIFS('capacity data'!$B:$B,'cluster capacity, unallocateds'!B50,'capacity data'!$E:$E,"TPO")</f>
        <v>0</v>
      </c>
      <c r="L50" s="75">
        <f>COUNTIFS('capacity data'!$B:$B,'cluster capacity, unallocateds'!B50,'capacity data'!$E:$E,"TPO",'capacity data'!$F:$F,"&gt;110%")</f>
        <v>0</v>
      </c>
      <c r="M50" s="66" t="str">
        <f t="shared" si="3"/>
        <v/>
      </c>
      <c r="N50" s="2"/>
      <c r="O50" s="2"/>
      <c r="P50" s="2"/>
      <c r="Q50" s="2"/>
      <c r="R50" s="2"/>
      <c r="S50" s="2"/>
      <c r="T50" s="2"/>
      <c r="U50" s="2"/>
      <c r="V50" s="2"/>
      <c r="W50" s="1"/>
    </row>
    <row r="51" spans="1:23" ht="16" x14ac:dyDescent="0.2">
      <c r="A51" s="10"/>
      <c r="B51" s="62">
        <f>HLOOKUP($B$4,Region_Table,15,0)</f>
        <v>0</v>
      </c>
      <c r="C51" s="75">
        <f>COUNTIFS('capacity data'!$B:$B,'cluster capacity, unallocateds'!B51,'capacity data'!$E:$E,"PO")</f>
        <v>0</v>
      </c>
      <c r="D51" s="75">
        <f>COUNTIFS('capacity data'!$B:$B,'cluster capacity, unallocateds'!B51,'capacity data'!$E:$E,"PO",'capacity data'!$F:$F,"&gt;110%")</f>
        <v>0</v>
      </c>
      <c r="E51" s="66" t="str">
        <f t="shared" si="0"/>
        <v/>
      </c>
      <c r="F51" s="75">
        <f>COUNTIFS('capacity data'!$B:$B,'cluster capacity, unallocateds'!B51,'capacity data'!$E:$E,"PSO")</f>
        <v>0</v>
      </c>
      <c r="G51" s="75">
        <f>COUNTIFS('capacity data'!$B:$B,'cluster capacity, unallocateds'!B51,'capacity data'!$E:$E,"PSO",'capacity data'!$F:$F,"&gt;110%")</f>
        <v>0</v>
      </c>
      <c r="H51" s="66" t="str">
        <f t="shared" si="1"/>
        <v/>
      </c>
      <c r="I51" s="75">
        <f>COUNTIFS('capacity data'!$B:$B,'cluster capacity, unallocateds'!B51,'capacity data'!$E:$E,"PSO",'capacity data'!$F:$F,"&lt;90%")</f>
        <v>0</v>
      </c>
      <c r="J51" s="66" t="str">
        <f t="shared" si="2"/>
        <v/>
      </c>
      <c r="K51" s="75">
        <f>COUNTIFS('capacity data'!$B:$B,'cluster capacity, unallocateds'!B51,'capacity data'!$E:$E,"TPO")</f>
        <v>0</v>
      </c>
      <c r="L51" s="75">
        <f>COUNTIFS('capacity data'!$B:$B,'cluster capacity, unallocateds'!B51,'capacity data'!$E:$E,"TPO",'capacity data'!$F:$F,"&gt;110%")</f>
        <v>0</v>
      </c>
      <c r="M51" s="66" t="str">
        <f t="shared" si="3"/>
        <v/>
      </c>
      <c r="N51" s="2"/>
      <c r="O51" s="2"/>
      <c r="P51" s="2"/>
      <c r="Q51" s="2"/>
      <c r="R51" s="2"/>
      <c r="S51" s="2"/>
      <c r="T51" s="2"/>
      <c r="U51" s="2"/>
      <c r="V51" s="2"/>
      <c r="W51" s="1"/>
    </row>
    <row r="52" spans="1:23" ht="16" x14ac:dyDescent="0.2">
      <c r="A52" s="10"/>
      <c r="B52" s="62">
        <f>HLOOKUP($B$4,Region_Table,16,0)</f>
        <v>0</v>
      </c>
      <c r="C52" s="75">
        <f>COUNTIFS('capacity data'!$B:$B,'cluster capacity, unallocateds'!B52,'capacity data'!$E:$E,"PO")</f>
        <v>0</v>
      </c>
      <c r="D52" s="75">
        <f>COUNTIFS('capacity data'!$B:$B,'cluster capacity, unallocateds'!B52,'capacity data'!$E:$E,"PO",'capacity data'!$F:$F,"&gt;110%")</f>
        <v>0</v>
      </c>
      <c r="E52" s="66" t="str">
        <f t="shared" si="0"/>
        <v/>
      </c>
      <c r="F52" s="75">
        <f>COUNTIFS('capacity data'!$B:$B,'cluster capacity, unallocateds'!B52,'capacity data'!$E:$E,"PSO")</f>
        <v>0</v>
      </c>
      <c r="G52" s="75">
        <f>COUNTIFS('capacity data'!$B:$B,'cluster capacity, unallocateds'!B52,'capacity data'!$E:$E,"PSO",'capacity data'!$F:$F,"&gt;110%")</f>
        <v>0</v>
      </c>
      <c r="H52" s="66" t="str">
        <f t="shared" si="1"/>
        <v/>
      </c>
      <c r="I52" s="75">
        <f>COUNTIFS('capacity data'!$B:$B,'cluster capacity, unallocateds'!B52,'capacity data'!$E:$E,"PSO",'capacity data'!$F:$F,"&lt;90%")</f>
        <v>0</v>
      </c>
      <c r="J52" s="66" t="str">
        <f t="shared" si="2"/>
        <v/>
      </c>
      <c r="K52" s="75">
        <f>COUNTIFS('capacity data'!$B:$B,'cluster capacity, unallocateds'!B52,'capacity data'!$E:$E,"TPO")</f>
        <v>0</v>
      </c>
      <c r="L52" s="75">
        <f>COUNTIFS('capacity data'!$B:$B,'cluster capacity, unallocateds'!B52,'capacity data'!$E:$E,"TPO",'capacity data'!$F:$F,"&gt;110%")</f>
        <v>0</v>
      </c>
      <c r="M52" s="66" t="str">
        <f t="shared" si="3"/>
        <v/>
      </c>
      <c r="N52" s="2"/>
      <c r="O52" s="2"/>
      <c r="P52" s="2"/>
      <c r="Q52" s="2"/>
      <c r="R52" s="2"/>
      <c r="S52" s="2"/>
      <c r="T52" s="2"/>
      <c r="U52" s="2"/>
      <c r="V52" s="2"/>
      <c r="W52" s="1"/>
    </row>
    <row r="53" spans="1:23" ht="16" x14ac:dyDescent="0.2">
      <c r="A53" s="10"/>
      <c r="B53" s="62">
        <f>HLOOKUP($B$4,Region_Table,17,0)</f>
        <v>0</v>
      </c>
      <c r="C53" s="75">
        <f>COUNTIFS('capacity data'!$B:$B,'cluster capacity, unallocateds'!B53,'capacity data'!$E:$E,"PO")</f>
        <v>0</v>
      </c>
      <c r="D53" s="75">
        <f>COUNTIFS('capacity data'!$B:$B,'cluster capacity, unallocateds'!B53,'capacity data'!$E:$E,"PO",'capacity data'!$F:$F,"&gt;110%")</f>
        <v>0</v>
      </c>
      <c r="E53" s="66" t="str">
        <f t="shared" si="0"/>
        <v/>
      </c>
      <c r="F53" s="75">
        <f>COUNTIFS('capacity data'!$B:$B,'cluster capacity, unallocateds'!B53,'capacity data'!$E:$E,"PSO")</f>
        <v>0</v>
      </c>
      <c r="G53" s="75">
        <f>COUNTIFS('capacity data'!$B:$B,'cluster capacity, unallocateds'!B53,'capacity data'!$E:$E,"PSO",'capacity data'!$F:$F,"&gt;110%")</f>
        <v>0</v>
      </c>
      <c r="H53" s="66" t="str">
        <f t="shared" si="1"/>
        <v/>
      </c>
      <c r="I53" s="75">
        <f>COUNTIFS('capacity data'!$B:$B,'cluster capacity, unallocateds'!B53,'capacity data'!$E:$E,"PSO",'capacity data'!$F:$F,"&lt;90%")</f>
        <v>0</v>
      </c>
      <c r="J53" s="66" t="str">
        <f t="shared" si="2"/>
        <v/>
      </c>
      <c r="K53" s="75">
        <f>COUNTIFS('capacity data'!$B:$B,'cluster capacity, unallocateds'!B53,'capacity data'!$E:$E,"TPO")</f>
        <v>0</v>
      </c>
      <c r="L53" s="75">
        <f>COUNTIFS('capacity data'!$B:$B,'cluster capacity, unallocateds'!B53,'capacity data'!$E:$E,"TPO",'capacity data'!$F:$F,"&gt;110%")</f>
        <v>0</v>
      </c>
      <c r="M53" s="66" t="str">
        <f t="shared" si="3"/>
        <v/>
      </c>
      <c r="N53" s="2"/>
      <c r="O53" s="2"/>
      <c r="P53" s="2"/>
      <c r="Q53" s="2"/>
      <c r="R53" s="2"/>
      <c r="S53" s="2"/>
      <c r="T53" s="2"/>
      <c r="U53" s="2"/>
      <c r="V53" s="2"/>
      <c r="W53" s="1"/>
    </row>
    <row r="54" spans="1:23" ht="16" x14ac:dyDescent="0.2">
      <c r="A54" s="10"/>
      <c r="B54" s="62">
        <f>HLOOKUP($B$4,Region_Table,18,0)</f>
        <v>0</v>
      </c>
      <c r="C54" s="75">
        <f>COUNTIFS('capacity data'!$B:$B,'cluster capacity, unallocateds'!B54,'capacity data'!$E:$E,"PO")</f>
        <v>0</v>
      </c>
      <c r="D54" s="75">
        <f>COUNTIFS('capacity data'!$B:$B,'cluster capacity, unallocateds'!B54,'capacity data'!$E:$E,"PO",'capacity data'!$F:$F,"&gt;110%")</f>
        <v>0</v>
      </c>
      <c r="E54" s="66" t="str">
        <f t="shared" si="0"/>
        <v/>
      </c>
      <c r="F54" s="75">
        <f>COUNTIFS('capacity data'!$B:$B,'cluster capacity, unallocateds'!B54,'capacity data'!$E:$E,"PSO")</f>
        <v>0</v>
      </c>
      <c r="G54" s="75">
        <f>COUNTIFS('capacity data'!$B:$B,'cluster capacity, unallocateds'!B54,'capacity data'!$E:$E,"PSO",'capacity data'!$F:$F,"&gt;110%")</f>
        <v>0</v>
      </c>
      <c r="H54" s="66" t="str">
        <f t="shared" si="1"/>
        <v/>
      </c>
      <c r="I54" s="75">
        <f>COUNTIFS('capacity data'!$B:$B,'cluster capacity, unallocateds'!B54,'capacity data'!$E:$E,"PSO",'capacity data'!$F:$F,"&lt;90%")</f>
        <v>0</v>
      </c>
      <c r="J54" s="66" t="str">
        <f t="shared" si="2"/>
        <v/>
      </c>
      <c r="K54" s="75">
        <f>COUNTIFS('capacity data'!$B:$B,'cluster capacity, unallocateds'!B54,'capacity data'!$E:$E,"TPO")</f>
        <v>0</v>
      </c>
      <c r="L54" s="75">
        <f>COUNTIFS('capacity data'!$B:$B,'cluster capacity, unallocateds'!B54,'capacity data'!$E:$E,"TPO",'capacity data'!$F:$F,"&gt;110%")</f>
        <v>0</v>
      </c>
      <c r="M54" s="66" t="str">
        <f t="shared" si="3"/>
        <v/>
      </c>
      <c r="N54" s="2"/>
      <c r="O54" s="2"/>
      <c r="P54" s="2"/>
      <c r="Q54" s="2"/>
      <c r="R54" s="2"/>
      <c r="S54" s="2"/>
      <c r="T54" s="2"/>
      <c r="U54" s="2"/>
      <c r="V54" s="2"/>
      <c r="W54" s="1"/>
    </row>
    <row r="55" spans="1:23" ht="16" x14ac:dyDescent="0.2">
      <c r="A55" s="10"/>
      <c r="B55" s="62">
        <f>HLOOKUP($B$4,Region_Table,19,0)</f>
        <v>0</v>
      </c>
      <c r="C55" s="75">
        <f>COUNTIFS('capacity data'!$B:$B,'cluster capacity, unallocateds'!B55,'capacity data'!$E:$E,"PO")</f>
        <v>0</v>
      </c>
      <c r="D55" s="75">
        <f>COUNTIFS('capacity data'!$B:$B,'cluster capacity, unallocateds'!B55,'capacity data'!$E:$E,"PO",'capacity data'!$F:$F,"&gt;110%")</f>
        <v>0</v>
      </c>
      <c r="E55" s="66" t="str">
        <f t="shared" si="0"/>
        <v/>
      </c>
      <c r="F55" s="75">
        <f>COUNTIFS('capacity data'!$B:$B,'cluster capacity, unallocateds'!B55,'capacity data'!$E:$E,"PSO")</f>
        <v>0</v>
      </c>
      <c r="G55" s="75">
        <f>COUNTIFS('capacity data'!$B:$B,'cluster capacity, unallocateds'!B55,'capacity data'!$E:$E,"PSO",'capacity data'!$F:$F,"&gt;110%")</f>
        <v>0</v>
      </c>
      <c r="H55" s="66" t="str">
        <f t="shared" si="1"/>
        <v/>
      </c>
      <c r="I55" s="75">
        <f>COUNTIFS('capacity data'!$B:$B,'cluster capacity, unallocateds'!B55,'capacity data'!$E:$E,"PSO",'capacity data'!$F:$F,"&lt;90%")</f>
        <v>0</v>
      </c>
      <c r="J55" s="66" t="str">
        <f t="shared" si="2"/>
        <v/>
      </c>
      <c r="K55" s="75">
        <f>COUNTIFS('capacity data'!$B:$B,'cluster capacity, unallocateds'!B55,'capacity data'!$E:$E,"TPO")</f>
        <v>0</v>
      </c>
      <c r="L55" s="75">
        <f>COUNTIFS('capacity data'!$B:$B,'cluster capacity, unallocateds'!B55,'capacity data'!$E:$E,"TPO",'capacity data'!$F:$F,"&gt;110%")</f>
        <v>0</v>
      </c>
      <c r="M55" s="66" t="str">
        <f t="shared" si="3"/>
        <v/>
      </c>
      <c r="N55" s="2"/>
      <c r="O55" s="2"/>
      <c r="P55" s="2"/>
      <c r="Q55" s="2"/>
      <c r="R55" s="2"/>
      <c r="S55" s="2"/>
      <c r="T55" s="2"/>
      <c r="U55" s="2"/>
      <c r="V55" s="2"/>
      <c r="W55" s="1"/>
    </row>
    <row r="56" spans="1:23" ht="16" x14ac:dyDescent="0.2">
      <c r="A56" s="10"/>
      <c r="B56" s="62">
        <f>HLOOKUP($B$4,Region_Table,20,0)</f>
        <v>0</v>
      </c>
      <c r="C56" s="75">
        <f>COUNTIFS('capacity data'!$B:$B,'cluster capacity, unallocateds'!B56,'capacity data'!$E:$E,"PO")</f>
        <v>0</v>
      </c>
      <c r="D56" s="75">
        <f>COUNTIFS('capacity data'!$B:$B,'cluster capacity, unallocateds'!B56,'capacity data'!$E:$E,"PO",'capacity data'!$F:$F,"&gt;110%")</f>
        <v>0</v>
      </c>
      <c r="E56" s="66" t="str">
        <f t="shared" si="0"/>
        <v/>
      </c>
      <c r="F56" s="75">
        <f>COUNTIFS('capacity data'!$B:$B,'cluster capacity, unallocateds'!B56,'capacity data'!$E:$E,"PSO")</f>
        <v>0</v>
      </c>
      <c r="G56" s="75">
        <f>COUNTIFS('capacity data'!$B:$B,'cluster capacity, unallocateds'!B56,'capacity data'!$E:$E,"PSO",'capacity data'!$F:$F,"&gt;110%")</f>
        <v>0</v>
      </c>
      <c r="H56" s="66" t="str">
        <f t="shared" si="1"/>
        <v/>
      </c>
      <c r="I56" s="75">
        <f>COUNTIFS('capacity data'!$B:$B,'cluster capacity, unallocateds'!B56,'capacity data'!$E:$E,"PSO",'capacity data'!$F:$F,"&lt;90%")</f>
        <v>0</v>
      </c>
      <c r="J56" s="66" t="str">
        <f t="shared" si="2"/>
        <v/>
      </c>
      <c r="K56" s="75">
        <f>COUNTIFS('capacity data'!$B:$B,'cluster capacity, unallocateds'!B56,'capacity data'!$E:$E,"TPO")</f>
        <v>0</v>
      </c>
      <c r="L56" s="75">
        <f>COUNTIFS('capacity data'!$B:$B,'cluster capacity, unallocateds'!B56,'capacity data'!$E:$E,"TPO",'capacity data'!$F:$F,"&gt;110%")</f>
        <v>0</v>
      </c>
      <c r="M56" s="66" t="str">
        <f t="shared" si="3"/>
        <v/>
      </c>
      <c r="N56" s="2"/>
      <c r="O56" s="2"/>
      <c r="P56" s="2"/>
      <c r="Q56" s="2"/>
      <c r="R56" s="2"/>
      <c r="S56" s="2"/>
      <c r="T56" s="2"/>
      <c r="U56" s="2"/>
      <c r="V56" s="2"/>
      <c r="W56" s="1"/>
    </row>
    <row r="57" spans="1:23" ht="16" x14ac:dyDescent="0.2">
      <c r="A57" s="10"/>
      <c r="B57" s="62">
        <f>HLOOKUP($B$4,Region_Table,21,0)</f>
        <v>0</v>
      </c>
      <c r="C57" s="75">
        <f>COUNTIFS('capacity data'!$B:$B,'cluster capacity, unallocateds'!B57,'capacity data'!$E:$E,"PO")</f>
        <v>0</v>
      </c>
      <c r="D57" s="75">
        <f>COUNTIFS('capacity data'!$B:$B,'cluster capacity, unallocateds'!B57,'capacity data'!$E:$E,"PO",'capacity data'!$F:$F,"&gt;110%")</f>
        <v>0</v>
      </c>
      <c r="E57" s="66" t="str">
        <f t="shared" ref="E57:E64" si="4">IFERROR((D57/C57),"")</f>
        <v/>
      </c>
      <c r="F57" s="75">
        <f>COUNTIFS('capacity data'!$B:$B,'cluster capacity, unallocateds'!B57,'capacity data'!$E:$E,"PSO")</f>
        <v>0</v>
      </c>
      <c r="G57" s="75">
        <f>COUNTIFS('capacity data'!$B:$B,'cluster capacity, unallocateds'!B57,'capacity data'!$E:$E,"PSO",'capacity data'!$F:$F,"&gt;110%")</f>
        <v>0</v>
      </c>
      <c r="H57" s="66" t="str">
        <f t="shared" ref="H57:H64" si="5">IFERROR((G57/F57),"")</f>
        <v/>
      </c>
      <c r="I57" s="75">
        <f>COUNTIFS('capacity data'!$B:$B,'cluster capacity, unallocateds'!B57,'capacity data'!$E:$E,"PSO",'capacity data'!$F:$F,"&lt;90%")</f>
        <v>0</v>
      </c>
      <c r="J57" s="66" t="str">
        <f t="shared" ref="J57:J64" si="6">IFERROR((I57/F57),"")</f>
        <v/>
      </c>
      <c r="K57" s="75">
        <f>COUNTIFS('capacity data'!$B:$B,'cluster capacity, unallocateds'!B57,'capacity data'!$E:$E,"TPO")</f>
        <v>0</v>
      </c>
      <c r="L57" s="75">
        <f>COUNTIFS('capacity data'!$B:$B,'cluster capacity, unallocateds'!B57,'capacity data'!$E:$E,"TPO",'capacity data'!$F:$F,"&gt;110%")</f>
        <v>0</v>
      </c>
      <c r="M57" s="66" t="str">
        <f t="shared" ref="M57:M64" si="7">IFERROR((L57/K57),"")</f>
        <v/>
      </c>
      <c r="N57" s="2"/>
      <c r="O57" s="2"/>
      <c r="P57" s="2"/>
      <c r="Q57" s="2"/>
      <c r="R57" s="2"/>
      <c r="S57" s="2"/>
      <c r="T57" s="2"/>
      <c r="U57" s="2"/>
      <c r="V57" s="2"/>
      <c r="W57" s="1"/>
    </row>
    <row r="58" spans="1:23" ht="16" x14ac:dyDescent="0.2">
      <c r="A58" s="10"/>
      <c r="B58" s="62">
        <f>HLOOKUP($B$4,Region_Table,22,0)</f>
        <v>0</v>
      </c>
      <c r="C58" s="75">
        <f>COUNTIFS('capacity data'!$B:$B,'cluster capacity, unallocateds'!B58,'capacity data'!$E:$E,"PO")</f>
        <v>0</v>
      </c>
      <c r="D58" s="75">
        <f>COUNTIFS('capacity data'!$B:$B,'cluster capacity, unallocateds'!B58,'capacity data'!$E:$E,"PO",'capacity data'!$F:$F,"&gt;110%")</f>
        <v>0</v>
      </c>
      <c r="E58" s="66" t="str">
        <f t="shared" si="4"/>
        <v/>
      </c>
      <c r="F58" s="75">
        <f>COUNTIFS('capacity data'!$B:$B,'cluster capacity, unallocateds'!B58,'capacity data'!$E:$E,"PSO")</f>
        <v>0</v>
      </c>
      <c r="G58" s="75">
        <f>COUNTIFS('capacity data'!$B:$B,'cluster capacity, unallocateds'!B58,'capacity data'!$E:$E,"PSO",'capacity data'!$F:$F,"&gt;110%")</f>
        <v>0</v>
      </c>
      <c r="H58" s="66" t="str">
        <f t="shared" si="5"/>
        <v/>
      </c>
      <c r="I58" s="75">
        <f>COUNTIFS('capacity data'!$B:$B,'cluster capacity, unallocateds'!B58,'capacity data'!$E:$E,"PSO",'capacity data'!$F:$F,"&lt;90%")</f>
        <v>0</v>
      </c>
      <c r="J58" s="66" t="str">
        <f t="shared" si="6"/>
        <v/>
      </c>
      <c r="K58" s="75">
        <f>COUNTIFS('capacity data'!$B:$B,'cluster capacity, unallocateds'!B58,'capacity data'!$E:$E,"TPO")</f>
        <v>0</v>
      </c>
      <c r="L58" s="75">
        <f>COUNTIFS('capacity data'!$B:$B,'cluster capacity, unallocateds'!B58,'capacity data'!$E:$E,"TPO",'capacity data'!$F:$F,"&gt;110%")</f>
        <v>0</v>
      </c>
      <c r="M58" s="66" t="str">
        <f t="shared" si="7"/>
        <v/>
      </c>
      <c r="N58" s="2"/>
      <c r="O58" s="2"/>
      <c r="P58" s="2"/>
      <c r="Q58" s="2"/>
      <c r="R58" s="2"/>
      <c r="S58" s="2"/>
      <c r="T58" s="2"/>
      <c r="U58" s="2"/>
      <c r="V58" s="2"/>
      <c r="W58" s="1"/>
    </row>
    <row r="59" spans="1:23" ht="16" x14ac:dyDescent="0.2">
      <c r="A59" s="10"/>
      <c r="B59" s="62">
        <f>HLOOKUP($B$4,Region_Table,23,0)</f>
        <v>0</v>
      </c>
      <c r="C59" s="75">
        <f>COUNTIFS('capacity data'!$B:$B,'cluster capacity, unallocateds'!B59,'capacity data'!$E:$E,"PO")</f>
        <v>0</v>
      </c>
      <c r="D59" s="75">
        <f>COUNTIFS('capacity data'!$B:$B,'cluster capacity, unallocateds'!B59,'capacity data'!$E:$E,"PO",'capacity data'!$F:$F,"&gt;110%")</f>
        <v>0</v>
      </c>
      <c r="E59" s="66" t="str">
        <f t="shared" si="4"/>
        <v/>
      </c>
      <c r="F59" s="75">
        <f>COUNTIFS('capacity data'!$B:$B,'cluster capacity, unallocateds'!B59,'capacity data'!$E:$E,"PSO")</f>
        <v>0</v>
      </c>
      <c r="G59" s="75">
        <f>COUNTIFS('capacity data'!$B:$B,'cluster capacity, unallocateds'!B59,'capacity data'!$E:$E,"PSO",'capacity data'!$F:$F,"&gt;110%")</f>
        <v>0</v>
      </c>
      <c r="H59" s="66" t="str">
        <f t="shared" si="5"/>
        <v/>
      </c>
      <c r="I59" s="75">
        <f>COUNTIFS('capacity data'!$B:$B,'cluster capacity, unallocateds'!B59,'capacity data'!$E:$E,"PSO",'capacity data'!$F:$F,"&lt;90%")</f>
        <v>0</v>
      </c>
      <c r="J59" s="66" t="str">
        <f t="shared" si="6"/>
        <v/>
      </c>
      <c r="K59" s="75">
        <f>COUNTIFS('capacity data'!$B:$B,'cluster capacity, unallocateds'!B59,'capacity data'!$E:$E,"TPO")</f>
        <v>0</v>
      </c>
      <c r="L59" s="75">
        <f>COUNTIFS('capacity data'!$B:$B,'cluster capacity, unallocateds'!B59,'capacity data'!$E:$E,"TPO",'capacity data'!$F:$F,"&gt;110%")</f>
        <v>0</v>
      </c>
      <c r="M59" s="66" t="str">
        <f t="shared" si="7"/>
        <v/>
      </c>
      <c r="N59" s="2"/>
      <c r="O59" s="2"/>
      <c r="P59" s="2"/>
      <c r="Q59" s="2"/>
      <c r="R59" s="2"/>
      <c r="S59" s="2"/>
      <c r="T59" s="2"/>
      <c r="U59" s="2"/>
      <c r="V59" s="2"/>
      <c r="W59" s="1"/>
    </row>
    <row r="60" spans="1:23" ht="16" x14ac:dyDescent="0.2">
      <c r="A60" s="10"/>
      <c r="B60" s="62">
        <f>HLOOKUP($B$4,Region_Table,24,0)</f>
        <v>0</v>
      </c>
      <c r="C60" s="75">
        <f>COUNTIFS('capacity data'!$B:$B,'cluster capacity, unallocateds'!B60,'capacity data'!$E:$E,"PO")</f>
        <v>0</v>
      </c>
      <c r="D60" s="75">
        <f>COUNTIFS('capacity data'!$B:$B,'cluster capacity, unallocateds'!B60,'capacity data'!$E:$E,"PO",'capacity data'!$F:$F,"&gt;110%")</f>
        <v>0</v>
      </c>
      <c r="E60" s="66" t="str">
        <f t="shared" si="4"/>
        <v/>
      </c>
      <c r="F60" s="75">
        <f>COUNTIFS('capacity data'!$B:$B,'cluster capacity, unallocateds'!B60,'capacity data'!$E:$E,"PSO")</f>
        <v>0</v>
      </c>
      <c r="G60" s="75">
        <f>COUNTIFS('capacity data'!$B:$B,'cluster capacity, unallocateds'!B60,'capacity data'!$E:$E,"PSO",'capacity data'!$F:$F,"&gt;110%")</f>
        <v>0</v>
      </c>
      <c r="H60" s="66" t="str">
        <f t="shared" si="5"/>
        <v/>
      </c>
      <c r="I60" s="75">
        <f>COUNTIFS('capacity data'!$B:$B,'cluster capacity, unallocateds'!B60,'capacity data'!$E:$E,"PSO",'capacity data'!$F:$F,"&lt;90%")</f>
        <v>0</v>
      </c>
      <c r="J60" s="66" t="str">
        <f t="shared" si="6"/>
        <v/>
      </c>
      <c r="K60" s="75">
        <f>COUNTIFS('capacity data'!$B:$B,'cluster capacity, unallocateds'!B60,'capacity data'!$E:$E,"TPO")</f>
        <v>0</v>
      </c>
      <c r="L60" s="75">
        <f>COUNTIFS('capacity data'!$B:$B,'cluster capacity, unallocateds'!B60,'capacity data'!$E:$E,"TPO",'capacity data'!$F:$F,"&gt;110%")</f>
        <v>0</v>
      </c>
      <c r="M60" s="66" t="str">
        <f t="shared" si="7"/>
        <v/>
      </c>
      <c r="N60" s="2"/>
      <c r="O60" s="2"/>
      <c r="P60" s="2"/>
      <c r="Q60" s="2"/>
      <c r="R60" s="2"/>
      <c r="S60" s="2"/>
      <c r="T60" s="2"/>
      <c r="U60" s="2"/>
      <c r="V60" s="2"/>
      <c r="W60" s="1"/>
    </row>
    <row r="61" spans="1:23" ht="16" x14ac:dyDescent="0.2">
      <c r="A61" s="10"/>
      <c r="B61" s="62">
        <f>HLOOKUP($B$4,Region_Table,25,0)</f>
        <v>0</v>
      </c>
      <c r="C61" s="75">
        <f>COUNTIFS('capacity data'!$B:$B,'cluster capacity, unallocateds'!B61,'capacity data'!$E:$E,"PO")</f>
        <v>0</v>
      </c>
      <c r="D61" s="75">
        <f>COUNTIFS('capacity data'!$B:$B,'cluster capacity, unallocateds'!B61,'capacity data'!$E:$E,"PO",'capacity data'!$F:$F,"&gt;110%")</f>
        <v>0</v>
      </c>
      <c r="E61" s="66" t="str">
        <f t="shared" si="4"/>
        <v/>
      </c>
      <c r="F61" s="75">
        <f>COUNTIFS('capacity data'!$B:$B,'cluster capacity, unallocateds'!B61,'capacity data'!$E:$E,"PSO")</f>
        <v>0</v>
      </c>
      <c r="G61" s="75">
        <f>COUNTIFS('capacity data'!$B:$B,'cluster capacity, unallocateds'!B61,'capacity data'!$E:$E,"PSO",'capacity data'!$F:$F,"&gt;110%")</f>
        <v>0</v>
      </c>
      <c r="H61" s="66" t="str">
        <f t="shared" si="5"/>
        <v/>
      </c>
      <c r="I61" s="75">
        <f>COUNTIFS('capacity data'!$B:$B,'cluster capacity, unallocateds'!B61,'capacity data'!$E:$E,"PSO",'capacity data'!$F:$F,"&lt;90%")</f>
        <v>0</v>
      </c>
      <c r="J61" s="66" t="str">
        <f t="shared" si="6"/>
        <v/>
      </c>
      <c r="K61" s="75">
        <f>COUNTIFS('capacity data'!$B:$B,'cluster capacity, unallocateds'!B61,'capacity data'!$E:$E,"TPO")</f>
        <v>0</v>
      </c>
      <c r="L61" s="75">
        <f>COUNTIFS('capacity data'!$B:$B,'cluster capacity, unallocateds'!B61,'capacity data'!$E:$E,"TPO",'capacity data'!$F:$F,"&gt;110%")</f>
        <v>0</v>
      </c>
      <c r="M61" s="66" t="str">
        <f t="shared" si="7"/>
        <v/>
      </c>
      <c r="N61" s="2"/>
      <c r="O61" s="2"/>
      <c r="P61" s="2"/>
      <c r="Q61" s="2"/>
      <c r="R61" s="2"/>
      <c r="S61" s="2"/>
      <c r="T61" s="2"/>
      <c r="U61" s="2"/>
      <c r="V61" s="2"/>
      <c r="W61" s="1"/>
    </row>
    <row r="62" spans="1:23" ht="16" x14ac:dyDescent="0.2">
      <c r="A62" s="10"/>
      <c r="B62" s="62">
        <f>HLOOKUP($B$4,Region_Table,26,0)</f>
        <v>0</v>
      </c>
      <c r="C62" s="75">
        <f>COUNTIFS('capacity data'!$B:$B,'cluster capacity, unallocateds'!B62,'capacity data'!$E:$E,"PO")</f>
        <v>0</v>
      </c>
      <c r="D62" s="75">
        <f>COUNTIFS('capacity data'!$B:$B,'cluster capacity, unallocateds'!B62,'capacity data'!$E:$E,"PO",'capacity data'!$F:$F,"&gt;110%")</f>
        <v>0</v>
      </c>
      <c r="E62" s="66" t="str">
        <f t="shared" si="4"/>
        <v/>
      </c>
      <c r="F62" s="75">
        <f>COUNTIFS('capacity data'!$B:$B,'cluster capacity, unallocateds'!B62,'capacity data'!$E:$E,"PSO")</f>
        <v>0</v>
      </c>
      <c r="G62" s="75">
        <f>COUNTIFS('capacity data'!$B:$B,'cluster capacity, unallocateds'!B62,'capacity data'!$E:$E,"PSO",'capacity data'!$F:$F,"&gt;110%")</f>
        <v>0</v>
      </c>
      <c r="H62" s="66" t="str">
        <f t="shared" si="5"/>
        <v/>
      </c>
      <c r="I62" s="75">
        <f>COUNTIFS('capacity data'!$B:$B,'cluster capacity, unallocateds'!B62,'capacity data'!$E:$E,"PSO",'capacity data'!$F:$F,"&lt;90%")</f>
        <v>0</v>
      </c>
      <c r="J62" s="66" t="str">
        <f t="shared" si="6"/>
        <v/>
      </c>
      <c r="K62" s="75">
        <f>COUNTIFS('capacity data'!$B:$B,'cluster capacity, unallocateds'!B62,'capacity data'!$E:$E,"TPO")</f>
        <v>0</v>
      </c>
      <c r="L62" s="75">
        <f>COUNTIFS('capacity data'!$B:$B,'cluster capacity, unallocateds'!B62,'capacity data'!$E:$E,"TPO",'capacity data'!$F:$F,"&gt;110%")</f>
        <v>0</v>
      </c>
      <c r="M62" s="66" t="str">
        <f t="shared" si="7"/>
        <v/>
      </c>
      <c r="N62" s="2"/>
      <c r="O62" s="2"/>
      <c r="P62" s="2"/>
      <c r="Q62" s="2"/>
      <c r="R62" s="2"/>
      <c r="S62" s="2"/>
      <c r="T62" s="2"/>
      <c r="U62" s="2"/>
      <c r="V62" s="2"/>
      <c r="W62" s="1"/>
    </row>
    <row r="63" spans="1:23" ht="16" x14ac:dyDescent="0.2">
      <c r="A63" s="10"/>
      <c r="B63" s="62">
        <f>HLOOKUP($B$4,Region_Table,27,0)</f>
        <v>0</v>
      </c>
      <c r="C63" s="75">
        <f>COUNTIFS('capacity data'!$B:$B,'cluster capacity, unallocateds'!B63,'capacity data'!$E:$E,"PO")</f>
        <v>0</v>
      </c>
      <c r="D63" s="75">
        <f>COUNTIFS('capacity data'!$B:$B,'cluster capacity, unallocateds'!B63,'capacity data'!$E:$E,"PO",'capacity data'!$F:$F,"&gt;110%")</f>
        <v>0</v>
      </c>
      <c r="E63" s="66" t="str">
        <f t="shared" si="4"/>
        <v/>
      </c>
      <c r="F63" s="75">
        <f>COUNTIFS('capacity data'!$B:$B,'cluster capacity, unallocateds'!B63,'capacity data'!$E:$E,"PSO")</f>
        <v>0</v>
      </c>
      <c r="G63" s="75">
        <f>COUNTIFS('capacity data'!$B:$B,'cluster capacity, unallocateds'!B63,'capacity data'!$E:$E,"PSO",'capacity data'!$F:$F,"&gt;110%")</f>
        <v>0</v>
      </c>
      <c r="H63" s="66" t="str">
        <f t="shared" si="5"/>
        <v/>
      </c>
      <c r="I63" s="75">
        <f>COUNTIFS('capacity data'!$B:$B,'cluster capacity, unallocateds'!B63,'capacity data'!$E:$E,"PSO",'capacity data'!$F:$F,"&lt;90%")</f>
        <v>0</v>
      </c>
      <c r="J63" s="66" t="str">
        <f t="shared" si="6"/>
        <v/>
      </c>
      <c r="K63" s="75">
        <f>COUNTIFS('capacity data'!$B:$B,'cluster capacity, unallocateds'!B63,'capacity data'!$E:$E,"TPO")</f>
        <v>0</v>
      </c>
      <c r="L63" s="75">
        <f>COUNTIFS('capacity data'!$B:$B,'cluster capacity, unallocateds'!B63,'capacity data'!$E:$E,"TPO",'capacity data'!$F:$F,"&gt;110%")</f>
        <v>0</v>
      </c>
      <c r="M63" s="66" t="str">
        <f t="shared" si="7"/>
        <v/>
      </c>
      <c r="N63" s="2"/>
      <c r="O63" s="2"/>
      <c r="P63" s="2"/>
      <c r="Q63" s="2"/>
      <c r="R63" s="2"/>
      <c r="S63" s="2"/>
      <c r="T63" s="2"/>
      <c r="U63" s="2"/>
      <c r="V63" s="2"/>
      <c r="W63" s="1"/>
    </row>
    <row r="64" spans="1:23" ht="16" x14ac:dyDescent="0.2">
      <c r="A64" s="10"/>
      <c r="B64" s="62">
        <f>HLOOKUP($B$4,Region_Table,28,0)</f>
        <v>0</v>
      </c>
      <c r="C64" s="75">
        <f>COUNTIFS('capacity data'!$B:$B,'cluster capacity, unallocateds'!B64,'capacity data'!$E:$E,"PO")</f>
        <v>0</v>
      </c>
      <c r="D64" s="75">
        <f>COUNTIFS('capacity data'!$B:$B,'cluster capacity, unallocateds'!B64,'capacity data'!$E:$E,"PO",'capacity data'!$F:$F,"&gt;110%")</f>
        <v>0</v>
      </c>
      <c r="E64" s="66" t="str">
        <f t="shared" si="4"/>
        <v/>
      </c>
      <c r="F64" s="75">
        <f>COUNTIFS('capacity data'!$B:$B,'cluster capacity, unallocateds'!B64,'capacity data'!$E:$E,"PSO")</f>
        <v>0</v>
      </c>
      <c r="G64" s="75">
        <f>COUNTIFS('capacity data'!$B:$B,'cluster capacity, unallocateds'!B64,'capacity data'!$E:$E,"PSO",'capacity data'!$F:$F,"&gt;110%")</f>
        <v>0</v>
      </c>
      <c r="H64" s="66" t="str">
        <f t="shared" si="5"/>
        <v/>
      </c>
      <c r="I64" s="75">
        <f>COUNTIFS('capacity data'!$B:$B,'cluster capacity, unallocateds'!B64,'capacity data'!$E:$E,"PSO",'capacity data'!$F:$F,"&lt;90%")</f>
        <v>0</v>
      </c>
      <c r="J64" s="66" t="str">
        <f t="shared" si="6"/>
        <v/>
      </c>
      <c r="K64" s="75">
        <f>COUNTIFS('capacity data'!$B:$B,'cluster capacity, unallocateds'!B64,'capacity data'!$E:$E,"TPO")</f>
        <v>0</v>
      </c>
      <c r="L64" s="75">
        <f>COUNTIFS('capacity data'!$B:$B,'cluster capacity, unallocateds'!B64,'capacity data'!$E:$E,"TPO",'capacity data'!$F:$F,"&gt;110%")</f>
        <v>0</v>
      </c>
      <c r="M64" s="66" t="str">
        <f t="shared" si="7"/>
        <v/>
      </c>
      <c r="N64" s="2"/>
      <c r="O64" s="2"/>
      <c r="P64" s="2"/>
      <c r="Q64" s="2"/>
      <c r="R64" s="2"/>
      <c r="S64" s="2"/>
      <c r="T64" s="2"/>
      <c r="U64" s="2"/>
      <c r="V64" s="2"/>
      <c r="W64" s="1"/>
    </row>
    <row r="65" spans="1:23" ht="55.5" customHeight="1" x14ac:dyDescent="0.2">
      <c r="A65" s="10"/>
      <c r="B65" s="1"/>
      <c r="C65" s="562"/>
      <c r="D65" s="563"/>
      <c r="E65" s="563"/>
      <c r="F65" s="563"/>
      <c r="G65" s="563"/>
      <c r="H65" s="563"/>
      <c r="I65" s="563"/>
      <c r="J65" s="563"/>
      <c r="K65" s="563"/>
      <c r="L65" s="2"/>
      <c r="M65" s="2"/>
      <c r="N65" s="2"/>
      <c r="O65" s="2"/>
      <c r="P65" s="2"/>
      <c r="Q65" s="2"/>
      <c r="R65" s="2"/>
      <c r="S65" s="2"/>
      <c r="T65" s="2"/>
      <c r="U65" s="2"/>
      <c r="V65" s="2"/>
      <c r="W65" s="1"/>
    </row>
    <row r="66" spans="1:23" ht="72.75" customHeight="1" x14ac:dyDescent="0.2">
      <c r="A66" s="10"/>
      <c r="B66" s="219" t="s">
        <v>1045</v>
      </c>
      <c r="C66" s="219" t="s">
        <v>919</v>
      </c>
      <c r="D66" s="219" t="s">
        <v>920</v>
      </c>
      <c r="E66" s="219" t="s">
        <v>921</v>
      </c>
      <c r="F66" s="219" t="s">
        <v>922</v>
      </c>
      <c r="G66" s="219" t="s">
        <v>923</v>
      </c>
      <c r="H66" s="219" t="s">
        <v>924</v>
      </c>
      <c r="I66" s="219" t="s">
        <v>925</v>
      </c>
      <c r="J66" s="219" t="s">
        <v>926</v>
      </c>
      <c r="K66" s="219" t="s">
        <v>927</v>
      </c>
      <c r="O66" s="2"/>
      <c r="P66" s="2"/>
      <c r="Q66" s="2"/>
      <c r="R66" s="2"/>
      <c r="S66" s="2"/>
      <c r="T66" s="2"/>
      <c r="U66" s="2"/>
      <c r="V66" s="2"/>
      <c r="W66" s="1"/>
    </row>
    <row r="67" spans="1:23" ht="16" x14ac:dyDescent="0.2">
      <c r="A67" s="10"/>
      <c r="B67" s="154" t="s">
        <v>997</v>
      </c>
      <c r="C67" s="161">
        <f>SUMIF('capacity data'!E:E,"PO",'capacity data'!I:I)</f>
        <v>0</v>
      </c>
      <c r="D67" s="161">
        <f>SUMIF('capacity data'!E:E,"PO",'capacity data'!J:J)</f>
        <v>0</v>
      </c>
      <c r="E67" s="162" t="e">
        <f>D67/C67</f>
        <v>#DIV/0!</v>
      </c>
      <c r="F67" s="161">
        <f>SUMIF('capacity data'!E:E,"PSO",'capacity data'!I:I)</f>
        <v>0</v>
      </c>
      <c r="G67" s="161">
        <f>SUMIF('capacity data'!E:E,"PSO",'capacity data'!J:J)</f>
        <v>0</v>
      </c>
      <c r="H67" s="162" t="e">
        <f>G67/F67</f>
        <v>#DIV/0!</v>
      </c>
      <c r="I67" s="161">
        <f>SUMIF('capacity data'!E:E,"TPO",'capacity data'!I:I)</f>
        <v>0</v>
      </c>
      <c r="J67" s="161">
        <f>SUMIF('capacity data'!E:E,"TPO",'capacity data'!J:J)</f>
        <v>0</v>
      </c>
      <c r="K67" s="162" t="e">
        <f>J67/I67</f>
        <v>#DIV/0!</v>
      </c>
      <c r="O67" s="2"/>
      <c r="P67" s="2"/>
      <c r="Q67" s="2"/>
      <c r="R67" s="2"/>
      <c r="S67" s="2"/>
      <c r="T67" s="2"/>
      <c r="U67" s="2"/>
      <c r="V67" s="2"/>
      <c r="W67" s="1"/>
    </row>
    <row r="68" spans="1:23" ht="16" x14ac:dyDescent="0.2">
      <c r="A68" s="10"/>
      <c r="B68" s="62" t="str">
        <f>HLOOKUP($B$4,Region_Table,2,0)</f>
        <v>All East Midlands Region</v>
      </c>
      <c r="C68" s="94">
        <f>SUMIFS('capacity data'!I:I,'capacity data'!E:E,"PO",'capacity data'!B:B,'cluster capacity, unallocateds'!B68)</f>
        <v>0</v>
      </c>
      <c r="D68" s="94">
        <f>SUMIFS('capacity data'!J:J,'capacity data'!E:E,"PO",'capacity data'!B:B,'cluster capacity, unallocateds'!B68)</f>
        <v>0</v>
      </c>
      <c r="E68" s="162" t="str">
        <f>IFERROR(D68/C68,"")</f>
        <v/>
      </c>
      <c r="F68" s="94">
        <f>SUMIFS('capacity data'!I:I,'capacity data'!E:E,"PSO",'capacity data'!B:B,'cluster capacity, unallocateds'!B68)</f>
        <v>0</v>
      </c>
      <c r="G68" s="94">
        <f>SUMIFS('capacity data'!J:J,'capacity data'!E:E,"PSO",'capacity data'!B:B,'cluster capacity, unallocateds'!B68)</f>
        <v>0</v>
      </c>
      <c r="H68" s="162" t="str">
        <f>IFERROR(G68/F68,"")</f>
        <v/>
      </c>
      <c r="I68" s="94">
        <f>SUMIFS('capacity data'!I:I,'capacity data'!E:E,"TPO",'capacity data'!B:B,'cluster capacity, unallocateds'!B68)</f>
        <v>0</v>
      </c>
      <c r="J68" s="94">
        <f>SUMIFS('capacity data'!J:J,'capacity data'!E:E,"TPO",'capacity data'!B:B,'cluster capacity, unallocateds'!B68)</f>
        <v>0</v>
      </c>
      <c r="K68" s="162" t="str">
        <f>IFERROR(J68/I68,"")</f>
        <v/>
      </c>
      <c r="O68" s="2"/>
      <c r="P68" s="2"/>
      <c r="Q68" s="2"/>
      <c r="R68" s="2"/>
      <c r="S68" s="2"/>
      <c r="T68" s="2"/>
      <c r="U68" s="2"/>
      <c r="V68" s="2"/>
      <c r="W68" s="1"/>
    </row>
    <row r="69" spans="1:23" ht="16" x14ac:dyDescent="0.2">
      <c r="A69" s="10"/>
      <c r="B69" s="62" t="str">
        <f>HLOOKUP($B$4,Region_Table,3,0)</f>
        <v>Derby City - N53</v>
      </c>
      <c r="C69" s="94">
        <f>SUMIFS('capacity data'!I:I,'capacity data'!E:E,"PO",'capacity data'!B:B,'cluster capacity, unallocateds'!B69)</f>
        <v>0</v>
      </c>
      <c r="D69" s="94">
        <f>SUMIFS('capacity data'!J:J,'capacity data'!E:E,"PO",'capacity data'!B:B,'cluster capacity, unallocateds'!B69)</f>
        <v>0</v>
      </c>
      <c r="E69" s="162" t="str">
        <f t="shared" ref="E69:E83" si="8">IFERROR(D69/C69,"")</f>
        <v/>
      </c>
      <c r="F69" s="94">
        <f>SUMIFS('capacity data'!I:I,'capacity data'!E:E,"PSO",'capacity data'!B:B,'cluster capacity, unallocateds'!B69)</f>
        <v>0</v>
      </c>
      <c r="G69" s="94">
        <f>SUMIFS('capacity data'!J:J,'capacity data'!E:E,"PSO",'capacity data'!B:B,'cluster capacity, unallocateds'!B69)</f>
        <v>0</v>
      </c>
      <c r="H69" s="162" t="str">
        <f t="shared" ref="H69:H83" si="9">IFERROR(G69/F69,"")</f>
        <v/>
      </c>
      <c r="I69" s="94">
        <f>SUMIFS('capacity data'!I:I,'capacity data'!E:E,"TPO",'capacity data'!B:B,'cluster capacity, unallocateds'!B69)</f>
        <v>0</v>
      </c>
      <c r="J69" s="94">
        <f>SUMIFS('capacity data'!J:J,'capacity data'!E:E,"TPO",'capacity data'!B:B,'cluster capacity, unallocateds'!B69)</f>
        <v>0</v>
      </c>
      <c r="K69" s="162" t="str">
        <f t="shared" ref="K69:K83" si="10">IFERROR(J69/I69,"")</f>
        <v/>
      </c>
      <c r="O69" s="2"/>
      <c r="P69" s="2"/>
      <c r="Q69" s="2"/>
      <c r="R69" s="2"/>
      <c r="S69" s="2"/>
      <c r="T69" s="2"/>
      <c r="U69" s="2"/>
      <c r="V69" s="2"/>
      <c r="W69" s="1"/>
    </row>
    <row r="70" spans="1:23" x14ac:dyDescent="0.15">
      <c r="B70" s="62" t="str">
        <f>HLOOKUP($B$4,Region_Table,4,0)</f>
        <v>Derbyshire - N53</v>
      </c>
      <c r="C70" s="94">
        <f>SUMIFS('capacity data'!I:I,'capacity data'!E:E,"PO",'capacity data'!B:B,'cluster capacity, unallocateds'!B70)</f>
        <v>0</v>
      </c>
      <c r="D70" s="94">
        <f>SUMIFS('capacity data'!J:J,'capacity data'!E:E,"PO",'capacity data'!B:B,'cluster capacity, unallocateds'!B70)</f>
        <v>0</v>
      </c>
      <c r="E70" s="162" t="str">
        <f t="shared" si="8"/>
        <v/>
      </c>
      <c r="F70" s="94">
        <f>SUMIFS('capacity data'!I:I,'capacity data'!E:E,"PSO",'capacity data'!B:B,'cluster capacity, unallocateds'!B70)</f>
        <v>0</v>
      </c>
      <c r="G70" s="94">
        <f>SUMIFS('capacity data'!J:J,'capacity data'!E:E,"PSO",'capacity data'!B:B,'cluster capacity, unallocateds'!B70)</f>
        <v>0</v>
      </c>
      <c r="H70" s="162" t="str">
        <f t="shared" si="9"/>
        <v/>
      </c>
      <c r="I70" s="94">
        <f>SUMIFS('capacity data'!I:I,'capacity data'!E:E,"TPO",'capacity data'!B:B,'cluster capacity, unallocateds'!B70)</f>
        <v>0</v>
      </c>
      <c r="J70" s="94">
        <f>SUMIFS('capacity data'!J:J,'capacity data'!E:E,"TPO",'capacity data'!B:B,'cluster capacity, unallocateds'!B70)</f>
        <v>0</v>
      </c>
      <c r="K70" s="162" t="str">
        <f t="shared" si="10"/>
        <v/>
      </c>
    </row>
    <row r="71" spans="1:23" x14ac:dyDescent="0.15">
      <c r="B71" s="62" t="str">
        <f>HLOOKUP($B$4,Region_Table,5,0)</f>
        <v>Leicester, Leicestershire and Rutland</v>
      </c>
      <c r="C71" s="94">
        <f>SUMIFS('capacity data'!I:I,'capacity data'!E:E,"PO",'capacity data'!B:B,'cluster capacity, unallocateds'!B71)</f>
        <v>0</v>
      </c>
      <c r="D71" s="94">
        <f>SUMIFS('capacity data'!J:J,'capacity data'!E:E,"PO",'capacity data'!B:B,'cluster capacity, unallocateds'!B71)</f>
        <v>0</v>
      </c>
      <c r="E71" s="162" t="str">
        <f t="shared" si="8"/>
        <v/>
      </c>
      <c r="F71" s="94">
        <f>SUMIFS('capacity data'!I:I,'capacity data'!E:E,"PSO",'capacity data'!B:B,'cluster capacity, unallocateds'!B71)</f>
        <v>0</v>
      </c>
      <c r="G71" s="94">
        <f>SUMIFS('capacity data'!J:J,'capacity data'!E:E,"PSO",'capacity data'!B:B,'cluster capacity, unallocateds'!B71)</f>
        <v>0</v>
      </c>
      <c r="H71" s="162" t="str">
        <f t="shared" si="9"/>
        <v/>
      </c>
      <c r="I71" s="94">
        <f>SUMIFS('capacity data'!I:I,'capacity data'!E:E,"TPO",'capacity data'!B:B,'cluster capacity, unallocateds'!B71)</f>
        <v>0</v>
      </c>
      <c r="J71" s="94">
        <f>SUMIFS('capacity data'!J:J,'capacity data'!E:E,"TPO",'capacity data'!B:B,'cluster capacity, unallocateds'!B71)</f>
        <v>0</v>
      </c>
      <c r="K71" s="162" t="str">
        <f t="shared" si="10"/>
        <v/>
      </c>
    </row>
    <row r="72" spans="1:23" x14ac:dyDescent="0.15">
      <c r="B72" s="62" t="str">
        <f>HLOOKUP($B$4,Region_Table,6,0)</f>
        <v>Lincolnshire East and West - N53</v>
      </c>
      <c r="C72" s="94">
        <f>SUMIFS('capacity data'!I:I,'capacity data'!E:E,"PO",'capacity data'!B:B,'cluster capacity, unallocateds'!B72)</f>
        <v>0</v>
      </c>
      <c r="D72" s="94">
        <f>SUMIFS('capacity data'!J:J,'capacity data'!E:E,"PO",'capacity data'!B:B,'cluster capacity, unallocateds'!B72)</f>
        <v>0</v>
      </c>
      <c r="E72" s="162" t="str">
        <f t="shared" si="8"/>
        <v/>
      </c>
      <c r="F72" s="94">
        <f>SUMIFS('capacity data'!I:I,'capacity data'!E:E,"PSO",'capacity data'!B:B,'cluster capacity, unallocateds'!B72)</f>
        <v>0</v>
      </c>
      <c r="G72" s="94">
        <f>SUMIFS('capacity data'!J:J,'capacity data'!E:E,"PSO",'capacity data'!B:B,'cluster capacity, unallocateds'!B72)</f>
        <v>0</v>
      </c>
      <c r="H72" s="162" t="str">
        <f t="shared" si="9"/>
        <v/>
      </c>
      <c r="I72" s="94">
        <f>SUMIFS('capacity data'!I:I,'capacity data'!E:E,"TPO",'capacity data'!B:B,'cluster capacity, unallocateds'!B72)</f>
        <v>0</v>
      </c>
      <c r="J72" s="94">
        <f>SUMIFS('capacity data'!J:J,'capacity data'!E:E,"TPO",'capacity data'!B:B,'cluster capacity, unallocateds'!B72)</f>
        <v>0</v>
      </c>
      <c r="K72" s="162" t="str">
        <f t="shared" si="10"/>
        <v/>
      </c>
    </row>
    <row r="73" spans="1:23" x14ac:dyDescent="0.15">
      <c r="B73" s="62" t="str">
        <f>HLOOKUP($B$4,Region_Table,7,0)</f>
        <v>Nottingham City</v>
      </c>
      <c r="C73" s="94">
        <f>SUMIFS('capacity data'!I:I,'capacity data'!E:E,"PO",'capacity data'!B:B,'cluster capacity, unallocateds'!B73)</f>
        <v>0</v>
      </c>
      <c r="D73" s="94">
        <f>SUMIFS('capacity data'!J:J,'capacity data'!E:E,"PO",'capacity data'!B:B,'cluster capacity, unallocateds'!B73)</f>
        <v>0</v>
      </c>
      <c r="E73" s="162" t="str">
        <f t="shared" si="8"/>
        <v/>
      </c>
      <c r="F73" s="94">
        <f>SUMIFS('capacity data'!I:I,'capacity data'!E:E,"PSO",'capacity data'!B:B,'cluster capacity, unallocateds'!B73)</f>
        <v>0</v>
      </c>
      <c r="G73" s="94">
        <f>SUMIFS('capacity data'!J:J,'capacity data'!E:E,"PSO",'capacity data'!B:B,'cluster capacity, unallocateds'!B73)</f>
        <v>0</v>
      </c>
      <c r="H73" s="162" t="str">
        <f t="shared" si="9"/>
        <v/>
      </c>
      <c r="I73" s="94">
        <f>SUMIFS('capacity data'!I:I,'capacity data'!E:E,"TPO",'capacity data'!B:B,'cluster capacity, unallocateds'!B73)</f>
        <v>0</v>
      </c>
      <c r="J73" s="94">
        <f>SUMIFS('capacity data'!J:J,'capacity data'!E:E,"TPO",'capacity data'!B:B,'cluster capacity, unallocateds'!B73)</f>
        <v>0</v>
      </c>
      <c r="K73" s="162" t="str">
        <f t="shared" si="10"/>
        <v/>
      </c>
    </row>
    <row r="74" spans="1:23" x14ac:dyDescent="0.15">
      <c r="B74" s="62" t="str">
        <f>HLOOKUP($B$4,Region_Table,8,0)</f>
        <v>Nottinghamshire - N53</v>
      </c>
      <c r="C74" s="94">
        <f>SUMIFS('capacity data'!I:I,'capacity data'!E:E,"PO",'capacity data'!B:B,'cluster capacity, unallocateds'!B74)</f>
        <v>0</v>
      </c>
      <c r="D74" s="94">
        <f>SUMIFS('capacity data'!J:J,'capacity data'!E:E,"PO",'capacity data'!B:B,'cluster capacity, unallocateds'!B74)</f>
        <v>0</v>
      </c>
      <c r="E74" s="162" t="str">
        <f t="shared" si="8"/>
        <v/>
      </c>
      <c r="F74" s="94">
        <f>SUMIFS('capacity data'!I:I,'capacity data'!E:E,"PSO",'capacity data'!B:B,'cluster capacity, unallocateds'!B74)</f>
        <v>0</v>
      </c>
      <c r="G74" s="94">
        <f>SUMIFS('capacity data'!J:J,'capacity data'!E:E,"PSO",'capacity data'!B:B,'cluster capacity, unallocateds'!B74)</f>
        <v>0</v>
      </c>
      <c r="H74" s="162" t="str">
        <f t="shared" si="9"/>
        <v/>
      </c>
      <c r="I74" s="94">
        <f>SUMIFS('capacity data'!I:I,'capacity data'!E:E,"TPO",'capacity data'!B:B,'cluster capacity, unallocateds'!B74)</f>
        <v>0</v>
      </c>
      <c r="J74" s="94">
        <f>SUMIFS('capacity data'!J:J,'capacity data'!E:E,"TPO",'capacity data'!B:B,'cluster capacity, unallocateds'!B74)</f>
        <v>0</v>
      </c>
      <c r="K74" s="162" t="str">
        <f t="shared" si="10"/>
        <v/>
      </c>
    </row>
    <row r="75" spans="1:23" x14ac:dyDescent="0.15">
      <c r="B75" s="62" t="str">
        <f>HLOOKUP($B$4,Region_Table,9,0)</f>
        <v>Unpaid Work and Attendance Centres - N53</v>
      </c>
      <c r="C75" s="94">
        <f>SUMIFS('capacity data'!I:I,'capacity data'!E:E,"PO",'capacity data'!B:B,'cluster capacity, unallocateds'!B75)</f>
        <v>0</v>
      </c>
      <c r="D75" s="94">
        <f>SUMIFS('capacity data'!J:J,'capacity data'!E:E,"PO",'capacity data'!B:B,'cluster capacity, unallocateds'!B75)</f>
        <v>0</v>
      </c>
      <c r="E75" s="162" t="str">
        <f t="shared" si="8"/>
        <v/>
      </c>
      <c r="F75" s="94">
        <f>SUMIFS('capacity data'!I:I,'capacity data'!E:E,"PSO",'capacity data'!B:B,'cluster capacity, unallocateds'!B75)</f>
        <v>0</v>
      </c>
      <c r="G75" s="94">
        <f>SUMIFS('capacity data'!J:J,'capacity data'!E:E,"PSO",'capacity data'!B:B,'cluster capacity, unallocateds'!B75)</f>
        <v>0</v>
      </c>
      <c r="H75" s="162" t="str">
        <f t="shared" si="9"/>
        <v/>
      </c>
      <c r="I75" s="94">
        <f>SUMIFS('capacity data'!I:I,'capacity data'!E:E,"TPO",'capacity data'!B:B,'cluster capacity, unallocateds'!B75)</f>
        <v>0</v>
      </c>
      <c r="J75" s="94">
        <f>SUMIFS('capacity data'!J:J,'capacity data'!E:E,"TPO",'capacity data'!B:B,'cluster capacity, unallocateds'!B75)</f>
        <v>0</v>
      </c>
      <c r="K75" s="162" t="str">
        <f t="shared" si="10"/>
        <v/>
      </c>
    </row>
    <row r="76" spans="1:23" x14ac:dyDescent="0.15">
      <c r="B76" s="62">
        <f>HLOOKUP($B$4,Region_Table,10,0)</f>
        <v>0</v>
      </c>
      <c r="C76" s="94">
        <f>SUMIFS('capacity data'!I:I,'capacity data'!E:E,"PO",'capacity data'!B:B,'cluster capacity, unallocateds'!B76)</f>
        <v>0</v>
      </c>
      <c r="D76" s="94">
        <f>SUMIFS('capacity data'!J:J,'capacity data'!E:E,"PO",'capacity data'!B:B,'cluster capacity, unallocateds'!B76)</f>
        <v>0</v>
      </c>
      <c r="E76" s="162" t="str">
        <f t="shared" si="8"/>
        <v/>
      </c>
      <c r="F76" s="94">
        <f>SUMIFS('capacity data'!I:I,'capacity data'!E:E,"PSO",'capacity data'!B:B,'cluster capacity, unallocateds'!B76)</f>
        <v>0</v>
      </c>
      <c r="G76" s="94">
        <f>SUMIFS('capacity data'!J:J,'capacity data'!E:E,"PSO",'capacity data'!B:B,'cluster capacity, unallocateds'!B76)</f>
        <v>0</v>
      </c>
      <c r="H76" s="162" t="str">
        <f t="shared" si="9"/>
        <v/>
      </c>
      <c r="I76" s="94">
        <f>SUMIFS('capacity data'!I:I,'capacity data'!E:E,"TPO",'capacity data'!B:B,'cluster capacity, unallocateds'!B76)</f>
        <v>0</v>
      </c>
      <c r="J76" s="94">
        <f>SUMIFS('capacity data'!J:J,'capacity data'!E:E,"TPO",'capacity data'!B:B,'cluster capacity, unallocateds'!B76)</f>
        <v>0</v>
      </c>
      <c r="K76" s="162" t="str">
        <f t="shared" si="10"/>
        <v/>
      </c>
    </row>
    <row r="77" spans="1:23" x14ac:dyDescent="0.15">
      <c r="B77" s="62">
        <f>HLOOKUP($B$4,Region_Table,11,0)</f>
        <v>0</v>
      </c>
      <c r="C77" s="94">
        <f>SUMIFS('capacity data'!I:I,'capacity data'!E:E,"PO",'capacity data'!B:B,'cluster capacity, unallocateds'!B77)</f>
        <v>0</v>
      </c>
      <c r="D77" s="94">
        <f>SUMIFS('capacity data'!J:J,'capacity data'!E:E,"PO",'capacity data'!B:B,'cluster capacity, unallocateds'!B77)</f>
        <v>0</v>
      </c>
      <c r="E77" s="162" t="str">
        <f t="shared" si="8"/>
        <v/>
      </c>
      <c r="F77" s="94">
        <f>SUMIFS('capacity data'!I:I,'capacity data'!E:E,"PSO",'capacity data'!B:B,'cluster capacity, unallocateds'!B77)</f>
        <v>0</v>
      </c>
      <c r="G77" s="94">
        <f>SUMIFS('capacity data'!J:J,'capacity data'!E:E,"PSO",'capacity data'!B:B,'cluster capacity, unallocateds'!B77)</f>
        <v>0</v>
      </c>
      <c r="H77" s="162" t="str">
        <f t="shared" si="9"/>
        <v/>
      </c>
      <c r="I77" s="94">
        <f>SUMIFS('capacity data'!I:I,'capacity data'!E:E,"TPO",'capacity data'!B:B,'cluster capacity, unallocateds'!B77)</f>
        <v>0</v>
      </c>
      <c r="J77" s="94">
        <f>SUMIFS('capacity data'!J:J,'capacity data'!E:E,"TPO",'capacity data'!B:B,'cluster capacity, unallocateds'!B77)</f>
        <v>0</v>
      </c>
      <c r="K77" s="162" t="str">
        <f t="shared" si="10"/>
        <v/>
      </c>
    </row>
    <row r="78" spans="1:23" x14ac:dyDescent="0.15">
      <c r="B78" s="62">
        <f>HLOOKUP($B$4,Region_Table,12,0)</f>
        <v>0</v>
      </c>
      <c r="C78" s="94">
        <f>SUMIFS('capacity data'!I:I,'capacity data'!E:E,"PO",'capacity data'!B:B,'cluster capacity, unallocateds'!B78)</f>
        <v>0</v>
      </c>
      <c r="D78" s="94">
        <f>SUMIFS('capacity data'!J:J,'capacity data'!E:E,"PO",'capacity data'!B:B,'cluster capacity, unallocateds'!B78)</f>
        <v>0</v>
      </c>
      <c r="E78" s="162" t="str">
        <f t="shared" si="8"/>
        <v/>
      </c>
      <c r="F78" s="94">
        <f>SUMIFS('capacity data'!I:I,'capacity data'!E:E,"PSO",'capacity data'!B:B,'cluster capacity, unallocateds'!B78)</f>
        <v>0</v>
      </c>
      <c r="G78" s="94">
        <f>SUMIFS('capacity data'!J:J,'capacity data'!E:E,"PSO",'capacity data'!B:B,'cluster capacity, unallocateds'!B78)</f>
        <v>0</v>
      </c>
      <c r="H78" s="162" t="str">
        <f t="shared" si="9"/>
        <v/>
      </c>
      <c r="I78" s="94">
        <f>SUMIFS('capacity data'!I:I,'capacity data'!E:E,"TPO",'capacity data'!B:B,'cluster capacity, unallocateds'!B78)</f>
        <v>0</v>
      </c>
      <c r="J78" s="94">
        <f>SUMIFS('capacity data'!J:J,'capacity data'!E:E,"TPO",'capacity data'!B:B,'cluster capacity, unallocateds'!B78)</f>
        <v>0</v>
      </c>
      <c r="K78" s="162" t="str">
        <f t="shared" si="10"/>
        <v/>
      </c>
    </row>
    <row r="79" spans="1:23" x14ac:dyDescent="0.15">
      <c r="B79" s="62">
        <f>HLOOKUP($B$4,Region_Table,13,0)</f>
        <v>0</v>
      </c>
      <c r="C79" s="94">
        <f>SUMIFS('capacity data'!I:I,'capacity data'!E:E,"PO",'capacity data'!B:B,'cluster capacity, unallocateds'!B79)</f>
        <v>0</v>
      </c>
      <c r="D79" s="94">
        <f>SUMIFS('capacity data'!J:J,'capacity data'!E:E,"PO",'capacity data'!B:B,'cluster capacity, unallocateds'!B79)</f>
        <v>0</v>
      </c>
      <c r="E79" s="162" t="str">
        <f t="shared" si="8"/>
        <v/>
      </c>
      <c r="F79" s="94">
        <f>SUMIFS('capacity data'!I:I,'capacity data'!E:E,"PSO",'capacity data'!B:B,'cluster capacity, unallocateds'!B79)</f>
        <v>0</v>
      </c>
      <c r="G79" s="94">
        <f>SUMIFS('capacity data'!J:J,'capacity data'!E:E,"PSO",'capacity data'!B:B,'cluster capacity, unallocateds'!B79)</f>
        <v>0</v>
      </c>
      <c r="H79" s="162" t="str">
        <f t="shared" si="9"/>
        <v/>
      </c>
      <c r="I79" s="94">
        <f>SUMIFS('capacity data'!I:I,'capacity data'!E:E,"TPO",'capacity data'!B:B,'cluster capacity, unallocateds'!B79)</f>
        <v>0</v>
      </c>
      <c r="J79" s="94">
        <f>SUMIFS('capacity data'!J:J,'capacity data'!E:E,"TPO",'capacity data'!B:B,'cluster capacity, unallocateds'!B79)</f>
        <v>0</v>
      </c>
      <c r="K79" s="162" t="str">
        <f t="shared" si="10"/>
        <v/>
      </c>
    </row>
    <row r="80" spans="1:23" x14ac:dyDescent="0.15">
      <c r="B80" s="62">
        <f>HLOOKUP($B$4,Region_Table,14,0)</f>
        <v>0</v>
      </c>
      <c r="C80" s="94">
        <f>SUMIFS('capacity data'!I:I,'capacity data'!E:E,"PO",'capacity data'!B:B,'cluster capacity, unallocateds'!B80)</f>
        <v>0</v>
      </c>
      <c r="D80" s="94">
        <f>SUMIFS('capacity data'!J:J,'capacity data'!E:E,"PO",'capacity data'!B:B,'cluster capacity, unallocateds'!B80)</f>
        <v>0</v>
      </c>
      <c r="E80" s="162" t="str">
        <f t="shared" si="8"/>
        <v/>
      </c>
      <c r="F80" s="94">
        <f>SUMIFS('capacity data'!I:I,'capacity data'!E:E,"PSO",'capacity data'!B:B,'cluster capacity, unallocateds'!B80)</f>
        <v>0</v>
      </c>
      <c r="G80" s="94">
        <f>SUMIFS('capacity data'!J:J,'capacity data'!E:E,"PSO",'capacity data'!B:B,'cluster capacity, unallocateds'!B80)</f>
        <v>0</v>
      </c>
      <c r="H80" s="162" t="str">
        <f t="shared" si="9"/>
        <v/>
      </c>
      <c r="I80" s="94">
        <f>SUMIFS('capacity data'!I:I,'capacity data'!E:E,"TPO",'capacity data'!B:B,'cluster capacity, unallocateds'!B80)</f>
        <v>0</v>
      </c>
      <c r="J80" s="94">
        <f>SUMIFS('capacity data'!J:J,'capacity data'!E:E,"TPO",'capacity data'!B:B,'cluster capacity, unallocateds'!B80)</f>
        <v>0</v>
      </c>
      <c r="K80" s="162" t="str">
        <f t="shared" si="10"/>
        <v/>
      </c>
    </row>
    <row r="81" spans="2:11" x14ac:dyDescent="0.15">
      <c r="B81" s="62">
        <f>HLOOKUP($B$4,Region_Table,15,0)</f>
        <v>0</v>
      </c>
      <c r="C81" s="94">
        <f>SUMIFS('capacity data'!I:I,'capacity data'!E:E,"PO",'capacity data'!B:B,'cluster capacity, unallocateds'!B81)</f>
        <v>0</v>
      </c>
      <c r="D81" s="94">
        <f>SUMIFS('capacity data'!J:J,'capacity data'!E:E,"PO",'capacity data'!B:B,'cluster capacity, unallocateds'!B81)</f>
        <v>0</v>
      </c>
      <c r="E81" s="162" t="str">
        <f t="shared" si="8"/>
        <v/>
      </c>
      <c r="F81" s="94">
        <f>SUMIFS('capacity data'!I:I,'capacity data'!E:E,"PSO",'capacity data'!B:B,'cluster capacity, unallocateds'!B81)</f>
        <v>0</v>
      </c>
      <c r="G81" s="94">
        <f>SUMIFS('capacity data'!J:J,'capacity data'!E:E,"PSO",'capacity data'!B:B,'cluster capacity, unallocateds'!B81)</f>
        <v>0</v>
      </c>
      <c r="H81" s="162" t="str">
        <f t="shared" si="9"/>
        <v/>
      </c>
      <c r="I81" s="94">
        <f>SUMIFS('capacity data'!I:I,'capacity data'!E:E,"TPO",'capacity data'!B:B,'cluster capacity, unallocateds'!B81)</f>
        <v>0</v>
      </c>
      <c r="J81" s="94">
        <f>SUMIFS('capacity data'!J:J,'capacity data'!E:E,"TPO",'capacity data'!B:B,'cluster capacity, unallocateds'!B81)</f>
        <v>0</v>
      </c>
      <c r="K81" s="162" t="str">
        <f t="shared" si="10"/>
        <v/>
      </c>
    </row>
    <row r="82" spans="2:11" x14ac:dyDescent="0.15">
      <c r="B82" s="62">
        <f>HLOOKUP($B$4,Region_Table,16,0)</f>
        <v>0</v>
      </c>
      <c r="C82" s="94">
        <f>SUMIFS('capacity data'!I:I,'capacity data'!E:E,"PO",'capacity data'!B:B,'cluster capacity, unallocateds'!B82)</f>
        <v>0</v>
      </c>
      <c r="D82" s="94">
        <f>SUMIFS('capacity data'!J:J,'capacity data'!E:E,"PO",'capacity data'!B:B,'cluster capacity, unallocateds'!B82)</f>
        <v>0</v>
      </c>
      <c r="E82" s="162" t="str">
        <f t="shared" si="8"/>
        <v/>
      </c>
      <c r="F82" s="94">
        <f>SUMIFS('capacity data'!I:I,'capacity data'!E:E,"PSO",'capacity data'!B:B,'cluster capacity, unallocateds'!B82)</f>
        <v>0</v>
      </c>
      <c r="G82" s="94">
        <f>SUMIFS('capacity data'!J:J,'capacity data'!E:E,"PSO",'capacity data'!B:B,'cluster capacity, unallocateds'!B82)</f>
        <v>0</v>
      </c>
      <c r="H82" s="162" t="str">
        <f t="shared" si="9"/>
        <v/>
      </c>
      <c r="I82" s="94">
        <f>SUMIFS('capacity data'!I:I,'capacity data'!E:E,"TPO",'capacity data'!B:B,'cluster capacity, unallocateds'!B82)</f>
        <v>0</v>
      </c>
      <c r="J82" s="94">
        <f>SUMIFS('capacity data'!J:J,'capacity data'!E:E,"TPO",'capacity data'!B:B,'cluster capacity, unallocateds'!B82)</f>
        <v>0</v>
      </c>
      <c r="K82" s="162" t="str">
        <f t="shared" si="10"/>
        <v/>
      </c>
    </row>
    <row r="83" spans="2:11" x14ac:dyDescent="0.15">
      <c r="B83" s="62">
        <f>HLOOKUP($B$4,Region_Table,17,0)</f>
        <v>0</v>
      </c>
      <c r="C83" s="94">
        <f>SUMIFS('capacity data'!I:I,'capacity data'!E:E,"PO",'capacity data'!B:B,'cluster capacity, unallocateds'!B83)</f>
        <v>0</v>
      </c>
      <c r="D83" s="94">
        <f>SUMIFS('capacity data'!J:J,'capacity data'!E:E,"PO",'capacity data'!B:B,'cluster capacity, unallocateds'!B83)</f>
        <v>0</v>
      </c>
      <c r="E83" s="162" t="str">
        <f t="shared" si="8"/>
        <v/>
      </c>
      <c r="F83" s="94">
        <f>SUMIFS('capacity data'!I:I,'capacity data'!E:E,"PSO",'capacity data'!B:B,'cluster capacity, unallocateds'!B83)</f>
        <v>0</v>
      </c>
      <c r="G83" s="94">
        <f>SUMIFS('capacity data'!J:J,'capacity data'!E:E,"PSO",'capacity data'!B:B,'cluster capacity, unallocateds'!B83)</f>
        <v>0</v>
      </c>
      <c r="H83" s="162" t="str">
        <f t="shared" si="9"/>
        <v/>
      </c>
      <c r="I83" s="94">
        <f>SUMIFS('capacity data'!I:I,'capacity data'!E:E,"TPO",'capacity data'!B:B,'cluster capacity, unallocateds'!B83)</f>
        <v>0</v>
      </c>
      <c r="J83" s="94">
        <f>SUMIFS('capacity data'!J:J,'capacity data'!E:E,"TPO",'capacity data'!B:B,'cluster capacity, unallocateds'!B83)</f>
        <v>0</v>
      </c>
      <c r="K83" s="162" t="str">
        <f t="shared" si="10"/>
        <v/>
      </c>
    </row>
    <row r="84" spans="2:11" x14ac:dyDescent="0.15">
      <c r="B84" s="62">
        <f>HLOOKUP($B$4,Region_Table,18,0)</f>
        <v>0</v>
      </c>
      <c r="C84" s="94">
        <f>SUMIFS('capacity data'!I:I,'capacity data'!E:E,"PO",'capacity data'!B:B,'cluster capacity, unallocateds'!B84)</f>
        <v>0</v>
      </c>
      <c r="D84" s="94">
        <f>SUMIFS('capacity data'!J:J,'capacity data'!E:E,"PO",'capacity data'!B:B,'cluster capacity, unallocateds'!B84)</f>
        <v>0</v>
      </c>
      <c r="E84" s="162" t="str">
        <f t="shared" ref="E84:E86" si="11">IFERROR(D84/C84,"")</f>
        <v/>
      </c>
      <c r="F84" s="94">
        <f>SUMIFS('capacity data'!I:I,'capacity data'!E:E,"PSO",'capacity data'!B:B,'cluster capacity, unallocateds'!B84)</f>
        <v>0</v>
      </c>
      <c r="G84" s="94">
        <f>SUMIFS('capacity data'!J:J,'capacity data'!E:E,"PSO",'capacity data'!B:B,'cluster capacity, unallocateds'!B84)</f>
        <v>0</v>
      </c>
      <c r="H84" s="162" t="str">
        <f t="shared" ref="H84:H86" si="12">IFERROR(G84/F84,"")</f>
        <v/>
      </c>
      <c r="I84" s="94">
        <f>SUMIFS('capacity data'!I:I,'capacity data'!E:E,"TPO",'capacity data'!B:B,'cluster capacity, unallocateds'!B84)</f>
        <v>0</v>
      </c>
      <c r="J84" s="94">
        <f>SUMIFS('capacity data'!J:J,'capacity data'!E:E,"TPO",'capacity data'!B:B,'cluster capacity, unallocateds'!B84)</f>
        <v>0</v>
      </c>
      <c r="K84" s="162" t="str">
        <f t="shared" ref="K84:K86" si="13">IFERROR(J84/I84,"")</f>
        <v/>
      </c>
    </row>
    <row r="85" spans="2:11" x14ac:dyDescent="0.15">
      <c r="B85" s="62">
        <f>HLOOKUP($B$4,Region_Table,19,0)</f>
        <v>0</v>
      </c>
      <c r="C85" s="94">
        <f>SUMIFS('capacity data'!I:I,'capacity data'!E:E,"PO",'capacity data'!B:B,'cluster capacity, unallocateds'!B85)</f>
        <v>0</v>
      </c>
      <c r="D85" s="94">
        <f>SUMIFS('capacity data'!J:J,'capacity data'!E:E,"PO",'capacity data'!B:B,'cluster capacity, unallocateds'!B85)</f>
        <v>0</v>
      </c>
      <c r="E85" s="162" t="str">
        <f t="shared" si="11"/>
        <v/>
      </c>
      <c r="F85" s="94">
        <f>SUMIFS('capacity data'!I:I,'capacity data'!E:E,"PSO",'capacity data'!B:B,'cluster capacity, unallocateds'!B85)</f>
        <v>0</v>
      </c>
      <c r="G85" s="94">
        <f>SUMIFS('capacity data'!J:J,'capacity data'!E:E,"PSO",'capacity data'!B:B,'cluster capacity, unallocateds'!B85)</f>
        <v>0</v>
      </c>
      <c r="H85" s="162" t="str">
        <f t="shared" si="12"/>
        <v/>
      </c>
      <c r="I85" s="94">
        <f>SUMIFS('capacity data'!I:I,'capacity data'!E:E,"TPO",'capacity data'!B:B,'cluster capacity, unallocateds'!B85)</f>
        <v>0</v>
      </c>
      <c r="J85" s="94">
        <f>SUMIFS('capacity data'!J:J,'capacity data'!E:E,"TPO",'capacity data'!B:B,'cluster capacity, unallocateds'!B85)</f>
        <v>0</v>
      </c>
      <c r="K85" s="162" t="str">
        <f t="shared" si="13"/>
        <v/>
      </c>
    </row>
    <row r="86" spans="2:11" ht="15" customHeight="1" x14ac:dyDescent="0.15">
      <c r="B86" s="62">
        <f>HLOOKUP($B$4,Region_Table,20,0)</f>
        <v>0</v>
      </c>
      <c r="C86" s="94">
        <f>SUMIFS('capacity data'!I:I,'capacity data'!E:E,"PO",'capacity data'!B:B,'cluster capacity, unallocateds'!B86)</f>
        <v>0</v>
      </c>
      <c r="D86" s="94">
        <f>SUMIFS('capacity data'!J:J,'capacity data'!E:E,"PO",'capacity data'!B:B,'cluster capacity, unallocateds'!B86)</f>
        <v>0</v>
      </c>
      <c r="E86" s="162" t="str">
        <f t="shared" si="11"/>
        <v/>
      </c>
      <c r="F86" s="94">
        <f>SUMIFS('capacity data'!I:I,'capacity data'!E:E,"PSO",'capacity data'!B:B,'cluster capacity, unallocateds'!B86)</f>
        <v>0</v>
      </c>
      <c r="G86" s="94">
        <f>SUMIFS('capacity data'!J:J,'capacity data'!E:E,"PSO",'capacity data'!B:B,'cluster capacity, unallocateds'!B86)</f>
        <v>0</v>
      </c>
      <c r="H86" s="162" t="str">
        <f t="shared" si="12"/>
        <v/>
      </c>
      <c r="I86" s="94">
        <f>SUMIFS('capacity data'!I:I,'capacity data'!E:E,"TPO",'capacity data'!B:B,'cluster capacity, unallocateds'!B86)</f>
        <v>0</v>
      </c>
      <c r="J86" s="94">
        <f>SUMIFS('capacity data'!J:J,'capacity data'!E:E,"TPO",'capacity data'!B:B,'cluster capacity, unallocateds'!B86)</f>
        <v>0</v>
      </c>
      <c r="K86" s="162" t="str">
        <f t="shared" si="13"/>
        <v/>
      </c>
    </row>
    <row r="87" spans="2:11" ht="15" customHeight="1" x14ac:dyDescent="0.15">
      <c r="B87" s="62">
        <f>HLOOKUP($B$4,Region_Table,21,0)</f>
        <v>0</v>
      </c>
      <c r="C87" s="94">
        <f>SUMIFS('capacity data'!I:I,'capacity data'!E:E,"PO",'capacity data'!B:B,'cluster capacity, unallocateds'!B87)</f>
        <v>0</v>
      </c>
      <c r="D87" s="94">
        <f>SUMIFS('capacity data'!J:J,'capacity data'!E:E,"PO",'capacity data'!B:B,'cluster capacity, unallocateds'!B87)</f>
        <v>0</v>
      </c>
      <c r="E87" s="162" t="str">
        <f t="shared" ref="E87:E94" si="14">IFERROR(D87/C87,"")</f>
        <v/>
      </c>
      <c r="F87" s="94">
        <f>SUMIFS('capacity data'!I:I,'capacity data'!E:E,"PSO",'capacity data'!B:B,'cluster capacity, unallocateds'!B87)</f>
        <v>0</v>
      </c>
      <c r="G87" s="94">
        <f>SUMIFS('capacity data'!J:J,'capacity data'!E:E,"PSO",'capacity data'!B:B,'cluster capacity, unallocateds'!B87)</f>
        <v>0</v>
      </c>
      <c r="H87" s="162" t="str">
        <f t="shared" ref="H87:H94" si="15">IFERROR(G87/F87,"")</f>
        <v/>
      </c>
      <c r="I87" s="94">
        <f>SUMIFS('capacity data'!I:I,'capacity data'!E:E,"TPO",'capacity data'!B:B,'cluster capacity, unallocateds'!B87)</f>
        <v>0</v>
      </c>
      <c r="J87" s="94">
        <f>SUMIFS('capacity data'!J:J,'capacity data'!E:E,"TPO",'capacity data'!B:B,'cluster capacity, unallocateds'!B87)</f>
        <v>0</v>
      </c>
      <c r="K87" s="162" t="str">
        <f t="shared" ref="K87:K94" si="16">IFERROR(J87/I87,"")</f>
        <v/>
      </c>
    </row>
    <row r="88" spans="2:11" ht="15" customHeight="1" x14ac:dyDescent="0.15">
      <c r="B88" s="62">
        <f>HLOOKUP($B$4,Region_Table,22,0)</f>
        <v>0</v>
      </c>
      <c r="C88" s="94">
        <f>SUMIFS('capacity data'!I:I,'capacity data'!E:E,"PO",'capacity data'!B:B,'cluster capacity, unallocateds'!B88)</f>
        <v>0</v>
      </c>
      <c r="D88" s="94">
        <f>SUMIFS('capacity data'!J:J,'capacity data'!E:E,"PO",'capacity data'!B:B,'cluster capacity, unallocateds'!B88)</f>
        <v>0</v>
      </c>
      <c r="E88" s="162" t="str">
        <f t="shared" si="14"/>
        <v/>
      </c>
      <c r="F88" s="94">
        <f>SUMIFS('capacity data'!I:I,'capacity data'!E:E,"PSO",'capacity data'!B:B,'cluster capacity, unallocateds'!B88)</f>
        <v>0</v>
      </c>
      <c r="G88" s="94">
        <f>SUMIFS('capacity data'!J:J,'capacity data'!E:E,"PSO",'capacity data'!B:B,'cluster capacity, unallocateds'!B88)</f>
        <v>0</v>
      </c>
      <c r="H88" s="162" t="str">
        <f t="shared" si="15"/>
        <v/>
      </c>
      <c r="I88" s="94">
        <f>SUMIFS('capacity data'!I:I,'capacity data'!E:E,"TPO",'capacity data'!B:B,'cluster capacity, unallocateds'!B88)</f>
        <v>0</v>
      </c>
      <c r="J88" s="94">
        <f>SUMIFS('capacity data'!J:J,'capacity data'!E:E,"TPO",'capacity data'!B:B,'cluster capacity, unallocateds'!B88)</f>
        <v>0</v>
      </c>
      <c r="K88" s="162" t="str">
        <f t="shared" si="16"/>
        <v/>
      </c>
    </row>
    <row r="89" spans="2:11" ht="15" customHeight="1" x14ac:dyDescent="0.15">
      <c r="B89" s="62">
        <f>HLOOKUP($B$4,Region_Table,23,0)</f>
        <v>0</v>
      </c>
      <c r="C89" s="94">
        <f>SUMIFS('capacity data'!I:I,'capacity data'!E:E,"PO",'capacity data'!B:B,'cluster capacity, unallocateds'!B89)</f>
        <v>0</v>
      </c>
      <c r="D89" s="94">
        <f>SUMIFS('capacity data'!J:J,'capacity data'!E:E,"PO",'capacity data'!B:B,'cluster capacity, unallocateds'!B89)</f>
        <v>0</v>
      </c>
      <c r="E89" s="162" t="str">
        <f t="shared" si="14"/>
        <v/>
      </c>
      <c r="F89" s="94">
        <f>SUMIFS('capacity data'!I:I,'capacity data'!E:E,"PSO",'capacity data'!B:B,'cluster capacity, unallocateds'!B89)</f>
        <v>0</v>
      </c>
      <c r="G89" s="94">
        <f>SUMIFS('capacity data'!J:J,'capacity data'!E:E,"PSO",'capacity data'!B:B,'cluster capacity, unallocateds'!B89)</f>
        <v>0</v>
      </c>
      <c r="H89" s="162" t="str">
        <f t="shared" si="15"/>
        <v/>
      </c>
      <c r="I89" s="94">
        <f>SUMIFS('capacity data'!I:I,'capacity data'!E:E,"TPO",'capacity data'!B:B,'cluster capacity, unallocateds'!B89)</f>
        <v>0</v>
      </c>
      <c r="J89" s="94">
        <f>SUMIFS('capacity data'!J:J,'capacity data'!E:E,"TPO",'capacity data'!B:B,'cluster capacity, unallocateds'!B89)</f>
        <v>0</v>
      </c>
      <c r="K89" s="162" t="str">
        <f t="shared" si="16"/>
        <v/>
      </c>
    </row>
    <row r="90" spans="2:11" ht="15" customHeight="1" x14ac:dyDescent="0.15">
      <c r="B90" s="62">
        <f>HLOOKUP($B$4,Region_Table,24,0)</f>
        <v>0</v>
      </c>
      <c r="C90" s="94">
        <f>SUMIFS('capacity data'!I:I,'capacity data'!E:E,"PO",'capacity data'!B:B,'cluster capacity, unallocateds'!B90)</f>
        <v>0</v>
      </c>
      <c r="D90" s="94">
        <f>SUMIFS('capacity data'!J:J,'capacity data'!E:E,"PO",'capacity data'!B:B,'cluster capacity, unallocateds'!B90)</f>
        <v>0</v>
      </c>
      <c r="E90" s="162" t="str">
        <f t="shared" si="14"/>
        <v/>
      </c>
      <c r="F90" s="94">
        <f>SUMIFS('capacity data'!I:I,'capacity data'!E:E,"PSO",'capacity data'!B:B,'cluster capacity, unallocateds'!B90)</f>
        <v>0</v>
      </c>
      <c r="G90" s="94">
        <f>SUMIFS('capacity data'!J:J,'capacity data'!E:E,"PSO",'capacity data'!B:B,'cluster capacity, unallocateds'!B90)</f>
        <v>0</v>
      </c>
      <c r="H90" s="162" t="str">
        <f t="shared" si="15"/>
        <v/>
      </c>
      <c r="I90" s="94">
        <f>SUMIFS('capacity data'!I:I,'capacity data'!E:E,"TPO",'capacity data'!B:B,'cluster capacity, unallocateds'!B90)</f>
        <v>0</v>
      </c>
      <c r="J90" s="94">
        <f>SUMIFS('capacity data'!J:J,'capacity data'!E:E,"TPO",'capacity data'!B:B,'cluster capacity, unallocateds'!B90)</f>
        <v>0</v>
      </c>
      <c r="K90" s="162" t="str">
        <f t="shared" si="16"/>
        <v/>
      </c>
    </row>
    <row r="91" spans="2:11" ht="15" customHeight="1" x14ac:dyDescent="0.15">
      <c r="B91" s="62">
        <f>HLOOKUP($B$4,Region_Table,25,0)</f>
        <v>0</v>
      </c>
      <c r="C91" s="94">
        <f>SUMIFS('capacity data'!I:I,'capacity data'!E:E,"PO",'capacity data'!B:B,'cluster capacity, unallocateds'!B91)</f>
        <v>0</v>
      </c>
      <c r="D91" s="94">
        <f>SUMIFS('capacity data'!J:J,'capacity data'!E:E,"PO",'capacity data'!B:B,'cluster capacity, unallocateds'!B91)</f>
        <v>0</v>
      </c>
      <c r="E91" s="162" t="str">
        <f t="shared" si="14"/>
        <v/>
      </c>
      <c r="F91" s="94">
        <f>SUMIFS('capacity data'!I:I,'capacity data'!E:E,"PSO",'capacity data'!B:B,'cluster capacity, unallocateds'!B91)</f>
        <v>0</v>
      </c>
      <c r="G91" s="94">
        <f>SUMIFS('capacity data'!J:J,'capacity data'!E:E,"PSO",'capacity data'!B:B,'cluster capacity, unallocateds'!B91)</f>
        <v>0</v>
      </c>
      <c r="H91" s="162" t="str">
        <f t="shared" si="15"/>
        <v/>
      </c>
      <c r="I91" s="94">
        <f>SUMIFS('capacity data'!I:I,'capacity data'!E:E,"TPO",'capacity data'!B:B,'cluster capacity, unallocateds'!B91)</f>
        <v>0</v>
      </c>
      <c r="J91" s="94">
        <f>SUMIFS('capacity data'!J:J,'capacity data'!E:E,"TPO",'capacity data'!B:B,'cluster capacity, unallocateds'!B91)</f>
        <v>0</v>
      </c>
      <c r="K91" s="162" t="str">
        <f t="shared" si="16"/>
        <v/>
      </c>
    </row>
    <row r="92" spans="2:11" ht="15" customHeight="1" x14ac:dyDescent="0.15">
      <c r="B92" s="62">
        <f>HLOOKUP($B$4,Region_Table,26,0)</f>
        <v>0</v>
      </c>
      <c r="C92" s="94">
        <f>SUMIFS('capacity data'!I:I,'capacity data'!E:E,"PO",'capacity data'!B:B,'cluster capacity, unallocateds'!B92)</f>
        <v>0</v>
      </c>
      <c r="D92" s="94">
        <f>SUMIFS('capacity data'!J:J,'capacity data'!E:E,"PO",'capacity data'!B:B,'cluster capacity, unallocateds'!B92)</f>
        <v>0</v>
      </c>
      <c r="E92" s="162" t="str">
        <f t="shared" si="14"/>
        <v/>
      </c>
      <c r="F92" s="94">
        <f>SUMIFS('capacity data'!I:I,'capacity data'!E:E,"PSO",'capacity data'!B:B,'cluster capacity, unallocateds'!B92)</f>
        <v>0</v>
      </c>
      <c r="G92" s="94">
        <f>SUMIFS('capacity data'!J:J,'capacity data'!E:E,"PSO",'capacity data'!B:B,'cluster capacity, unallocateds'!B92)</f>
        <v>0</v>
      </c>
      <c r="H92" s="162" t="str">
        <f t="shared" si="15"/>
        <v/>
      </c>
      <c r="I92" s="94">
        <f>SUMIFS('capacity data'!I:I,'capacity data'!E:E,"TPO",'capacity data'!B:B,'cluster capacity, unallocateds'!B92)</f>
        <v>0</v>
      </c>
      <c r="J92" s="94">
        <f>SUMIFS('capacity data'!J:J,'capacity data'!E:E,"TPO",'capacity data'!B:B,'cluster capacity, unallocateds'!B92)</f>
        <v>0</v>
      </c>
      <c r="K92" s="162" t="str">
        <f t="shared" si="16"/>
        <v/>
      </c>
    </row>
    <row r="93" spans="2:11" ht="15" customHeight="1" x14ac:dyDescent="0.15">
      <c r="B93" s="62">
        <f>HLOOKUP($B$4,Region_Table,27,0)</f>
        <v>0</v>
      </c>
      <c r="C93" s="94">
        <f>SUMIFS('capacity data'!I:I,'capacity data'!E:E,"PO",'capacity data'!B:B,'cluster capacity, unallocateds'!B93)</f>
        <v>0</v>
      </c>
      <c r="D93" s="94">
        <f>SUMIFS('capacity data'!J:J,'capacity data'!E:E,"PO",'capacity data'!B:B,'cluster capacity, unallocateds'!B93)</f>
        <v>0</v>
      </c>
      <c r="E93" s="162" t="str">
        <f t="shared" si="14"/>
        <v/>
      </c>
      <c r="F93" s="94">
        <f>SUMIFS('capacity data'!I:I,'capacity data'!E:E,"PSO",'capacity data'!B:B,'cluster capacity, unallocateds'!B93)</f>
        <v>0</v>
      </c>
      <c r="G93" s="94">
        <f>SUMIFS('capacity data'!J:J,'capacity data'!E:E,"PSO",'capacity data'!B:B,'cluster capacity, unallocateds'!B93)</f>
        <v>0</v>
      </c>
      <c r="H93" s="162" t="str">
        <f t="shared" si="15"/>
        <v/>
      </c>
      <c r="I93" s="94">
        <f>SUMIFS('capacity data'!I:I,'capacity data'!E:E,"TPO",'capacity data'!B:B,'cluster capacity, unallocateds'!B93)</f>
        <v>0</v>
      </c>
      <c r="J93" s="94">
        <f>SUMIFS('capacity data'!J:J,'capacity data'!E:E,"TPO",'capacity data'!B:B,'cluster capacity, unallocateds'!B93)</f>
        <v>0</v>
      </c>
      <c r="K93" s="162" t="str">
        <f t="shared" si="16"/>
        <v/>
      </c>
    </row>
    <row r="94" spans="2:11" ht="15" customHeight="1" x14ac:dyDescent="0.15">
      <c r="B94" s="62">
        <f>HLOOKUP($B$4,Region_Table,28,0)</f>
        <v>0</v>
      </c>
      <c r="C94" s="94">
        <f>SUMIFS('capacity data'!I:I,'capacity data'!E:E,"PO",'capacity data'!B:B,'cluster capacity, unallocateds'!B94)</f>
        <v>0</v>
      </c>
      <c r="D94" s="94">
        <f>SUMIFS('capacity data'!J:J,'capacity data'!E:E,"PO",'capacity data'!B:B,'cluster capacity, unallocateds'!B94)</f>
        <v>0</v>
      </c>
      <c r="E94" s="162" t="str">
        <f t="shared" si="14"/>
        <v/>
      </c>
      <c r="F94" s="94">
        <f>SUMIFS('capacity data'!I:I,'capacity data'!E:E,"PSO",'capacity data'!B:B,'cluster capacity, unallocateds'!B94)</f>
        <v>0</v>
      </c>
      <c r="G94" s="94">
        <f>SUMIFS('capacity data'!J:J,'capacity data'!E:E,"PSO",'capacity data'!B:B,'cluster capacity, unallocateds'!B94)</f>
        <v>0</v>
      </c>
      <c r="H94" s="162" t="str">
        <f t="shared" si="15"/>
        <v/>
      </c>
      <c r="I94" s="94">
        <f>SUMIFS('capacity data'!I:I,'capacity data'!E:E,"TPO",'capacity data'!B:B,'cluster capacity, unallocateds'!B94)</f>
        <v>0</v>
      </c>
      <c r="J94" s="94">
        <f>SUMIFS('capacity data'!J:J,'capacity data'!E:E,"TPO",'capacity data'!B:B,'cluster capacity, unallocateds'!B94)</f>
        <v>0</v>
      </c>
      <c r="K94" s="162" t="str">
        <f t="shared" si="16"/>
        <v/>
      </c>
    </row>
    <row r="95" spans="2:11" ht="35.25" customHeight="1" x14ac:dyDescent="0.15"/>
    <row r="96" spans="2:11" ht="56" x14ac:dyDescent="0.15">
      <c r="B96" s="219" t="s">
        <v>1045</v>
      </c>
      <c r="C96" s="219" t="s">
        <v>1065</v>
      </c>
      <c r="D96" s="219" t="s">
        <v>1066</v>
      </c>
      <c r="E96" s="219" t="s">
        <v>1067</v>
      </c>
      <c r="F96" s="219" t="s">
        <v>1068</v>
      </c>
      <c r="G96" s="219" t="s">
        <v>1069</v>
      </c>
      <c r="H96" s="219" t="s">
        <v>1070</v>
      </c>
      <c r="I96" s="219" t="s">
        <v>1071</v>
      </c>
    </row>
    <row r="97" spans="2:9" x14ac:dyDescent="0.15">
      <c r="B97" s="154" t="s">
        <v>997</v>
      </c>
      <c r="C97" s="161">
        <f>SUM('capacity data'!K:K)</f>
        <v>0</v>
      </c>
      <c r="D97" s="161">
        <f>COUNTIF('capacity data'!E:E,"DMY")</f>
        <v>0</v>
      </c>
      <c r="E97" s="161">
        <f>SUMIF('capacity data'!E:E,"DMY",'capacity data'!K:K)</f>
        <v>0</v>
      </c>
      <c r="F97" s="162" t="e">
        <f>E97/C97</f>
        <v>#DIV/0!</v>
      </c>
      <c r="G97" s="163">
        <f>SUMIF('capacity data'!E:E,"SPO",'capacity data'!K:K)</f>
        <v>0</v>
      </c>
      <c r="H97" s="161">
        <f>E97+G97</f>
        <v>0</v>
      </c>
      <c r="I97" s="164" t="e">
        <f>H97/C97</f>
        <v>#DIV/0!</v>
      </c>
    </row>
    <row r="98" spans="2:9" x14ac:dyDescent="0.15">
      <c r="B98" s="62" t="str">
        <f>HLOOKUP($B$4,Region_Table,2,0)</f>
        <v>All East Midlands Region</v>
      </c>
      <c r="C98" s="94">
        <f>SUMIF('capacity data'!B:B,'cluster capacity, unallocateds'!B98,'capacity data'!K:K)</f>
        <v>0</v>
      </c>
      <c r="D98" s="94">
        <f>COUNTIFS('capacity data'!B:B,'cluster capacity, unallocateds'!B98,'capacity data'!E:E,"DMY")</f>
        <v>0</v>
      </c>
      <c r="E98" s="94">
        <f>SUMIFS('capacity data'!K:K,'capacity data'!E:E,"DMY",'capacity data'!B:B,'cluster capacity, unallocateds'!B98)</f>
        <v>0</v>
      </c>
      <c r="F98" s="66" t="str">
        <f>IFERROR(E98/C98,"")</f>
        <v/>
      </c>
      <c r="G98" s="75">
        <f>SUMIFS('capacity data'!K:K,'capacity data'!E:E,"SPO",'capacity data'!B:B,'cluster capacity, unallocateds'!B98)</f>
        <v>0</v>
      </c>
      <c r="H98" s="161">
        <f t="shared" ref="H98:H113" si="17">E98+G98</f>
        <v>0</v>
      </c>
      <c r="I98" s="164" t="str">
        <f>IFERROR(H98/C98,"")</f>
        <v/>
      </c>
    </row>
    <row r="99" spans="2:9" x14ac:dyDescent="0.15">
      <c r="B99" s="62" t="str">
        <f>HLOOKUP($B$4,Region_Table,3,0)</f>
        <v>Derby City - N53</v>
      </c>
      <c r="C99" s="94">
        <f>SUMIF('capacity data'!B:B,'cluster capacity, unallocateds'!B99,'capacity data'!K:K)</f>
        <v>0</v>
      </c>
      <c r="D99" s="94">
        <f>COUNTIFS('capacity data'!B:B,'cluster capacity, unallocateds'!B99,'capacity data'!E:E,"DMY")</f>
        <v>0</v>
      </c>
      <c r="E99" s="94">
        <f>SUMIFS('capacity data'!K:K,'capacity data'!E:E,"DMY",'capacity data'!B:B,'cluster capacity, unallocateds'!B99)</f>
        <v>0</v>
      </c>
      <c r="F99" s="66" t="str">
        <f t="shared" ref="F99:F113" si="18">IFERROR(E99/C99,"")</f>
        <v/>
      </c>
      <c r="G99" s="75">
        <f>SUMIFS('capacity data'!K:K,'capacity data'!E:E,"SPO",'capacity data'!B:B,'cluster capacity, unallocateds'!B99)</f>
        <v>0</v>
      </c>
      <c r="H99" s="161">
        <f t="shared" si="17"/>
        <v>0</v>
      </c>
      <c r="I99" s="164" t="str">
        <f t="shared" ref="I99:I113" si="19">IFERROR(H99/C99,"")</f>
        <v/>
      </c>
    </row>
    <row r="100" spans="2:9" x14ac:dyDescent="0.15">
      <c r="B100" s="62" t="str">
        <f>HLOOKUP($B$4,Region_Table,4,0)</f>
        <v>Derbyshire - N53</v>
      </c>
      <c r="C100" s="94">
        <f>SUMIF('capacity data'!B:B,'cluster capacity, unallocateds'!B100,'capacity data'!K:K)</f>
        <v>0</v>
      </c>
      <c r="D100" s="94">
        <f>COUNTIFS('capacity data'!B:B,'cluster capacity, unallocateds'!B100,'capacity data'!E:E,"DMY")</f>
        <v>0</v>
      </c>
      <c r="E100" s="94">
        <f>SUMIFS('capacity data'!K:K,'capacity data'!E:E,"DMY",'capacity data'!B:B,'cluster capacity, unallocateds'!B100)</f>
        <v>0</v>
      </c>
      <c r="F100" s="66" t="str">
        <f t="shared" si="18"/>
        <v/>
      </c>
      <c r="G100" s="75">
        <f>SUMIFS('capacity data'!K:K,'capacity data'!E:E,"SPO",'capacity data'!B:B,'cluster capacity, unallocateds'!B100)</f>
        <v>0</v>
      </c>
      <c r="H100" s="161">
        <f t="shared" si="17"/>
        <v>0</v>
      </c>
      <c r="I100" s="164" t="str">
        <f t="shared" si="19"/>
        <v/>
      </c>
    </row>
    <row r="101" spans="2:9" x14ac:dyDescent="0.15">
      <c r="B101" s="62" t="str">
        <f>HLOOKUP($B$4,Region_Table,5,0)</f>
        <v>Leicester, Leicestershire and Rutland</v>
      </c>
      <c r="C101" s="94">
        <f>SUMIF('capacity data'!B:B,'cluster capacity, unallocateds'!B101,'capacity data'!K:K)</f>
        <v>0</v>
      </c>
      <c r="D101" s="94">
        <f>COUNTIFS('capacity data'!B:B,'cluster capacity, unallocateds'!B101,'capacity data'!E:E,"DMY")</f>
        <v>0</v>
      </c>
      <c r="E101" s="94">
        <f>SUMIFS('capacity data'!K:K,'capacity data'!E:E,"DMY",'capacity data'!B:B,'cluster capacity, unallocateds'!B101)</f>
        <v>0</v>
      </c>
      <c r="F101" s="66" t="str">
        <f t="shared" si="18"/>
        <v/>
      </c>
      <c r="G101" s="75">
        <f>SUMIFS('capacity data'!K:K,'capacity data'!E:E,"SPO",'capacity data'!B:B,'cluster capacity, unallocateds'!B101)</f>
        <v>0</v>
      </c>
      <c r="H101" s="161">
        <f t="shared" si="17"/>
        <v>0</v>
      </c>
      <c r="I101" s="164" t="str">
        <f t="shared" si="19"/>
        <v/>
      </c>
    </row>
    <row r="102" spans="2:9" x14ac:dyDescent="0.15">
      <c r="B102" s="62" t="str">
        <f>HLOOKUP($B$4,Region_Table,6,0)</f>
        <v>Lincolnshire East and West - N53</v>
      </c>
      <c r="C102" s="94">
        <f>SUMIF('capacity data'!B:B,'cluster capacity, unallocateds'!B102,'capacity data'!K:K)</f>
        <v>0</v>
      </c>
      <c r="D102" s="94">
        <f>COUNTIFS('capacity data'!B:B,'cluster capacity, unallocateds'!B102,'capacity data'!E:E,"DMY")</f>
        <v>0</v>
      </c>
      <c r="E102" s="94">
        <f>SUMIFS('capacity data'!K:K,'capacity data'!E:E,"DMY",'capacity data'!B:B,'cluster capacity, unallocateds'!B102)</f>
        <v>0</v>
      </c>
      <c r="F102" s="66" t="str">
        <f t="shared" si="18"/>
        <v/>
      </c>
      <c r="G102" s="75">
        <f>SUMIFS('capacity data'!K:K,'capacity data'!E:E,"SPO",'capacity data'!B:B,'cluster capacity, unallocateds'!B102)</f>
        <v>0</v>
      </c>
      <c r="H102" s="161">
        <f t="shared" si="17"/>
        <v>0</v>
      </c>
      <c r="I102" s="164" t="str">
        <f t="shared" si="19"/>
        <v/>
      </c>
    </row>
    <row r="103" spans="2:9" x14ac:dyDescent="0.15">
      <c r="B103" s="62" t="str">
        <f>HLOOKUP($B$4,Region_Table,7,0)</f>
        <v>Nottingham City</v>
      </c>
      <c r="C103" s="94">
        <f>SUMIF('capacity data'!B:B,'cluster capacity, unallocateds'!B103,'capacity data'!K:K)</f>
        <v>0</v>
      </c>
      <c r="D103" s="94">
        <f>COUNTIFS('capacity data'!B:B,'cluster capacity, unallocateds'!B103,'capacity data'!E:E,"DMY")</f>
        <v>0</v>
      </c>
      <c r="E103" s="94">
        <f>SUMIFS('capacity data'!K:K,'capacity data'!E:E,"DMY",'capacity data'!B:B,'cluster capacity, unallocateds'!B103)</f>
        <v>0</v>
      </c>
      <c r="F103" s="66" t="str">
        <f t="shared" si="18"/>
        <v/>
      </c>
      <c r="G103" s="75">
        <f>SUMIFS('capacity data'!K:K,'capacity data'!E:E,"SPO",'capacity data'!B:B,'cluster capacity, unallocateds'!B103)</f>
        <v>0</v>
      </c>
      <c r="H103" s="161">
        <f t="shared" si="17"/>
        <v>0</v>
      </c>
      <c r="I103" s="164" t="str">
        <f t="shared" si="19"/>
        <v/>
      </c>
    </row>
    <row r="104" spans="2:9" x14ac:dyDescent="0.15">
      <c r="B104" s="62" t="str">
        <f>HLOOKUP($B$4,Region_Table,8,0)</f>
        <v>Nottinghamshire - N53</v>
      </c>
      <c r="C104" s="94">
        <f>SUMIF('capacity data'!B:B,'cluster capacity, unallocateds'!B104,'capacity data'!K:K)</f>
        <v>0</v>
      </c>
      <c r="D104" s="94">
        <f>COUNTIFS('capacity data'!B:B,'cluster capacity, unallocateds'!B104,'capacity data'!E:E,"DMY")</f>
        <v>0</v>
      </c>
      <c r="E104" s="94">
        <f>SUMIFS('capacity data'!K:K,'capacity data'!E:E,"DMY",'capacity data'!B:B,'cluster capacity, unallocateds'!B104)</f>
        <v>0</v>
      </c>
      <c r="F104" s="66" t="str">
        <f t="shared" si="18"/>
        <v/>
      </c>
      <c r="G104" s="75">
        <f>SUMIFS('capacity data'!K:K,'capacity data'!E:E,"SPO",'capacity data'!B:B,'cluster capacity, unallocateds'!B104)</f>
        <v>0</v>
      </c>
      <c r="H104" s="161">
        <f t="shared" si="17"/>
        <v>0</v>
      </c>
      <c r="I104" s="164" t="str">
        <f t="shared" si="19"/>
        <v/>
      </c>
    </row>
    <row r="105" spans="2:9" x14ac:dyDescent="0.15">
      <c r="B105" s="62" t="str">
        <f>HLOOKUP($B$4,Region_Table,9,0)</f>
        <v>Unpaid Work and Attendance Centres - N53</v>
      </c>
      <c r="C105" s="94">
        <f>SUMIF('capacity data'!B:B,'cluster capacity, unallocateds'!B105,'capacity data'!K:K)</f>
        <v>0</v>
      </c>
      <c r="D105" s="94">
        <f>COUNTIFS('capacity data'!B:B,'cluster capacity, unallocateds'!B105,'capacity data'!E:E,"DMY")</f>
        <v>0</v>
      </c>
      <c r="E105" s="94">
        <f>SUMIFS('capacity data'!K:K,'capacity data'!E:E,"DMY",'capacity data'!B:B,'cluster capacity, unallocateds'!B105)</f>
        <v>0</v>
      </c>
      <c r="F105" s="66" t="str">
        <f t="shared" si="18"/>
        <v/>
      </c>
      <c r="G105" s="75">
        <f>SUMIFS('capacity data'!K:K,'capacity data'!E:E,"SPO",'capacity data'!B:B,'cluster capacity, unallocateds'!B105)</f>
        <v>0</v>
      </c>
      <c r="H105" s="161">
        <f t="shared" si="17"/>
        <v>0</v>
      </c>
      <c r="I105" s="164" t="str">
        <f t="shared" si="19"/>
        <v/>
      </c>
    </row>
    <row r="106" spans="2:9" x14ac:dyDescent="0.15">
      <c r="B106" s="62">
        <f>HLOOKUP($B$4,Region_Table,10,0)</f>
        <v>0</v>
      </c>
      <c r="C106" s="94">
        <f>SUMIF('capacity data'!B:B,'cluster capacity, unallocateds'!B106,'capacity data'!K:K)</f>
        <v>0</v>
      </c>
      <c r="D106" s="94">
        <f>COUNTIFS('capacity data'!B:B,'cluster capacity, unallocateds'!B106,'capacity data'!E:E,"DMY")</f>
        <v>0</v>
      </c>
      <c r="E106" s="94">
        <f>SUMIFS('capacity data'!K:K,'capacity data'!E:E,"DMY",'capacity data'!B:B,'cluster capacity, unallocateds'!B106)</f>
        <v>0</v>
      </c>
      <c r="F106" s="66" t="str">
        <f t="shared" si="18"/>
        <v/>
      </c>
      <c r="G106" s="75">
        <f>SUMIFS('capacity data'!K:K,'capacity data'!E:E,"SPO",'capacity data'!B:B,'cluster capacity, unallocateds'!B106)</f>
        <v>0</v>
      </c>
      <c r="H106" s="161">
        <f t="shared" si="17"/>
        <v>0</v>
      </c>
      <c r="I106" s="164" t="str">
        <f t="shared" si="19"/>
        <v/>
      </c>
    </row>
    <row r="107" spans="2:9" x14ac:dyDescent="0.15">
      <c r="B107" s="62">
        <f>HLOOKUP($B$4,Region_Table,11,0)</f>
        <v>0</v>
      </c>
      <c r="C107" s="94">
        <f>SUMIF('capacity data'!B:B,'cluster capacity, unallocateds'!B107,'capacity data'!K:K)</f>
        <v>0</v>
      </c>
      <c r="D107" s="94">
        <f>COUNTIFS('capacity data'!B:B,'cluster capacity, unallocateds'!B107,'capacity data'!E:E,"DMY")</f>
        <v>0</v>
      </c>
      <c r="E107" s="94">
        <f>SUMIFS('capacity data'!K:K,'capacity data'!E:E,"DMY",'capacity data'!B:B,'cluster capacity, unallocateds'!B107)</f>
        <v>0</v>
      </c>
      <c r="F107" s="66" t="str">
        <f t="shared" si="18"/>
        <v/>
      </c>
      <c r="G107" s="75">
        <f>SUMIFS('capacity data'!K:K,'capacity data'!E:E,"SPO",'capacity data'!B:B,'cluster capacity, unallocateds'!B107)</f>
        <v>0</v>
      </c>
      <c r="H107" s="161">
        <f t="shared" si="17"/>
        <v>0</v>
      </c>
      <c r="I107" s="164" t="str">
        <f t="shared" si="19"/>
        <v/>
      </c>
    </row>
    <row r="108" spans="2:9" x14ac:dyDescent="0.15">
      <c r="B108" s="62">
        <f>HLOOKUP($B$4,Region_Table,12,0)</f>
        <v>0</v>
      </c>
      <c r="C108" s="94">
        <f>SUMIF('capacity data'!B:B,'cluster capacity, unallocateds'!B108,'capacity data'!K:K)</f>
        <v>0</v>
      </c>
      <c r="D108" s="94">
        <f>COUNTIFS('capacity data'!B:B,'cluster capacity, unallocateds'!B108,'capacity data'!E:E,"DMY")</f>
        <v>0</v>
      </c>
      <c r="E108" s="94">
        <f>SUMIFS('capacity data'!K:K,'capacity data'!E:E,"DMY",'capacity data'!B:B,'cluster capacity, unallocateds'!B108)</f>
        <v>0</v>
      </c>
      <c r="F108" s="66" t="str">
        <f t="shared" si="18"/>
        <v/>
      </c>
      <c r="G108" s="75">
        <f>SUMIFS('capacity data'!K:K,'capacity data'!E:E,"SPO",'capacity data'!B:B,'cluster capacity, unallocateds'!B108)</f>
        <v>0</v>
      </c>
      <c r="H108" s="161">
        <f t="shared" si="17"/>
        <v>0</v>
      </c>
      <c r="I108" s="164" t="str">
        <f t="shared" si="19"/>
        <v/>
      </c>
    </row>
    <row r="109" spans="2:9" x14ac:dyDescent="0.15">
      <c r="B109" s="62">
        <f>HLOOKUP($B$4,Region_Table,13,0)</f>
        <v>0</v>
      </c>
      <c r="C109" s="94">
        <f>SUMIF('capacity data'!B:B,'cluster capacity, unallocateds'!B109,'capacity data'!K:K)</f>
        <v>0</v>
      </c>
      <c r="D109" s="94">
        <f>COUNTIFS('capacity data'!B:B,'cluster capacity, unallocateds'!B109,'capacity data'!E:E,"DMY")</f>
        <v>0</v>
      </c>
      <c r="E109" s="94">
        <f>SUMIFS('capacity data'!K:K,'capacity data'!E:E,"DMY",'capacity data'!B:B,'cluster capacity, unallocateds'!B109)</f>
        <v>0</v>
      </c>
      <c r="F109" s="66" t="str">
        <f t="shared" si="18"/>
        <v/>
      </c>
      <c r="G109" s="75">
        <f>SUMIFS('capacity data'!K:K,'capacity data'!E:E,"SPO",'capacity data'!B:B,'cluster capacity, unallocateds'!B109)</f>
        <v>0</v>
      </c>
      <c r="H109" s="161">
        <f t="shared" si="17"/>
        <v>0</v>
      </c>
      <c r="I109" s="164" t="str">
        <f t="shared" si="19"/>
        <v/>
      </c>
    </row>
    <row r="110" spans="2:9" x14ac:dyDescent="0.15">
      <c r="B110" s="62">
        <f>HLOOKUP($B$4,Region_Table,14,0)</f>
        <v>0</v>
      </c>
      <c r="C110" s="94">
        <f>SUMIF('capacity data'!B:B,'cluster capacity, unallocateds'!B110,'capacity data'!K:K)</f>
        <v>0</v>
      </c>
      <c r="D110" s="94">
        <f>COUNTIFS('capacity data'!B:B,'cluster capacity, unallocateds'!B110,'capacity data'!E:E,"DMY")</f>
        <v>0</v>
      </c>
      <c r="E110" s="94">
        <f>SUMIFS('capacity data'!K:K,'capacity data'!E:E,"DMY",'capacity data'!B:B,'cluster capacity, unallocateds'!B110)</f>
        <v>0</v>
      </c>
      <c r="F110" s="66" t="str">
        <f t="shared" si="18"/>
        <v/>
      </c>
      <c r="G110" s="75">
        <f>SUMIFS('capacity data'!K:K,'capacity data'!E:E,"SPO",'capacity data'!B:B,'cluster capacity, unallocateds'!B110)</f>
        <v>0</v>
      </c>
      <c r="H110" s="161">
        <f t="shared" si="17"/>
        <v>0</v>
      </c>
      <c r="I110" s="164" t="str">
        <f t="shared" si="19"/>
        <v/>
      </c>
    </row>
    <row r="111" spans="2:9" x14ac:dyDescent="0.15">
      <c r="B111" s="62">
        <f>HLOOKUP($B$4,Region_Table,15,0)</f>
        <v>0</v>
      </c>
      <c r="C111" s="94">
        <f>SUMIF('capacity data'!B:B,'cluster capacity, unallocateds'!B111,'capacity data'!K:K)</f>
        <v>0</v>
      </c>
      <c r="D111" s="94">
        <f>COUNTIFS('capacity data'!B:B,'cluster capacity, unallocateds'!B111,'capacity data'!E:E,"DMY")</f>
        <v>0</v>
      </c>
      <c r="E111" s="94">
        <f>SUMIFS('capacity data'!K:K,'capacity data'!E:E,"DMY",'capacity data'!B:B,'cluster capacity, unallocateds'!B111)</f>
        <v>0</v>
      </c>
      <c r="F111" s="66" t="str">
        <f t="shared" si="18"/>
        <v/>
      </c>
      <c r="G111" s="75">
        <f>SUMIFS('capacity data'!K:K,'capacity data'!E:E,"SPO",'capacity data'!B:B,'cluster capacity, unallocateds'!B111)</f>
        <v>0</v>
      </c>
      <c r="H111" s="161">
        <f t="shared" si="17"/>
        <v>0</v>
      </c>
      <c r="I111" s="164" t="str">
        <f t="shared" si="19"/>
        <v/>
      </c>
    </row>
    <row r="112" spans="2:9" x14ac:dyDescent="0.15">
      <c r="B112" s="62">
        <f>HLOOKUP($B$4,Region_Table,16,0)</f>
        <v>0</v>
      </c>
      <c r="C112" s="94">
        <f>SUMIF('capacity data'!B:B,'cluster capacity, unallocateds'!B112,'capacity data'!K:K)</f>
        <v>0</v>
      </c>
      <c r="D112" s="94">
        <f>COUNTIFS('capacity data'!B:B,'cluster capacity, unallocateds'!B112,'capacity data'!E:E,"DMY")</f>
        <v>0</v>
      </c>
      <c r="E112" s="94">
        <f>SUMIFS('capacity data'!K:K,'capacity data'!E:E,"DMY",'capacity data'!B:B,'cluster capacity, unallocateds'!B112)</f>
        <v>0</v>
      </c>
      <c r="F112" s="66" t="str">
        <f t="shared" si="18"/>
        <v/>
      </c>
      <c r="G112" s="75">
        <f>SUMIFS('capacity data'!K:K,'capacity data'!E:E,"SPO",'capacity data'!B:B,'cluster capacity, unallocateds'!B112)</f>
        <v>0</v>
      </c>
      <c r="H112" s="161">
        <f t="shared" si="17"/>
        <v>0</v>
      </c>
      <c r="I112" s="164" t="str">
        <f t="shared" si="19"/>
        <v/>
      </c>
    </row>
    <row r="113" spans="2:9" x14ac:dyDescent="0.15">
      <c r="B113" s="62">
        <f>HLOOKUP($B$4,Region_Table,17,0)</f>
        <v>0</v>
      </c>
      <c r="C113" s="94">
        <f>SUMIF('capacity data'!B:B,'cluster capacity, unallocateds'!B113,'capacity data'!K:K)</f>
        <v>0</v>
      </c>
      <c r="D113" s="94">
        <f>COUNTIFS('capacity data'!B:B,'cluster capacity, unallocateds'!B113,'capacity data'!E:E,"DMY")</f>
        <v>0</v>
      </c>
      <c r="E113" s="94">
        <f>SUMIFS('capacity data'!K:K,'capacity data'!E:E,"DMY",'capacity data'!B:B,'cluster capacity, unallocateds'!B113)</f>
        <v>0</v>
      </c>
      <c r="F113" s="66" t="str">
        <f t="shared" si="18"/>
        <v/>
      </c>
      <c r="G113" s="75">
        <f>SUMIFS('capacity data'!K:K,'capacity data'!E:E,"SPO",'capacity data'!B:B,'cluster capacity, unallocateds'!B113)</f>
        <v>0</v>
      </c>
      <c r="H113" s="161">
        <f t="shared" si="17"/>
        <v>0</v>
      </c>
      <c r="I113" s="164" t="str">
        <f t="shared" si="19"/>
        <v/>
      </c>
    </row>
    <row r="114" spans="2:9" x14ac:dyDescent="0.15">
      <c r="B114" s="62">
        <f>HLOOKUP($B$4,Region_Table,18,0)</f>
        <v>0</v>
      </c>
      <c r="C114" s="94">
        <f>SUMIF('capacity data'!B:B,'cluster capacity, unallocateds'!B114,'capacity data'!K:K)</f>
        <v>0</v>
      </c>
      <c r="D114" s="94">
        <f>COUNTIFS('capacity data'!B:B,'cluster capacity, unallocateds'!B114,'capacity data'!E:E,"DMY")</f>
        <v>0</v>
      </c>
      <c r="E114" s="94">
        <f>SUMIFS('capacity data'!K:K,'capacity data'!E:E,"DMY",'capacity data'!B:B,'cluster capacity, unallocateds'!B114)</f>
        <v>0</v>
      </c>
      <c r="F114" s="66" t="str">
        <f t="shared" ref="F114:F116" si="20">IFERROR(E114/C114,"")</f>
        <v/>
      </c>
      <c r="G114" s="75">
        <f>SUMIFS('capacity data'!K:K,'capacity data'!E:E,"SPO",'capacity data'!B:B,'cluster capacity, unallocateds'!B114)</f>
        <v>0</v>
      </c>
      <c r="H114" s="161">
        <f t="shared" ref="H114:H116" si="21">E114+G114</f>
        <v>0</v>
      </c>
      <c r="I114" s="164" t="str">
        <f t="shared" ref="I114:I116" si="22">IFERROR(H114/C114,"")</f>
        <v/>
      </c>
    </row>
    <row r="115" spans="2:9" x14ac:dyDescent="0.15">
      <c r="B115" s="62">
        <f>HLOOKUP($B$4,Region_Table,19,0)</f>
        <v>0</v>
      </c>
      <c r="C115" s="94">
        <f>SUMIF('capacity data'!B:B,'cluster capacity, unallocateds'!B115,'capacity data'!K:K)</f>
        <v>0</v>
      </c>
      <c r="D115" s="94">
        <f>COUNTIFS('capacity data'!B:B,'cluster capacity, unallocateds'!B115,'capacity data'!E:E,"DMY")</f>
        <v>0</v>
      </c>
      <c r="E115" s="94">
        <f>SUMIFS('capacity data'!K:K,'capacity data'!E:E,"DMY",'capacity data'!B:B,'cluster capacity, unallocateds'!B115)</f>
        <v>0</v>
      </c>
      <c r="F115" s="66" t="str">
        <f t="shared" si="20"/>
        <v/>
      </c>
      <c r="G115" s="75">
        <f>SUMIFS('capacity data'!K:K,'capacity data'!E:E,"SPO",'capacity data'!B:B,'cluster capacity, unallocateds'!B115)</f>
        <v>0</v>
      </c>
      <c r="H115" s="161">
        <f t="shared" si="21"/>
        <v>0</v>
      </c>
      <c r="I115" s="164" t="str">
        <f t="shared" si="22"/>
        <v/>
      </c>
    </row>
    <row r="116" spans="2:9" x14ac:dyDescent="0.15">
      <c r="B116" s="62">
        <f>HLOOKUP($B$4,Region_Table,20,0)</f>
        <v>0</v>
      </c>
      <c r="C116" s="94">
        <f>SUMIF('capacity data'!B:B,'cluster capacity, unallocateds'!B116,'capacity data'!K:K)</f>
        <v>0</v>
      </c>
      <c r="D116" s="94">
        <f>COUNTIFS('capacity data'!B:B,'cluster capacity, unallocateds'!B116,'capacity data'!E:E,"DMY")</f>
        <v>0</v>
      </c>
      <c r="E116" s="94">
        <f>SUMIFS('capacity data'!K:K,'capacity data'!E:E,"DMY",'capacity data'!B:B,'cluster capacity, unallocateds'!B116)</f>
        <v>0</v>
      </c>
      <c r="F116" s="66" t="str">
        <f t="shared" si="20"/>
        <v/>
      </c>
      <c r="G116" s="75">
        <f>SUMIFS('capacity data'!K:K,'capacity data'!E:E,"SPO",'capacity data'!B:B,'cluster capacity, unallocateds'!B116)</f>
        <v>0</v>
      </c>
      <c r="H116" s="161">
        <f t="shared" si="21"/>
        <v>0</v>
      </c>
      <c r="I116" s="164" t="str">
        <f t="shared" si="22"/>
        <v/>
      </c>
    </row>
    <row r="117" spans="2:9" ht="15.75" customHeight="1" x14ac:dyDescent="0.15">
      <c r="B117" s="62">
        <f>HLOOKUP($B$4,Region_Table,21,0)</f>
        <v>0</v>
      </c>
      <c r="C117" s="94">
        <f>SUMIF('capacity data'!B:B,'cluster capacity, unallocateds'!B117,'capacity data'!K:K)</f>
        <v>0</v>
      </c>
      <c r="D117" s="94">
        <f>COUNTIFS('capacity data'!B:B,'cluster capacity, unallocateds'!B117,'capacity data'!E:E,"DMY")</f>
        <v>0</v>
      </c>
      <c r="E117" s="94">
        <f>SUMIFS('capacity data'!K:K,'capacity data'!E:E,"DMY",'capacity data'!B:B,'cluster capacity, unallocateds'!B117)</f>
        <v>0</v>
      </c>
      <c r="F117" s="66" t="str">
        <f t="shared" ref="F117:F124" si="23">IFERROR(E117/C117,"")</f>
        <v/>
      </c>
      <c r="G117" s="75">
        <f>SUMIFS('capacity data'!K:K,'capacity data'!E:E,"SPO",'capacity data'!B:B,'cluster capacity, unallocateds'!B117)</f>
        <v>0</v>
      </c>
      <c r="H117" s="161">
        <f t="shared" ref="H117:H124" si="24">E117+G117</f>
        <v>0</v>
      </c>
      <c r="I117" s="164" t="str">
        <f t="shared" ref="I117:I124" si="25">IFERROR(H117/C117,"")</f>
        <v/>
      </c>
    </row>
    <row r="118" spans="2:9" x14ac:dyDescent="0.15">
      <c r="B118" s="62">
        <f>HLOOKUP($B$4,Region_Table,22,0)</f>
        <v>0</v>
      </c>
      <c r="C118" s="94">
        <f>SUMIF('capacity data'!B:B,'cluster capacity, unallocateds'!B118,'capacity data'!K:K)</f>
        <v>0</v>
      </c>
      <c r="D118" s="94">
        <f>COUNTIFS('capacity data'!B:B,'cluster capacity, unallocateds'!B118,'capacity data'!E:E,"DMY")</f>
        <v>0</v>
      </c>
      <c r="E118" s="94">
        <f>SUMIFS('capacity data'!K:K,'capacity data'!E:E,"DMY",'capacity data'!B:B,'cluster capacity, unallocateds'!B118)</f>
        <v>0</v>
      </c>
      <c r="F118" s="66" t="str">
        <f t="shared" si="23"/>
        <v/>
      </c>
      <c r="G118" s="75">
        <f>SUMIFS('capacity data'!K:K,'capacity data'!E:E,"SPO",'capacity data'!B:B,'cluster capacity, unallocateds'!B118)</f>
        <v>0</v>
      </c>
      <c r="H118" s="161">
        <f t="shared" si="24"/>
        <v>0</v>
      </c>
      <c r="I118" s="164" t="str">
        <f t="shared" si="25"/>
        <v/>
      </c>
    </row>
    <row r="119" spans="2:9" x14ac:dyDescent="0.15">
      <c r="B119" s="62">
        <f>HLOOKUP($B$4,Region_Table,23,0)</f>
        <v>0</v>
      </c>
      <c r="C119" s="94">
        <f>SUMIF('capacity data'!B:B,'cluster capacity, unallocateds'!B119,'capacity data'!K:K)</f>
        <v>0</v>
      </c>
      <c r="D119" s="94">
        <f>COUNTIFS('capacity data'!B:B,'cluster capacity, unallocateds'!B119,'capacity data'!E:E,"DMY")</f>
        <v>0</v>
      </c>
      <c r="E119" s="94">
        <f>SUMIFS('capacity data'!K:K,'capacity data'!E:E,"DMY",'capacity data'!B:B,'cluster capacity, unallocateds'!B119)</f>
        <v>0</v>
      </c>
      <c r="F119" s="66" t="str">
        <f t="shared" si="23"/>
        <v/>
      </c>
      <c r="G119" s="75">
        <f>SUMIFS('capacity data'!K:K,'capacity data'!E:E,"SPO",'capacity data'!B:B,'cluster capacity, unallocateds'!B119)</f>
        <v>0</v>
      </c>
      <c r="H119" s="161">
        <f t="shared" si="24"/>
        <v>0</v>
      </c>
      <c r="I119" s="164" t="str">
        <f t="shared" si="25"/>
        <v/>
      </c>
    </row>
    <row r="120" spans="2:9" x14ac:dyDescent="0.15">
      <c r="B120" s="62">
        <f>HLOOKUP($B$4,Region_Table,24,0)</f>
        <v>0</v>
      </c>
      <c r="C120" s="94">
        <f>SUMIF('capacity data'!B:B,'cluster capacity, unallocateds'!B120,'capacity data'!K:K)</f>
        <v>0</v>
      </c>
      <c r="D120" s="94">
        <f>COUNTIFS('capacity data'!B:B,'cluster capacity, unallocateds'!B120,'capacity data'!E:E,"DMY")</f>
        <v>0</v>
      </c>
      <c r="E120" s="94">
        <f>SUMIFS('capacity data'!K:K,'capacity data'!E:E,"DMY",'capacity data'!B:B,'cluster capacity, unallocateds'!B120)</f>
        <v>0</v>
      </c>
      <c r="F120" s="66" t="str">
        <f t="shared" si="23"/>
        <v/>
      </c>
      <c r="G120" s="75">
        <f>SUMIFS('capacity data'!K:K,'capacity data'!E:E,"SPO",'capacity data'!B:B,'cluster capacity, unallocateds'!B120)</f>
        <v>0</v>
      </c>
      <c r="H120" s="161">
        <f t="shared" si="24"/>
        <v>0</v>
      </c>
      <c r="I120" s="164" t="str">
        <f t="shared" si="25"/>
        <v/>
      </c>
    </row>
    <row r="121" spans="2:9" x14ac:dyDescent="0.15">
      <c r="B121" s="62">
        <f>HLOOKUP($B$4,Region_Table,25,0)</f>
        <v>0</v>
      </c>
      <c r="C121" s="94">
        <f>SUMIF('capacity data'!B:B,'cluster capacity, unallocateds'!B121,'capacity data'!K:K)</f>
        <v>0</v>
      </c>
      <c r="D121" s="94">
        <f>COUNTIFS('capacity data'!B:B,'cluster capacity, unallocateds'!B121,'capacity data'!E:E,"DMY")</f>
        <v>0</v>
      </c>
      <c r="E121" s="94">
        <f>SUMIFS('capacity data'!K:K,'capacity data'!E:E,"DMY",'capacity data'!B:B,'cluster capacity, unallocateds'!B121)</f>
        <v>0</v>
      </c>
      <c r="F121" s="66" t="str">
        <f t="shared" si="23"/>
        <v/>
      </c>
      <c r="G121" s="75">
        <f>SUMIFS('capacity data'!K:K,'capacity data'!E:E,"SPO",'capacity data'!B:B,'cluster capacity, unallocateds'!B121)</f>
        <v>0</v>
      </c>
      <c r="H121" s="161">
        <f t="shared" si="24"/>
        <v>0</v>
      </c>
      <c r="I121" s="164" t="str">
        <f t="shared" si="25"/>
        <v/>
      </c>
    </row>
    <row r="122" spans="2:9" x14ac:dyDescent="0.15">
      <c r="B122" s="62">
        <f>HLOOKUP($B$4,Region_Table,26,0)</f>
        <v>0</v>
      </c>
      <c r="C122" s="94">
        <f>SUMIF('capacity data'!B:B,'cluster capacity, unallocateds'!B122,'capacity data'!K:K)</f>
        <v>0</v>
      </c>
      <c r="D122" s="94">
        <f>COUNTIFS('capacity data'!B:B,'cluster capacity, unallocateds'!B122,'capacity data'!E:E,"DMY")</f>
        <v>0</v>
      </c>
      <c r="E122" s="94">
        <f>SUMIFS('capacity data'!K:K,'capacity data'!E:E,"DMY",'capacity data'!B:B,'cluster capacity, unallocateds'!B122)</f>
        <v>0</v>
      </c>
      <c r="F122" s="66" t="str">
        <f t="shared" si="23"/>
        <v/>
      </c>
      <c r="G122" s="75">
        <f>SUMIFS('capacity data'!K:K,'capacity data'!E:E,"SPO",'capacity data'!B:B,'cluster capacity, unallocateds'!B122)</f>
        <v>0</v>
      </c>
      <c r="H122" s="161">
        <f t="shared" si="24"/>
        <v>0</v>
      </c>
      <c r="I122" s="164" t="str">
        <f t="shared" si="25"/>
        <v/>
      </c>
    </row>
    <row r="123" spans="2:9" x14ac:dyDescent="0.15">
      <c r="B123" s="62">
        <f>HLOOKUP($B$4,Region_Table,27,0)</f>
        <v>0</v>
      </c>
      <c r="C123" s="94">
        <f>SUMIF('capacity data'!B:B,'cluster capacity, unallocateds'!B123,'capacity data'!K:K)</f>
        <v>0</v>
      </c>
      <c r="D123" s="94">
        <f>COUNTIFS('capacity data'!B:B,'cluster capacity, unallocateds'!B123,'capacity data'!E:E,"DMY")</f>
        <v>0</v>
      </c>
      <c r="E123" s="94">
        <f>SUMIFS('capacity data'!K:K,'capacity data'!E:E,"DMY",'capacity data'!B:B,'cluster capacity, unallocateds'!B123)</f>
        <v>0</v>
      </c>
      <c r="F123" s="66" t="str">
        <f t="shared" si="23"/>
        <v/>
      </c>
      <c r="G123" s="75">
        <f>SUMIFS('capacity data'!K:K,'capacity data'!E:E,"SPO",'capacity data'!B:B,'cluster capacity, unallocateds'!B123)</f>
        <v>0</v>
      </c>
      <c r="H123" s="161">
        <f t="shared" si="24"/>
        <v>0</v>
      </c>
      <c r="I123" s="164" t="str">
        <f t="shared" si="25"/>
        <v/>
      </c>
    </row>
    <row r="124" spans="2:9" x14ac:dyDescent="0.15">
      <c r="B124" s="62">
        <f>HLOOKUP($B$4,Region_Table,28,0)</f>
        <v>0</v>
      </c>
      <c r="C124" s="94">
        <f>SUMIF('capacity data'!B:B,'cluster capacity, unallocateds'!B124,'capacity data'!K:K)</f>
        <v>0</v>
      </c>
      <c r="D124" s="94">
        <f>COUNTIFS('capacity data'!B:B,'cluster capacity, unallocateds'!B124,'capacity data'!E:E,"DMY")</f>
        <v>0</v>
      </c>
      <c r="E124" s="94">
        <f>SUMIFS('capacity data'!K:K,'capacity data'!E:E,"DMY",'capacity data'!B:B,'cluster capacity, unallocateds'!B124)</f>
        <v>0</v>
      </c>
      <c r="F124" s="66" t="str">
        <f t="shared" si="23"/>
        <v/>
      </c>
      <c r="G124" s="75">
        <f>SUMIFS('capacity data'!K:K,'capacity data'!E:E,"SPO",'capacity data'!B:B,'cluster capacity, unallocateds'!B124)</f>
        <v>0</v>
      </c>
      <c r="H124" s="161">
        <f t="shared" si="24"/>
        <v>0</v>
      </c>
      <c r="I124" s="164"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zoomScale="85" zoomScaleNormal="85" workbookViewId="0">
      <selection activeCell="F4" sqref="F4"/>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564" t="s">
        <v>1072</v>
      </c>
      <c r="B1" s="564"/>
      <c r="C1" s="564"/>
      <c r="D1" s="564"/>
      <c r="E1" s="564"/>
      <c r="F1" s="564"/>
      <c r="G1" s="564"/>
      <c r="H1" s="564"/>
      <c r="I1" s="564"/>
      <c r="J1" s="564"/>
      <c r="K1" s="564"/>
      <c r="L1" s="564"/>
      <c r="M1" s="564"/>
      <c r="N1" s="564"/>
      <c r="O1" s="564"/>
      <c r="P1" s="564"/>
      <c r="Q1" s="564"/>
      <c r="R1" s="564"/>
      <c r="S1" s="564"/>
      <c r="T1" s="564"/>
      <c r="U1" s="564"/>
      <c r="V1" s="564"/>
      <c r="W1" s="564"/>
      <c r="X1" s="564"/>
      <c r="Y1" s="564"/>
      <c r="Z1" s="564"/>
      <c r="AA1" s="564"/>
      <c r="AB1" s="564"/>
      <c r="AC1" s="564"/>
      <c r="AD1" s="564"/>
      <c r="AE1" s="564"/>
      <c r="AF1" s="564"/>
      <c r="AG1" s="564"/>
      <c r="AH1" s="564"/>
      <c r="AI1" s="564"/>
      <c r="AJ1" s="564"/>
      <c r="AK1" s="256"/>
      <c r="AL1" s="256"/>
      <c r="AM1" s="256"/>
      <c r="AN1" s="256"/>
      <c r="AO1" s="260"/>
      <c r="AP1" s="256"/>
      <c r="AQ1" s="256"/>
      <c r="AR1" s="256"/>
      <c r="AS1" s="256"/>
      <c r="AT1" s="256"/>
      <c r="AU1" s="256"/>
      <c r="AV1" s="256"/>
      <c r="AW1" s="256"/>
      <c r="AX1" s="256"/>
    </row>
    <row r="2" spans="1:50" ht="53.25" customHeight="1" x14ac:dyDescent="0.15">
      <c r="A2" s="253"/>
      <c r="B2" s="460" t="s">
        <v>1362</v>
      </c>
      <c r="C2" s="454"/>
      <c r="D2" s="454"/>
      <c r="E2" s="454"/>
      <c r="F2" s="454"/>
      <c r="G2" s="454"/>
      <c r="H2" s="454"/>
      <c r="I2" s="454"/>
      <c r="J2" s="454"/>
      <c r="K2" s="454"/>
      <c r="L2" s="454"/>
      <c r="M2" s="454"/>
      <c r="N2" s="454"/>
      <c r="O2" s="454"/>
      <c r="P2" s="454"/>
      <c r="Q2" s="454"/>
      <c r="R2" s="454"/>
      <c r="S2" s="454"/>
      <c r="T2" s="454"/>
      <c r="U2" s="454"/>
      <c r="V2" s="454"/>
      <c r="W2" s="454"/>
      <c r="X2" s="454"/>
      <c r="Y2" s="454"/>
      <c r="Z2" s="454"/>
      <c r="AA2" s="454"/>
      <c r="AB2" s="454"/>
      <c r="AC2" s="454"/>
      <c r="AD2" s="454"/>
      <c r="AE2" s="454"/>
      <c r="AF2" s="454"/>
      <c r="AG2" s="454"/>
      <c r="AH2" s="454"/>
      <c r="AI2" s="454"/>
      <c r="AJ2" s="454"/>
      <c r="AK2" s="261"/>
      <c r="AL2" s="261"/>
      <c r="AM2" s="261"/>
      <c r="AN2" s="261"/>
      <c r="AO2" s="261"/>
      <c r="AP2" s="261"/>
      <c r="AQ2" s="261"/>
      <c r="AR2" s="261"/>
      <c r="AS2" s="261"/>
      <c r="AT2" s="261"/>
      <c r="AU2" s="261"/>
      <c r="AV2" s="261"/>
      <c r="AW2" s="261"/>
      <c r="AX2" s="261"/>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885</v>
      </c>
    </row>
    <row r="5" spans="1:50" ht="24" customHeight="1" x14ac:dyDescent="0.15">
      <c r="B5" s="242" t="s">
        <v>17</v>
      </c>
      <c r="P5" s="40"/>
      <c r="Q5" s="40"/>
    </row>
    <row r="6" spans="1:50" x14ac:dyDescent="0.15">
      <c r="B6" s="46"/>
    </row>
    <row r="8" spans="1:50" ht="28.5" customHeight="1" x14ac:dyDescent="0.15">
      <c r="B8" s="142" t="str">
        <f>HLOOKUP($B$5,Region_Table,2,0)</f>
        <v>All East Midlands Region</v>
      </c>
      <c r="C8" s="556" t="s">
        <v>1073</v>
      </c>
      <c r="D8" s="557"/>
      <c r="E8" s="557"/>
      <c r="F8" s="557"/>
      <c r="G8" s="557"/>
      <c r="H8" s="557"/>
      <c r="I8" s="557"/>
      <c r="J8" s="557"/>
      <c r="K8" s="557"/>
      <c r="L8" s="557"/>
      <c r="M8" s="566"/>
      <c r="N8" s="566"/>
      <c r="O8" s="567"/>
      <c r="P8" s="543">
        <f>SUMIFS('caseload data'!V:V,'caseload data'!B:B,"custody",'caseload data'!C:C,'custody caseload'!B8)</f>
        <v>0</v>
      </c>
      <c r="Q8" s="560"/>
      <c r="R8" s="561"/>
      <c r="S8" s="64"/>
      <c r="T8" s="142" t="str">
        <f>HLOOKUP($B$5,Region_Table,3,0)</f>
        <v>Derby City - N53</v>
      </c>
      <c r="U8" s="556" t="s">
        <v>1073</v>
      </c>
      <c r="V8" s="557"/>
      <c r="W8" s="557"/>
      <c r="X8" s="557"/>
      <c r="Y8" s="557"/>
      <c r="Z8" s="557"/>
      <c r="AA8" s="557"/>
      <c r="AB8" s="557"/>
      <c r="AC8" s="557"/>
      <c r="AD8" s="557"/>
      <c r="AE8" s="566"/>
      <c r="AF8" s="566"/>
      <c r="AG8" s="567"/>
      <c r="AH8" s="543">
        <f>SUMIFS('caseload data'!V:V,'caseload data'!B:B,"custody",'caseload data'!C:C,'custody caseload'!T8)</f>
        <v>0</v>
      </c>
      <c r="AI8" s="560"/>
      <c r="AJ8" s="561"/>
    </row>
    <row r="9" spans="1:50" x14ac:dyDescent="0.15">
      <c r="B9" s="95" t="s">
        <v>951</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951</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94">
        <f>SUMIFS('caseload data'!E:E,'caseload data'!$D:$D,"PO",'caseload data'!$C:$C,'custody caseload'!$B$8,'caseload data'!$B:$B,"custody")</f>
        <v>0</v>
      </c>
      <c r="D10" s="94">
        <f>SUMIFS('caseload data'!F:F,'caseload data'!$D:$D,"PO",'caseload data'!$C:$C,'custody caseload'!$B$8,'caseload data'!$B:$B,"custody")</f>
        <v>0</v>
      </c>
      <c r="E10" s="94">
        <f>SUMIFS('caseload data'!G:G,'caseload data'!$D:$D,"PO",'caseload data'!$C:$C,'custody caseload'!$B$8,'caseload data'!$B:$B,"custody")</f>
        <v>0</v>
      </c>
      <c r="F10" s="94">
        <f>SUMIFS('caseload data'!H:H,'caseload data'!$D:$D,"PO",'caseload data'!$C:$C,'custody caseload'!$B$8,'caseload data'!$B:$B,"custody")</f>
        <v>0</v>
      </c>
      <c r="G10" s="94">
        <f>SUMIFS('caseload data'!I:I,'caseload data'!$D:$D,"PO",'caseload data'!$C:$C,'custody caseload'!$B$8,'caseload data'!$B:$B,"custody")</f>
        <v>0</v>
      </c>
      <c r="H10" s="94">
        <f>SUMIFS('caseload data'!J:J,'caseload data'!$D:$D,"PO",'caseload data'!$C:$C,'custody caseload'!$B$8,'caseload data'!$B:$B,"custody")</f>
        <v>0</v>
      </c>
      <c r="I10" s="94">
        <f>SUMIFS('caseload data'!K:K,'caseload data'!$D:$D,"PO",'caseload data'!$C:$C,'custody caseload'!$B$8,'caseload data'!$B:$B,"custody")</f>
        <v>0</v>
      </c>
      <c r="J10" s="94">
        <f>SUMIFS('caseload data'!L:L,'caseload data'!$D:$D,"PO",'caseload data'!$C:$C,'custody caseload'!$B$8,'caseload data'!$B:$B,"custody")</f>
        <v>0</v>
      </c>
      <c r="K10" s="94">
        <f>SUMIFS('caseload data'!M:M,'caseload data'!$D:$D,"PO",'caseload data'!$C:$C,'custody caseload'!$B$8,'caseload data'!$B:$B,"custody")</f>
        <v>0</v>
      </c>
      <c r="L10" s="94">
        <f>SUMIFS('caseload data'!N:N,'caseload data'!$D:$D,"PO",'caseload data'!$C:$C,'custody caseload'!$B$8,'caseload data'!$B:$B,"custody")</f>
        <v>0</v>
      </c>
      <c r="M10" s="94">
        <f>SUMIFS('caseload data'!O:O,'caseload data'!$D:$D,"PO",'caseload data'!$C:$C,'custody caseload'!$B$8,'caseload data'!$B:$B,"custody")</f>
        <v>0</v>
      </c>
      <c r="N10" s="94">
        <f>SUMIFS('caseload data'!P:P,'caseload data'!$D:$D,"PO",'caseload data'!$C:$C,'custody caseload'!$B$8,'caseload data'!$B:$B,"custody")</f>
        <v>0</v>
      </c>
      <c r="O10" s="94">
        <f>SUMIFS('caseload data'!Q:Q,'caseload data'!$D:$D,"PO",'caseload data'!$C:$C,'custody caseload'!$B$8,'caseload data'!$B:$B,"custody")</f>
        <v>0</v>
      </c>
      <c r="P10" s="94">
        <f>SUMIFS('caseload data'!R:R,'caseload data'!$D:$D,"PO",'caseload data'!$C:$C,'custody caseload'!$B$8,'caseload data'!$B:$B,"custody")</f>
        <v>0</v>
      </c>
      <c r="Q10" s="94">
        <f>SUMIFS('caseload data'!S:S,'caseload data'!$D:$D,"PO",'caseload data'!$C:$C,'custody caseload'!$B$8,'caseload data'!$B:$B,"custody")</f>
        <v>0</v>
      </c>
      <c r="R10" s="94">
        <f>SUMIFS('caseload data'!T:T,'caseload data'!$D:$D,"PO",'caseload data'!$C:$C,'custody caseload'!$B$8,'caseload data'!$B:$B,"custody")</f>
        <v>0</v>
      </c>
      <c r="S10" s="64"/>
      <c r="T10" s="96" t="s">
        <v>947</v>
      </c>
      <c r="U10" s="94">
        <f>SUMIFS('caseload data'!E:E,'caseload data'!$D:$D,"PO",'caseload data'!$C:$C,'custody caseload'!$T$8,'caseload data'!$B:$B,"custody")</f>
        <v>0</v>
      </c>
      <c r="V10" s="94">
        <f>SUMIFS('caseload data'!F:F,'caseload data'!$D:$D,"PO",'caseload data'!$C:$C,'custody caseload'!$T$8,'caseload data'!$B:$B,"custody")</f>
        <v>0</v>
      </c>
      <c r="W10" s="94">
        <f>SUMIFS('caseload data'!G:G,'caseload data'!$D:$D,"PO",'caseload data'!$C:$C,'custody caseload'!$T$8,'caseload data'!$B:$B,"custody")</f>
        <v>0</v>
      </c>
      <c r="X10" s="94">
        <f>SUMIFS('caseload data'!H:H,'caseload data'!$D:$D,"PO",'caseload data'!$C:$C,'custody caseload'!$T$8,'caseload data'!$B:$B,"custody")</f>
        <v>0</v>
      </c>
      <c r="Y10" s="94">
        <f>SUMIFS('caseload data'!I:I,'caseload data'!$D:$D,"PO",'caseload data'!$C:$C,'custody caseload'!$T$8,'caseload data'!$B:$B,"custody")</f>
        <v>0</v>
      </c>
      <c r="Z10" s="94">
        <f>SUMIFS('caseload data'!J:J,'caseload data'!$D:$D,"PO",'caseload data'!$C:$C,'custody caseload'!$T$8,'caseload data'!$B:$B,"custody")</f>
        <v>0</v>
      </c>
      <c r="AA10" s="94">
        <f>SUMIFS('caseload data'!K:K,'caseload data'!$D:$D,"PO",'caseload data'!$C:$C,'custody caseload'!$T$8,'caseload data'!$B:$B,"custody")</f>
        <v>0</v>
      </c>
      <c r="AB10" s="94">
        <f>SUMIFS('caseload data'!L:L,'caseload data'!$D:$D,"PO",'caseload data'!$C:$C,'custody caseload'!$T$8,'caseload data'!$B:$B,"custody")</f>
        <v>0</v>
      </c>
      <c r="AC10" s="94">
        <f>SUMIFS('caseload data'!M:M,'caseload data'!$D:$D,"PO",'caseload data'!$C:$C,'custody caseload'!$T$8,'caseload data'!$B:$B,"custody")</f>
        <v>0</v>
      </c>
      <c r="AD10" s="94">
        <f>SUMIFS('caseload data'!N:N,'caseload data'!$D:$D,"PO",'caseload data'!$C:$C,'custody caseload'!$T$8,'caseload data'!$B:$B,"custody")</f>
        <v>0</v>
      </c>
      <c r="AE10" s="94">
        <f>SUMIFS('caseload data'!O:O,'caseload data'!$D:$D,"PO",'caseload data'!$C:$C,'custody caseload'!$T$8,'caseload data'!$B:$B,"custody")</f>
        <v>0</v>
      </c>
      <c r="AF10" s="94">
        <f>SUMIFS('caseload data'!P:P,'caseload data'!$D:$D,"PO",'caseload data'!$C:$C,'custody caseload'!$T$8,'caseload data'!$B:$B,"custody")</f>
        <v>0</v>
      </c>
      <c r="AG10" s="94">
        <f>SUMIFS('caseload data'!Q:Q,'caseload data'!$D:$D,"PO",'caseload data'!$C:$C,'custody caseload'!$T$8,'caseload data'!$B:$B,"custody")</f>
        <v>0</v>
      </c>
      <c r="AH10" s="94">
        <f>SUMIFS('caseload data'!R:R,'caseload data'!$D:$D,"PO",'caseload data'!$C:$C,'custody caseload'!$T$8,'caseload data'!$B:$B,"custody")</f>
        <v>0</v>
      </c>
      <c r="AI10" s="94">
        <f>SUMIFS('caseload data'!S:S,'caseload data'!$D:$D,"PO",'caseload data'!$C:$C,'custody caseload'!$T$8,'caseload data'!$B:$B,"custody")</f>
        <v>0</v>
      </c>
      <c r="AJ10" s="94">
        <f>SUMIFS('caseload data'!T:T,'caseload data'!$D:$D,"PO",'caseload data'!$C:$C,'custody caseload'!$T$8,'caseload data'!$B:$B,"custody")</f>
        <v>0</v>
      </c>
    </row>
    <row r="11" spans="1:50" ht="15" x14ac:dyDescent="0.2">
      <c r="B11" s="97" t="s">
        <v>952</v>
      </c>
      <c r="C11" s="145">
        <f>SUMIFS('caseload data'!E:E,'caseload data'!$D:$D,"PSO",'caseload data'!$C:$C,'custody caseload'!$B$8,'caseload data'!$B:$B,"custody")</f>
        <v>0</v>
      </c>
      <c r="D11" s="145">
        <f>SUMIFS('caseload data'!F:F,'caseload data'!$D:$D,"PSO",'caseload data'!$C:$C,'custody caseload'!$B$8,'caseload data'!$B:$B,"custody")</f>
        <v>0</v>
      </c>
      <c r="E11" s="145">
        <f>SUMIFS('caseload data'!G:G,'caseload data'!$D:$D,"PSO",'caseload data'!$C:$C,'custody caseload'!$B$8,'caseload data'!$B:$B,"custody")</f>
        <v>0</v>
      </c>
      <c r="F11" s="145">
        <f>SUMIFS('caseload data'!H:H,'caseload data'!$D:$D,"PSO",'caseload data'!$C:$C,'custody caseload'!$B$8,'caseload data'!$B:$B,"custody")</f>
        <v>0</v>
      </c>
      <c r="G11" s="145">
        <f>SUMIFS('caseload data'!I:I,'caseload data'!$D:$D,"PSO",'caseload data'!$C:$C,'custody caseload'!$B$8,'caseload data'!$B:$B,"custody")</f>
        <v>0</v>
      </c>
      <c r="H11" s="145">
        <f>SUMIFS('caseload data'!J:J,'caseload data'!$D:$D,"PSO",'caseload data'!$C:$C,'custody caseload'!$B$8,'caseload data'!$B:$B,"custody")</f>
        <v>0</v>
      </c>
      <c r="I11" s="145">
        <f>SUMIFS('caseload data'!K:K,'caseload data'!$D:$D,"PSO",'caseload data'!$C:$C,'custody caseload'!$B$8,'caseload data'!$B:$B,"custody")</f>
        <v>0</v>
      </c>
      <c r="J11" s="145">
        <f>SUMIFS('caseload data'!L:L,'caseload data'!$D:$D,"PSO",'caseload data'!$C:$C,'custody caseload'!$B$8,'caseload data'!$B:$B,"custody")</f>
        <v>0</v>
      </c>
      <c r="K11" s="94">
        <f>SUMIFS('caseload data'!M:M,'caseload data'!$D:$D,"PSO",'caseload data'!$C:$C,'custody caseload'!$B$8,'caseload data'!$B:$B,"custody")</f>
        <v>0</v>
      </c>
      <c r="L11" s="94">
        <f>SUMIFS('caseload data'!N:N,'caseload data'!$D:$D,"PSO",'caseload data'!$C:$C,'custody caseload'!$B$8,'caseload data'!$B:$B,"custody")</f>
        <v>0</v>
      </c>
      <c r="M11" s="94">
        <f>SUMIFS('caseload data'!O:O,'caseload data'!$D:$D,"PSO",'caseload data'!$C:$C,'custody caseload'!$B$8,'caseload data'!$B:$B,"custody")</f>
        <v>0</v>
      </c>
      <c r="N11" s="94">
        <f>SUMIFS('caseload data'!P:P,'caseload data'!$D:$D,"PSO",'caseload data'!$C:$C,'custody caseload'!$B$8,'caseload data'!$B:$B,"custody")</f>
        <v>0</v>
      </c>
      <c r="O11" s="94">
        <f>SUMIFS('caseload data'!Q:Q,'caseload data'!$D:$D,"PSO",'caseload data'!$C:$C,'custody caseload'!$B$8,'caseload data'!$B:$B,"custody")</f>
        <v>0</v>
      </c>
      <c r="P11" s="94">
        <f>SUMIFS('caseload data'!R:R,'caseload data'!$D:$D,"PSO",'caseload data'!$C:$C,'custody caseload'!$B$8,'caseload data'!$B:$B,"custody")</f>
        <v>0</v>
      </c>
      <c r="Q11" s="94">
        <f>SUMIFS('caseload data'!S:S,'caseload data'!$D:$D,"PSO",'caseload data'!$C:$C,'custody caseload'!$B$8,'caseload data'!$B:$B,"custody")</f>
        <v>0</v>
      </c>
      <c r="R11" s="94">
        <f>SUMIFS('caseload data'!T:T,'caseload data'!$D:$D,"PSO",'caseload data'!$C:$C,'custody caseload'!$B$8,'caseload data'!$B:$B,"custody")</f>
        <v>0</v>
      </c>
      <c r="S11" s="64"/>
      <c r="T11" s="97" t="s">
        <v>952</v>
      </c>
      <c r="U11" s="145">
        <f>SUMIFS('caseload data'!E:E,'caseload data'!$D:$D,"PSO",'caseload data'!$C:$C,'custody caseload'!$T$8,'caseload data'!$B:$B,"custody")</f>
        <v>0</v>
      </c>
      <c r="V11" s="145">
        <f>SUMIFS('caseload data'!F:F,'caseload data'!$D:$D,"PSO",'caseload data'!$C:$C,'custody caseload'!$T$8,'caseload data'!$B:$B,"custody")</f>
        <v>0</v>
      </c>
      <c r="W11" s="145">
        <f>SUMIFS('caseload data'!G:G,'caseload data'!$D:$D,"PSO",'caseload data'!$C:$C,'custody caseload'!$T$8,'caseload data'!$B:$B,"custody")</f>
        <v>0</v>
      </c>
      <c r="X11" s="145">
        <f>SUMIFS('caseload data'!H:H,'caseload data'!$D:$D,"PSO",'caseload data'!$C:$C,'custody caseload'!$T$8,'caseload data'!$B:$B,"custody")</f>
        <v>0</v>
      </c>
      <c r="Y11" s="145">
        <f>SUMIFS('caseload data'!I:I,'caseload data'!$D:$D,"PSO",'caseload data'!$C:$C,'custody caseload'!$T$8,'caseload data'!$B:$B,"custody")</f>
        <v>0</v>
      </c>
      <c r="Z11" s="145">
        <f>SUMIFS('caseload data'!J:J,'caseload data'!$D:$D,"PSO",'caseload data'!$C:$C,'custody caseload'!$T$8,'caseload data'!$B:$B,"custody")</f>
        <v>0</v>
      </c>
      <c r="AA11" s="145">
        <f>SUMIFS('caseload data'!K:K,'caseload data'!$D:$D,"PSO",'caseload data'!$C:$C,'custody caseload'!$T$8,'caseload data'!$B:$B,"custody")</f>
        <v>0</v>
      </c>
      <c r="AB11" s="145">
        <f>SUMIFS('caseload data'!L:L,'caseload data'!$D:$D,"PSO",'caseload data'!$C:$C,'custody caseload'!$T$8,'caseload data'!$B:$B,"custody")</f>
        <v>0</v>
      </c>
      <c r="AC11" s="94">
        <f>SUMIFS('caseload data'!M:M,'caseload data'!$D:$D,"PSO",'caseload data'!$C:$C,'custody caseload'!$T$8,'caseload data'!$B:$B,"custody")</f>
        <v>0</v>
      </c>
      <c r="AD11" s="94">
        <f>SUMIFS('caseload data'!N:N,'caseload data'!$D:$D,"PSO",'caseload data'!$C:$C,'custody caseload'!$T$8,'caseload data'!$B:$B,"custody")</f>
        <v>0</v>
      </c>
      <c r="AE11" s="94">
        <f>SUMIFS('caseload data'!O:O,'caseload data'!$D:$D,"PSO",'caseload data'!$C:$C,'custody caseload'!$T$8,'caseload data'!$B:$B,"custody")</f>
        <v>0</v>
      </c>
      <c r="AF11" s="94">
        <f>SUMIFS('caseload data'!P:P,'caseload data'!$D:$D,"PSO",'caseload data'!$C:$C,'custody caseload'!$T$8,'caseload data'!$B:$B,"custody")</f>
        <v>0</v>
      </c>
      <c r="AG11" s="94">
        <f>SUMIFS('caseload data'!Q:Q,'caseload data'!$D:$D,"PSO",'caseload data'!$C:$C,'custody caseload'!$T$8,'caseload data'!$B:$B,"custody")</f>
        <v>0</v>
      </c>
      <c r="AH11" s="94">
        <f>SUMIFS('caseload data'!R:R,'caseload data'!$D:$D,"PSO",'caseload data'!$C:$C,'custody caseload'!$T$8,'caseload data'!$B:$B,"custody")</f>
        <v>0</v>
      </c>
      <c r="AI11" s="94">
        <f>SUMIFS('caseload data'!S:S,'caseload data'!$D:$D,"PSO",'caseload data'!$C:$C,'custody caseload'!$T$8,'caseload data'!$B:$B,"custody")</f>
        <v>0</v>
      </c>
      <c r="AJ11" s="94">
        <f>SUMIFS('caseload data'!T:T,'caseload data'!$D:$D,"PSO",'caseload data'!$C:$C,'custody caseload'!$T$8,'caseload data'!$B:$B,"custody")</f>
        <v>0</v>
      </c>
    </row>
    <row r="12" spans="1:50" ht="15" x14ac:dyDescent="0.2">
      <c r="B12" s="97" t="s">
        <v>953</v>
      </c>
      <c r="C12" s="145">
        <f>SUMIFS('caseload data'!E:E,'caseload data'!$D:$D,"TPO",'caseload data'!$C:$C,'custody caseload'!$B$8,'caseload data'!$B:$B,"custody")</f>
        <v>0</v>
      </c>
      <c r="D12" s="145">
        <f>SUMIFS('caseload data'!F:F,'caseload data'!$D:$D,"TPO",'caseload data'!$C:$C,'custody caseload'!$B$8,'caseload data'!$B:$B,"custody")</f>
        <v>0</v>
      </c>
      <c r="E12" s="145">
        <f>SUMIFS('caseload data'!G:G,'caseload data'!$D:$D,"TPO",'caseload data'!$C:$C,'custody caseload'!$B$8,'caseload data'!$B:$B,"custody")</f>
        <v>0</v>
      </c>
      <c r="F12" s="145">
        <f>SUMIFS('caseload data'!H:H,'caseload data'!$D:$D,"TPO",'caseload data'!$C:$C,'custody caseload'!$B$8,'caseload data'!$B:$B,"custody")</f>
        <v>0</v>
      </c>
      <c r="G12" s="145">
        <f>SUMIFS('caseload data'!I:I,'caseload data'!$D:$D,"TPO",'caseload data'!$C:$C,'custody caseload'!$B$8,'caseload data'!$B:$B,"custody")</f>
        <v>0</v>
      </c>
      <c r="H12" s="145">
        <f>SUMIFS('caseload data'!J:J,'caseload data'!$D:$D,"TPO",'caseload data'!$C:$C,'custody caseload'!$B$8,'caseload data'!$B:$B,"custody")</f>
        <v>0</v>
      </c>
      <c r="I12" s="145">
        <f>SUMIFS('caseload data'!K:K,'caseload data'!$D:$D,"TPO",'caseload data'!$C:$C,'custody caseload'!$B$8,'caseload data'!$B:$B,"custody")</f>
        <v>0</v>
      </c>
      <c r="J12" s="145">
        <f>SUMIFS('caseload data'!L:L,'caseload data'!$D:$D,"TPO",'caseload data'!$C:$C,'custody caseload'!$B$8,'caseload data'!$B:$B,"custody")</f>
        <v>0</v>
      </c>
      <c r="K12" s="94">
        <f>SUMIFS('caseload data'!M:M,'caseload data'!$D:$D,"TPO",'caseload data'!$C:$C,'custody caseload'!$B$8,'caseload data'!$B:$B,"custody")</f>
        <v>0</v>
      </c>
      <c r="L12" s="94">
        <f>SUMIFS('caseload data'!N:N,'caseload data'!$D:$D,"TPO",'caseload data'!$C:$C,'custody caseload'!$B$8,'caseload data'!$B:$B,"custody")</f>
        <v>0</v>
      </c>
      <c r="M12" s="94">
        <f>SUMIFS('caseload data'!O:O,'caseload data'!$D:$D,"TPO",'caseload data'!$C:$C,'custody caseload'!$B$8,'caseload data'!$B:$B,"custody")</f>
        <v>0</v>
      </c>
      <c r="N12" s="94">
        <f>SUMIFS('caseload data'!P:P,'caseload data'!$D:$D,"TPO",'caseload data'!$C:$C,'custody caseload'!$B$8,'caseload data'!$B:$B,"custody")</f>
        <v>0</v>
      </c>
      <c r="O12" s="94">
        <f>SUMIFS('caseload data'!Q:Q,'caseload data'!$D:$D,"TPO",'caseload data'!$C:$C,'custody caseload'!$B$8,'caseload data'!$B:$B,"custody")</f>
        <v>0</v>
      </c>
      <c r="P12" s="94">
        <f>SUMIFS('caseload data'!R:R,'caseload data'!$D:$D,"TPO",'caseload data'!$C:$C,'custody caseload'!$B$8,'caseload data'!$B:$B,"custody")</f>
        <v>0</v>
      </c>
      <c r="Q12" s="94">
        <f>SUMIFS('caseload data'!S:S,'caseload data'!$D:$D,"TPO",'caseload data'!$C:$C,'custody caseload'!$B$8,'caseload data'!$B:$B,"custody")</f>
        <v>0</v>
      </c>
      <c r="R12" s="94">
        <f>SUMIFS('caseload data'!T:T,'caseload data'!$D:$D,"TPO",'caseload data'!$C:$C,'custody caseload'!$B$8,'caseload data'!$B:$B,"custody")</f>
        <v>0</v>
      </c>
      <c r="S12" s="64"/>
      <c r="T12" s="97" t="s">
        <v>953</v>
      </c>
      <c r="U12" s="145">
        <f>SUMIFS('caseload data'!E:E,'caseload data'!$D:$D,"TPO",'caseload data'!$C:$C,'custody caseload'!$T$8,'caseload data'!$B:$B,"custody")</f>
        <v>0</v>
      </c>
      <c r="V12" s="145">
        <f>SUMIFS('caseload data'!F:F,'caseload data'!$D:$D,"TPO",'caseload data'!$C:$C,'custody caseload'!$T$8,'caseload data'!$B:$B,"custody")</f>
        <v>0</v>
      </c>
      <c r="W12" s="145">
        <f>SUMIFS('caseload data'!G:G,'caseload data'!$D:$D,"TPO",'caseload data'!$C:$C,'custody caseload'!$T$8,'caseload data'!$B:$B,"custody")</f>
        <v>0</v>
      </c>
      <c r="X12" s="145">
        <f>SUMIFS('caseload data'!H:H,'caseload data'!$D:$D,"TPO",'caseload data'!$C:$C,'custody caseload'!$T$8,'caseload data'!$B:$B,"custody")</f>
        <v>0</v>
      </c>
      <c r="Y12" s="145">
        <f>SUMIFS('caseload data'!I:I,'caseload data'!$D:$D,"TPO",'caseload data'!$C:$C,'custody caseload'!$T$8,'caseload data'!$B:$B,"custody")</f>
        <v>0</v>
      </c>
      <c r="Z12" s="145">
        <f>SUMIFS('caseload data'!J:J,'caseload data'!$D:$D,"TPO",'caseload data'!$C:$C,'custody caseload'!$T$8,'caseload data'!$B:$B,"custody")</f>
        <v>0</v>
      </c>
      <c r="AA12" s="145">
        <f>SUMIFS('caseload data'!K:K,'caseload data'!$D:$D,"TPO",'caseload data'!$C:$C,'custody caseload'!$T$8,'caseload data'!$B:$B,"custody")</f>
        <v>0</v>
      </c>
      <c r="AB12" s="145">
        <f>SUMIFS('caseload data'!L:L,'caseload data'!$D:$D,"TPO",'caseload data'!$C:$C,'custody caseload'!$T$8,'caseload data'!$B:$B,"custody")</f>
        <v>0</v>
      </c>
      <c r="AC12" s="94">
        <f>SUMIFS('caseload data'!M:M,'caseload data'!$D:$D,"TPO",'caseload data'!$C:$C,'custody caseload'!$T$8,'caseload data'!$B:$B,"custody")</f>
        <v>0</v>
      </c>
      <c r="AD12" s="94">
        <f>SUMIFS('caseload data'!N:N,'caseload data'!$D:$D,"TPO",'caseload data'!$C:$C,'custody caseload'!$T$8,'caseload data'!$B:$B,"custody")</f>
        <v>0</v>
      </c>
      <c r="AE12" s="94">
        <f>SUMIFS('caseload data'!O:O,'caseload data'!$D:$D,"TPO",'caseload data'!$C:$C,'custody caseload'!$T$8,'caseload data'!$B:$B,"custody")</f>
        <v>0</v>
      </c>
      <c r="AF12" s="94">
        <f>SUMIFS('caseload data'!P:P,'caseload data'!$D:$D,"TPO",'caseload data'!$C:$C,'custody caseload'!$T$8,'caseload data'!$B:$B,"custody")</f>
        <v>0</v>
      </c>
      <c r="AG12" s="94">
        <f>SUMIFS('caseload data'!Q:Q,'caseload data'!$D:$D,"TPO",'caseload data'!$C:$C,'custody caseload'!$T$8,'caseload data'!$B:$B,"custody")</f>
        <v>0</v>
      </c>
      <c r="AH12" s="94">
        <f>SUMIFS('caseload data'!R:R,'caseload data'!$D:$D,"TPO",'caseload data'!$C:$C,'custody caseload'!$T$8,'caseload data'!$B:$B,"custody")</f>
        <v>0</v>
      </c>
      <c r="AI12" s="94">
        <f>SUMIFS('caseload data'!S:S,'caseload data'!$D:$D,"TPO",'caseload data'!$C:$C,'custody caseload'!$T$8,'caseload data'!$B:$B,"custody")</f>
        <v>0</v>
      </c>
      <c r="AJ12" s="94">
        <f>SUMIFS('caseload data'!T:T,'caseload data'!$D:$D,"TPO",'caseload data'!$C:$C,'custody caseload'!$T$8,'caseload data'!$B:$B,"custody")</f>
        <v>0</v>
      </c>
    </row>
    <row r="13" spans="1:50" x14ac:dyDescent="0.15">
      <c r="B13" s="98" t="s">
        <v>954</v>
      </c>
      <c r="C13" s="94">
        <f>SUMIFS('caseload data'!E:E,'caseload data'!$D:$D,"SPO",'caseload data'!$C:$C,'custody caseload'!$B$8,'caseload data'!$B:$B,"custody")</f>
        <v>0</v>
      </c>
      <c r="D13" s="94">
        <f>SUMIFS('caseload data'!F:F,'caseload data'!$D:$D,"SPO",'caseload data'!$C:$C,'custody caseload'!$B$8,'caseload data'!$B:$B,"custody")</f>
        <v>0</v>
      </c>
      <c r="E13" s="94">
        <f>SUMIFS('caseload data'!G:G,'caseload data'!$D:$D,"SPO",'caseload data'!$C:$C,'custody caseload'!$B$8,'caseload data'!$B:$B,"custody")</f>
        <v>0</v>
      </c>
      <c r="F13" s="94">
        <f>SUMIFS('caseload data'!H:H,'caseload data'!$D:$D,"SPO",'caseload data'!$C:$C,'custody caseload'!$B$8,'caseload data'!$B:$B,"custody")</f>
        <v>0</v>
      </c>
      <c r="G13" s="94">
        <f>SUMIFS('caseload data'!I:I,'caseload data'!$D:$D,"SPO",'caseload data'!$C:$C,'custody caseload'!$B$8,'caseload data'!$B:$B,"custody")</f>
        <v>0</v>
      </c>
      <c r="H13" s="94">
        <f>SUMIFS('caseload data'!J:J,'caseload data'!$D:$D,"SPO",'caseload data'!$C:$C,'custody caseload'!$B$8,'caseload data'!$B:$B,"custody")</f>
        <v>0</v>
      </c>
      <c r="I13" s="94">
        <f>SUMIFS('caseload data'!K:K,'caseload data'!$D:$D,"SPO",'caseload data'!$C:$C,'custody caseload'!$B$8,'caseload data'!$B:$B,"custody")</f>
        <v>0</v>
      </c>
      <c r="J13" s="94">
        <f>SUMIFS('caseload data'!L:L,'caseload data'!$D:$D,"SPO",'caseload data'!$C:$C,'custody caseload'!$B$8,'caseload data'!$B:$B,"custody")</f>
        <v>0</v>
      </c>
      <c r="K13" s="94">
        <f>SUMIFS('caseload data'!M:M,'caseload data'!$D:$D,"SPO",'caseload data'!$C:$C,'custody caseload'!$B$8,'caseload data'!$B:$B,"custody")</f>
        <v>0</v>
      </c>
      <c r="L13" s="94">
        <f>SUMIFS('caseload data'!N:N,'caseload data'!$D:$D,"SPO",'caseload data'!$C:$C,'custody caseload'!$B$8,'caseload data'!$B:$B,"custody")</f>
        <v>0</v>
      </c>
      <c r="M13" s="94">
        <f>SUMIFS('caseload data'!O:O,'caseload data'!$D:$D,"SPO",'caseload data'!$C:$C,'custody caseload'!$B$8,'caseload data'!$B:$B,"custody")</f>
        <v>0</v>
      </c>
      <c r="N13" s="94">
        <f>SUMIFS('caseload data'!P:P,'caseload data'!$D:$D,"SPO",'caseload data'!$C:$C,'custody caseload'!$B$8,'caseload data'!$B:$B,"custody")</f>
        <v>0</v>
      </c>
      <c r="O13" s="94">
        <f>SUMIFS('caseload data'!Q:Q,'caseload data'!$D:$D,"SPO",'caseload data'!$C:$C,'custody caseload'!$B$8,'caseload data'!$B:$B,"custody")</f>
        <v>0</v>
      </c>
      <c r="P13" s="94">
        <f>SUMIFS('caseload data'!R:R,'caseload data'!$D:$D,"SPO",'caseload data'!$C:$C,'custody caseload'!$B$8,'caseload data'!$B:$B,"custody")</f>
        <v>0</v>
      </c>
      <c r="Q13" s="94">
        <f>SUMIFS('caseload data'!S:S,'caseload data'!$D:$D,"SPO",'caseload data'!$C:$C,'custody caseload'!$B$8,'caseload data'!$B:$B,"custody")</f>
        <v>0</v>
      </c>
      <c r="R13" s="94">
        <f>SUMIFS('caseload data'!T:T,'caseload data'!$D:$D,"SPO",'caseload data'!$C:$C,'custody caseload'!$B$8,'caseload data'!$B:$B,"custody")</f>
        <v>0</v>
      </c>
      <c r="S13" s="64"/>
      <c r="T13" s="98" t="s">
        <v>954</v>
      </c>
      <c r="U13" s="94">
        <f>SUMIFS('caseload data'!E:E,'caseload data'!$D:$D,"SPO",'caseload data'!$C:$C,'custody caseload'!$T$8,'caseload data'!$B:$B,"custody")</f>
        <v>0</v>
      </c>
      <c r="V13" s="94">
        <f>SUMIFS('caseload data'!F:F,'caseload data'!$D:$D,"SPO",'caseload data'!$C:$C,'custody caseload'!$T$8,'caseload data'!$B:$B,"custody")</f>
        <v>0</v>
      </c>
      <c r="W13" s="94">
        <f>SUMIFS('caseload data'!G:G,'caseload data'!$D:$D,"SPO",'caseload data'!$C:$C,'custody caseload'!$T$8,'caseload data'!$B:$B,"custody")</f>
        <v>0</v>
      </c>
      <c r="X13" s="94">
        <f>SUMIFS('caseload data'!H:H,'caseload data'!$D:$D,"SPO",'caseload data'!$C:$C,'custody caseload'!$T$8,'caseload data'!$B:$B,"custody")</f>
        <v>0</v>
      </c>
      <c r="Y13" s="94">
        <f>SUMIFS('caseload data'!I:I,'caseload data'!$D:$D,"SPO",'caseload data'!$C:$C,'custody caseload'!$T$8,'caseload data'!$B:$B,"custody")</f>
        <v>0</v>
      </c>
      <c r="Z13" s="94">
        <f>SUMIFS('caseload data'!J:J,'caseload data'!$D:$D,"SPO",'caseload data'!$C:$C,'custody caseload'!$T$8,'caseload data'!$B:$B,"custody")</f>
        <v>0</v>
      </c>
      <c r="AA13" s="94">
        <f>SUMIFS('caseload data'!K:K,'caseload data'!$D:$D,"SPO",'caseload data'!$C:$C,'custody caseload'!$T$8,'caseload data'!$B:$B,"custody")</f>
        <v>0</v>
      </c>
      <c r="AB13" s="94">
        <f>SUMIFS('caseload data'!L:L,'caseload data'!$D:$D,"SPO",'caseload data'!$C:$C,'custody caseload'!$T$8,'caseload data'!$B:$B,"custody")</f>
        <v>0</v>
      </c>
      <c r="AC13" s="94">
        <f>SUMIFS('caseload data'!M:M,'caseload data'!$D:$D,"SPO",'caseload data'!$C:$C,'custody caseload'!$T$8,'caseload data'!$B:$B,"custody")</f>
        <v>0</v>
      </c>
      <c r="AD13" s="94">
        <f>SUMIFS('caseload data'!N:N,'caseload data'!$D:$D,"SPO",'caseload data'!$C:$C,'custody caseload'!$T$8,'caseload data'!$B:$B,"custody")</f>
        <v>0</v>
      </c>
      <c r="AE13" s="94">
        <f>SUMIFS('caseload data'!O:O,'caseload data'!$D:$D,"SPO",'caseload data'!$C:$C,'custody caseload'!$T$8,'caseload data'!$B:$B,"custody")</f>
        <v>0</v>
      </c>
      <c r="AF13" s="94">
        <f>SUMIFS('caseload data'!P:P,'caseload data'!$D:$D,"SPO",'caseload data'!$C:$C,'custody caseload'!$T$8,'caseload data'!$B:$B,"custody")</f>
        <v>0</v>
      </c>
      <c r="AG13" s="94">
        <f>SUMIFS('caseload data'!Q:Q,'caseload data'!$D:$D,"SPO",'caseload data'!$C:$C,'custody caseload'!$T$8,'caseload data'!$B:$B,"custody")</f>
        <v>0</v>
      </c>
      <c r="AH13" s="94">
        <f>SUMIFS('caseload data'!R:R,'caseload data'!$D:$D,"SPO",'caseload data'!$C:$C,'custody caseload'!$T$8,'caseload data'!$B:$B,"custody")</f>
        <v>0</v>
      </c>
      <c r="AI13" s="94">
        <f>SUMIFS('caseload data'!S:S,'caseload data'!$D:$D,"SPO",'caseload data'!$C:$C,'custody caseload'!$T$8,'caseload data'!$B:$B,"custody")</f>
        <v>0</v>
      </c>
      <c r="AJ13" s="94">
        <f>SUMIFS('caseload data'!T:T,'caseload data'!$D:$D,"SPO",'caseload data'!$C:$C,'custody caseload'!$T$8,'caseload data'!$B:$B,"custody")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142" t="str">
        <f>HLOOKUP($B$5,Region_Table,4,0)</f>
        <v>Derbyshire - N53</v>
      </c>
      <c r="C15" s="556" t="s">
        <v>1073</v>
      </c>
      <c r="D15" s="557"/>
      <c r="E15" s="557"/>
      <c r="F15" s="557"/>
      <c r="G15" s="557"/>
      <c r="H15" s="557"/>
      <c r="I15" s="557"/>
      <c r="J15" s="557"/>
      <c r="K15" s="557"/>
      <c r="L15" s="557"/>
      <c r="M15" s="566"/>
      <c r="N15" s="566"/>
      <c r="O15" s="567"/>
      <c r="P15" s="543">
        <f>SUMIFS('caseload data'!V:V,'caseload data'!B:B,"custody",'caseload data'!$C:$C,'custody caseload'!B15)</f>
        <v>0</v>
      </c>
      <c r="Q15" s="560"/>
      <c r="R15" s="561"/>
      <c r="S15" s="64"/>
      <c r="T15" s="142" t="str">
        <f>HLOOKUP($B$5,Region_Table,5,0)</f>
        <v>Leicester, Leicestershire and Rutland</v>
      </c>
      <c r="U15" s="556" t="s">
        <v>1073</v>
      </c>
      <c r="V15" s="557"/>
      <c r="W15" s="557"/>
      <c r="X15" s="557"/>
      <c r="Y15" s="557"/>
      <c r="Z15" s="557"/>
      <c r="AA15" s="557"/>
      <c r="AB15" s="557"/>
      <c r="AC15" s="557"/>
      <c r="AD15" s="557"/>
      <c r="AE15" s="566"/>
      <c r="AF15" s="566"/>
      <c r="AG15" s="567"/>
      <c r="AH15" s="543">
        <f>SUMIFS('caseload data'!V:V,'caseload data'!B:B,"custody",'caseload data'!$C:$C,'custody caseload'!T15)</f>
        <v>0</v>
      </c>
      <c r="AI15" s="560"/>
      <c r="AJ15" s="561"/>
    </row>
    <row r="16" spans="1:50" x14ac:dyDescent="0.15">
      <c r="B16" s="95" t="s">
        <v>951</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951</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94">
        <f>SUMIFS('caseload data'!E:E,'caseload data'!$D:$D,"PO",'caseload data'!$C:$C,'custody caseload'!$B$15,'caseload data'!$B:$B,"custody")</f>
        <v>0</v>
      </c>
      <c r="D17" s="94">
        <f>SUMIFS('caseload data'!F:F,'caseload data'!$D:$D,"PO",'caseload data'!$C:$C,'custody caseload'!$B$15,'caseload data'!$B:$B,"custody")</f>
        <v>0</v>
      </c>
      <c r="E17" s="94">
        <f>SUMIFS('caseload data'!G:G,'caseload data'!$D:$D,"PO",'caseload data'!$C:$C,'custody caseload'!$B$15,'caseload data'!$B:$B,"custody")</f>
        <v>0</v>
      </c>
      <c r="F17" s="94">
        <f>SUMIFS('caseload data'!H:H,'caseload data'!$D:$D,"PO",'caseload data'!$C:$C,'custody caseload'!$B$15,'caseload data'!$B:$B,"custody")</f>
        <v>0</v>
      </c>
      <c r="G17" s="94">
        <f>SUMIFS('caseload data'!I:I,'caseload data'!$D:$D,"PO",'caseload data'!$C:$C,'custody caseload'!$B$15,'caseload data'!$B:$B,"custody")</f>
        <v>0</v>
      </c>
      <c r="H17" s="94">
        <f>SUMIFS('caseload data'!J:J,'caseload data'!$D:$D,"PO",'caseload data'!$C:$C,'custody caseload'!$B$15,'caseload data'!$B:$B,"custody")</f>
        <v>0</v>
      </c>
      <c r="I17" s="94">
        <f>SUMIFS('caseload data'!K:K,'caseload data'!$D:$D,"PO",'caseload data'!$C:$C,'custody caseload'!$B$15,'caseload data'!$B:$B,"custody")</f>
        <v>0</v>
      </c>
      <c r="J17" s="94">
        <f>SUMIFS('caseload data'!L:L,'caseload data'!$D:$D,"PO",'caseload data'!$C:$C,'custody caseload'!$B$15,'caseload data'!$B:$B,"custody")</f>
        <v>0</v>
      </c>
      <c r="K17" s="94">
        <f>SUMIFS('caseload data'!M:M,'caseload data'!$D:$D,"PO",'caseload data'!$C:$C,'custody caseload'!$B$15,'caseload data'!$B:$B,"custody")</f>
        <v>0</v>
      </c>
      <c r="L17" s="94">
        <f>SUMIFS('caseload data'!N:N,'caseload data'!$D:$D,"PO",'caseload data'!$C:$C,'custody caseload'!$B$15,'caseload data'!$B:$B,"custody")</f>
        <v>0</v>
      </c>
      <c r="M17" s="94">
        <f>SUMIFS('caseload data'!O:O,'caseload data'!$D:$D,"PO",'caseload data'!$C:$C,'custody caseload'!$B$15,'caseload data'!$B:$B,"custody")</f>
        <v>0</v>
      </c>
      <c r="N17" s="94">
        <f>SUMIFS('caseload data'!P:P,'caseload data'!$D:$D,"PO",'caseload data'!$C:$C,'custody caseload'!$B$15,'caseload data'!$B:$B,"custody")</f>
        <v>0</v>
      </c>
      <c r="O17" s="94">
        <f>SUMIFS('caseload data'!Q:Q,'caseload data'!$D:$D,"PO",'caseload data'!$C:$C,'custody caseload'!$B$15,'caseload data'!$B:$B,"custody")</f>
        <v>0</v>
      </c>
      <c r="P17" s="94">
        <f>SUMIFS('caseload data'!R:R,'caseload data'!$D:$D,"PO",'caseload data'!$C:$C,'custody caseload'!$B$15,'caseload data'!$B:$B,"custody")</f>
        <v>0</v>
      </c>
      <c r="Q17" s="94">
        <f>SUMIFS('caseload data'!S:S,'caseload data'!$D:$D,"PO",'caseload data'!$C:$C,'custody caseload'!$B$15,'caseload data'!$B:$B,"custody")</f>
        <v>0</v>
      </c>
      <c r="R17" s="94">
        <f>SUMIFS('caseload data'!T:T,'caseload data'!$D:$D,"PO",'caseload data'!$C:$C,'custody caseload'!$B$15,'caseload data'!$B:$B,"custody")</f>
        <v>0</v>
      </c>
      <c r="S17" s="64"/>
      <c r="T17" s="96" t="s">
        <v>947</v>
      </c>
      <c r="U17" s="94">
        <f>SUMIFS('caseload data'!E:E,'caseload data'!$D:$D,"PO",'caseload data'!$C:$C,'custody caseload'!$T$15,'caseload data'!$B:$B,"custody")</f>
        <v>0</v>
      </c>
      <c r="V17" s="94">
        <f>SUMIFS('caseload data'!F:F,'caseload data'!$D:$D,"PO",'caseload data'!$C:$C,'custody caseload'!$T$15,'caseload data'!$B:$B,"custody")</f>
        <v>0</v>
      </c>
      <c r="W17" s="94">
        <f>SUMIFS('caseload data'!G:G,'caseload data'!$D:$D,"PO",'caseload data'!$C:$C,'custody caseload'!$T$15,'caseload data'!$B:$B,"custody")</f>
        <v>0</v>
      </c>
      <c r="X17" s="94">
        <f>SUMIFS('caseload data'!H:H,'caseload data'!$D:$D,"PO",'caseload data'!$C:$C,'custody caseload'!$T$15,'caseload data'!$B:$B,"custody")</f>
        <v>0</v>
      </c>
      <c r="Y17" s="94">
        <f>SUMIFS('caseload data'!I:I,'caseload data'!$D:$D,"PO",'caseload data'!$C:$C,'custody caseload'!$T$15,'caseload data'!$B:$B,"custody")</f>
        <v>0</v>
      </c>
      <c r="Z17" s="94">
        <f>SUMIFS('caseload data'!J:J,'caseload data'!$D:$D,"PO",'caseload data'!$C:$C,'custody caseload'!$T$15,'caseload data'!$B:$B,"custody")</f>
        <v>0</v>
      </c>
      <c r="AA17" s="94">
        <f>SUMIFS('caseload data'!K:K,'caseload data'!$D:$D,"PO",'caseload data'!$C:$C,'custody caseload'!$T$15,'caseload data'!$B:$B,"custody")</f>
        <v>0</v>
      </c>
      <c r="AB17" s="94">
        <f>SUMIFS('caseload data'!L:L,'caseload data'!$D:$D,"PO",'caseload data'!$C:$C,'custody caseload'!$T$15,'caseload data'!$B:$B,"custody")</f>
        <v>0</v>
      </c>
      <c r="AC17" s="94">
        <f>SUMIFS('caseload data'!M:M,'caseload data'!$D:$D,"PO",'caseload data'!$C:$C,'custody caseload'!$T$15,'caseload data'!$B:$B,"custody")</f>
        <v>0</v>
      </c>
      <c r="AD17" s="94">
        <f>SUMIFS('caseload data'!N:N,'caseload data'!$D:$D,"PO",'caseload data'!$C:$C,'custody caseload'!$T$15,'caseload data'!$B:$B,"custody")</f>
        <v>0</v>
      </c>
      <c r="AE17" s="94">
        <f>SUMIFS('caseload data'!O:O,'caseload data'!$D:$D,"PO",'caseload data'!$C:$C,'custody caseload'!$T$15,'caseload data'!$B:$B,"custody")</f>
        <v>0</v>
      </c>
      <c r="AF17" s="94">
        <f>SUMIFS('caseload data'!P:P,'caseload data'!$D:$D,"PO",'caseload data'!$C:$C,'custody caseload'!$T$15,'caseload data'!$B:$B,"custody")</f>
        <v>0</v>
      </c>
      <c r="AG17" s="94">
        <f>SUMIFS('caseload data'!Q:Q,'caseload data'!$D:$D,"PO",'caseload data'!$C:$C,'custody caseload'!$T$15,'caseload data'!$B:$B,"custody")</f>
        <v>0</v>
      </c>
      <c r="AH17" s="94">
        <f>SUMIFS('caseload data'!R:R,'caseload data'!$D:$D,"PO",'caseload data'!$C:$C,'custody caseload'!$T$15,'caseload data'!$B:$B,"custody")</f>
        <v>0</v>
      </c>
      <c r="AI17" s="94">
        <f>SUMIFS('caseload data'!S:S,'caseload data'!$D:$D,"PO",'caseload data'!$C:$C,'custody caseload'!$T$15,'caseload data'!$B:$B,"custody")</f>
        <v>0</v>
      </c>
      <c r="AJ17" s="94">
        <f>SUMIFS('caseload data'!T:T,'caseload data'!$D:$D,"PO",'caseload data'!$C:$C,'custody caseload'!$T$15,'caseload data'!$B:$B,"custody")</f>
        <v>0</v>
      </c>
    </row>
    <row r="18" spans="2:36" ht="15" x14ac:dyDescent="0.2">
      <c r="B18" s="97" t="s">
        <v>952</v>
      </c>
      <c r="C18" s="145">
        <f>SUMIFS('caseload data'!E:E,'caseload data'!$D:$D,"PSO",'caseload data'!$C:$C,'custody caseload'!$B$15,'caseload data'!$B:$B,"custody")</f>
        <v>0</v>
      </c>
      <c r="D18" s="145">
        <f>SUMIFS('caseload data'!F:F,'caseload data'!$D:$D,"PSO",'caseload data'!$C:$C,'custody caseload'!$B$15,'caseload data'!$B:$B,"custody")</f>
        <v>0</v>
      </c>
      <c r="E18" s="145">
        <f>SUMIFS('caseload data'!G:G,'caseload data'!$D:$D,"PSO",'caseload data'!$C:$C,'custody caseload'!$B$15,'caseload data'!$B:$B,"custody")</f>
        <v>0</v>
      </c>
      <c r="F18" s="145">
        <f>SUMIFS('caseload data'!H:H,'caseload data'!$D:$D,"PSO",'caseload data'!$C:$C,'custody caseload'!$B$15,'caseload data'!$B:$B,"custody")</f>
        <v>0</v>
      </c>
      <c r="G18" s="145">
        <f>SUMIFS('caseload data'!I:I,'caseload data'!$D:$D,"PSO",'caseload data'!$C:$C,'custody caseload'!$B$15,'caseload data'!$B:$B,"custody")</f>
        <v>0</v>
      </c>
      <c r="H18" s="145">
        <f>SUMIFS('caseload data'!J:J,'caseload data'!$D:$D,"PSO",'caseload data'!$C:$C,'custody caseload'!$B$15,'caseload data'!$B:$B,"custody")</f>
        <v>0</v>
      </c>
      <c r="I18" s="145">
        <f>SUMIFS('caseload data'!K:K,'caseload data'!$D:$D,"PSO",'caseload data'!$C:$C,'custody caseload'!$B$15,'caseload data'!$B:$B,"custody")</f>
        <v>0</v>
      </c>
      <c r="J18" s="145">
        <f>SUMIFS('caseload data'!L:L,'caseload data'!$D:$D,"PSO",'caseload data'!$C:$C,'custody caseload'!$B$15,'caseload data'!$B:$B,"custody")</f>
        <v>0</v>
      </c>
      <c r="K18" s="94">
        <f>SUMIFS('caseload data'!M:M,'caseload data'!$D:$D,"PSO",'caseload data'!$C:$C,'custody caseload'!$B$15,'caseload data'!$B:$B,"custody")</f>
        <v>0</v>
      </c>
      <c r="L18" s="94">
        <f>SUMIFS('caseload data'!N:N,'caseload data'!$D:$D,"PSO",'caseload data'!$C:$C,'custody caseload'!$B$15,'caseload data'!$B:$B,"custody")</f>
        <v>0</v>
      </c>
      <c r="M18" s="94">
        <f>SUMIFS('caseload data'!O:O,'caseload data'!$D:$D,"PSO",'caseload data'!$C:$C,'custody caseload'!$B$15,'caseload data'!$B:$B,"custody")</f>
        <v>0</v>
      </c>
      <c r="N18" s="94">
        <f>SUMIFS('caseload data'!P:P,'caseload data'!$D:$D,"PSO",'caseload data'!$C:$C,'custody caseload'!$B$15,'caseload data'!$B:$B,"custody")</f>
        <v>0</v>
      </c>
      <c r="O18" s="94">
        <f>SUMIFS('caseload data'!Q:Q,'caseload data'!$D:$D,"PSO",'caseload data'!$C:$C,'custody caseload'!$B$15,'caseload data'!$B:$B,"custody")</f>
        <v>0</v>
      </c>
      <c r="P18" s="94">
        <f>SUMIFS('caseload data'!R:R,'caseload data'!$D:$D,"PSO",'caseload data'!$C:$C,'custody caseload'!$B$15,'caseload data'!$B:$B,"custody")</f>
        <v>0</v>
      </c>
      <c r="Q18" s="94">
        <f>SUMIFS('caseload data'!S:S,'caseload data'!$D:$D,"PSO",'caseload data'!$C:$C,'custody caseload'!$B$15,'caseload data'!$B:$B,"custody")</f>
        <v>0</v>
      </c>
      <c r="R18" s="94">
        <f>SUMIFS('caseload data'!T:T,'caseload data'!$D:$D,"PSO",'caseload data'!$C:$C,'custody caseload'!$B$15,'caseload data'!$B:$B,"custody")</f>
        <v>0</v>
      </c>
      <c r="S18" s="64"/>
      <c r="T18" s="97" t="s">
        <v>952</v>
      </c>
      <c r="U18" s="145">
        <f>SUMIFS('caseload data'!E:E,'caseload data'!$D:$D,"PSO",'caseload data'!$C:$C,'custody caseload'!$T$15,'caseload data'!$B:$B,"custody")</f>
        <v>0</v>
      </c>
      <c r="V18" s="145">
        <f>SUMIFS('caseload data'!F:F,'caseload data'!$D:$D,"PSO",'caseload data'!$C:$C,'custody caseload'!$T$15,'caseload data'!$B:$B,"custody")</f>
        <v>0</v>
      </c>
      <c r="W18" s="145">
        <f>SUMIFS('caseload data'!G:G,'caseload data'!$D:$D,"PSO",'caseload data'!$C:$C,'custody caseload'!$T$15,'caseload data'!$B:$B,"custody")</f>
        <v>0</v>
      </c>
      <c r="X18" s="145">
        <f>SUMIFS('caseload data'!H:H,'caseload data'!$D:$D,"PSO",'caseload data'!$C:$C,'custody caseload'!$T$15,'caseload data'!$B:$B,"custody")</f>
        <v>0</v>
      </c>
      <c r="Y18" s="145">
        <f>SUMIFS('caseload data'!I:I,'caseload data'!$D:$D,"PSO",'caseload data'!$C:$C,'custody caseload'!$T$15,'caseload data'!$B:$B,"custody")</f>
        <v>0</v>
      </c>
      <c r="Z18" s="145">
        <f>SUMIFS('caseload data'!J:J,'caseload data'!$D:$D,"PSO",'caseload data'!$C:$C,'custody caseload'!$T$15,'caseload data'!$B:$B,"custody")</f>
        <v>0</v>
      </c>
      <c r="AA18" s="145">
        <f>SUMIFS('caseload data'!K:K,'caseload data'!$D:$D,"PSO",'caseload data'!$C:$C,'custody caseload'!$T$15,'caseload data'!$B:$B,"custody")</f>
        <v>0</v>
      </c>
      <c r="AB18" s="145">
        <f>SUMIFS('caseload data'!L:L,'caseload data'!$D:$D,"PSO",'caseload data'!$C:$C,'custody caseload'!$T$15,'caseload data'!$B:$B,"custody")</f>
        <v>0</v>
      </c>
      <c r="AC18" s="94">
        <f>SUMIFS('caseload data'!M:M,'caseload data'!$D:$D,"PSO",'caseload data'!$C:$C,'custody caseload'!$T$15,'caseload data'!$B:$B,"custody")</f>
        <v>0</v>
      </c>
      <c r="AD18" s="94">
        <f>SUMIFS('caseload data'!N:N,'caseload data'!$D:$D,"PSO",'caseload data'!$C:$C,'custody caseload'!$T$15,'caseload data'!$B:$B,"custody")</f>
        <v>0</v>
      </c>
      <c r="AE18" s="94">
        <f>SUMIFS('caseload data'!O:O,'caseload data'!$D:$D,"PSO",'caseload data'!$C:$C,'custody caseload'!$T$15,'caseload data'!$B:$B,"custody")</f>
        <v>0</v>
      </c>
      <c r="AF18" s="94">
        <f>SUMIFS('caseload data'!P:P,'caseload data'!$D:$D,"PSO",'caseload data'!$C:$C,'custody caseload'!$T$15,'caseload data'!$B:$B,"custody")</f>
        <v>0</v>
      </c>
      <c r="AG18" s="94">
        <f>SUMIFS('caseload data'!Q:Q,'caseload data'!$D:$D,"PSO",'caseload data'!$C:$C,'custody caseload'!$T$15,'caseload data'!$B:$B,"custody")</f>
        <v>0</v>
      </c>
      <c r="AH18" s="94">
        <f>SUMIFS('caseload data'!R:R,'caseload data'!$D:$D,"PSO",'caseload data'!$C:$C,'custody caseload'!$T$15,'caseload data'!$B:$B,"custody")</f>
        <v>0</v>
      </c>
      <c r="AI18" s="94">
        <f>SUMIFS('caseload data'!S:S,'caseload data'!$D:$D,"PSO",'caseload data'!$C:$C,'custody caseload'!$T$15,'caseload data'!$B:$B,"custody")</f>
        <v>0</v>
      </c>
      <c r="AJ18" s="94">
        <f>SUMIFS('caseload data'!T:T,'caseload data'!$D:$D,"PSO",'caseload data'!$C:$C,'custody caseload'!$T$15,'caseload data'!$B:$B,"custody")</f>
        <v>0</v>
      </c>
    </row>
    <row r="19" spans="2:36" ht="15" x14ac:dyDescent="0.2">
      <c r="B19" s="97" t="s">
        <v>953</v>
      </c>
      <c r="C19" s="145">
        <f>SUMIFS('caseload data'!E:E,'caseload data'!$D:$D,"TPO",'caseload data'!$C:$C,'custody caseload'!$B$15,'caseload data'!$B:$B,"custody")</f>
        <v>0</v>
      </c>
      <c r="D19" s="145">
        <f>SUMIFS('caseload data'!F:F,'caseload data'!$D:$D,"TPO",'caseload data'!$C:$C,'custody caseload'!$B$15,'caseload data'!$B:$B,"custody")</f>
        <v>0</v>
      </c>
      <c r="E19" s="145">
        <f>SUMIFS('caseload data'!G:G,'caseload data'!$D:$D,"TPO",'caseload data'!$C:$C,'custody caseload'!$B$15,'caseload data'!$B:$B,"custody")</f>
        <v>0</v>
      </c>
      <c r="F19" s="145">
        <f>SUMIFS('caseload data'!H:H,'caseload data'!$D:$D,"TPO",'caseload data'!$C:$C,'custody caseload'!$B$15,'caseload data'!$B:$B,"custody")</f>
        <v>0</v>
      </c>
      <c r="G19" s="145">
        <f>SUMIFS('caseload data'!I:I,'caseload data'!$D:$D,"TPO",'caseload data'!$C:$C,'custody caseload'!$B$15,'caseload data'!$B:$B,"custody")</f>
        <v>0</v>
      </c>
      <c r="H19" s="145">
        <f>SUMIFS('caseload data'!J:J,'caseload data'!$D:$D,"TPO",'caseload data'!$C:$C,'custody caseload'!$B$15,'caseload data'!$B:$B,"custody")</f>
        <v>0</v>
      </c>
      <c r="I19" s="145">
        <f>SUMIFS('caseload data'!K:K,'caseload data'!$D:$D,"TPO",'caseload data'!$C:$C,'custody caseload'!$B$15,'caseload data'!$B:$B,"custody")</f>
        <v>0</v>
      </c>
      <c r="J19" s="145">
        <f>SUMIFS('caseload data'!L:L,'caseload data'!$D:$D,"TPO",'caseload data'!$C:$C,'custody caseload'!$B$15,'caseload data'!$B:$B,"custody")</f>
        <v>0</v>
      </c>
      <c r="K19" s="94">
        <f>SUMIFS('caseload data'!M:M,'caseload data'!$D:$D,"TPO",'caseload data'!$C:$C,'custody caseload'!$B$15,'caseload data'!$B:$B,"custody")</f>
        <v>0</v>
      </c>
      <c r="L19" s="94">
        <f>SUMIFS('caseload data'!N:N,'caseload data'!$D:$D,"TPO",'caseload data'!$C:$C,'custody caseload'!$B$15,'caseload data'!$B:$B,"custody")</f>
        <v>0</v>
      </c>
      <c r="M19" s="94">
        <f>SUMIFS('caseload data'!O:O,'caseload data'!$D:$D,"TPO",'caseload data'!$C:$C,'custody caseload'!$B$15,'caseload data'!$B:$B,"custody")</f>
        <v>0</v>
      </c>
      <c r="N19" s="94">
        <f>SUMIFS('caseload data'!P:P,'caseload data'!$D:$D,"TPO",'caseload data'!$C:$C,'custody caseload'!$B$15,'caseload data'!$B:$B,"custody")</f>
        <v>0</v>
      </c>
      <c r="O19" s="94">
        <f>SUMIFS('caseload data'!Q:Q,'caseload data'!$D:$D,"TPO",'caseload data'!$C:$C,'custody caseload'!$B$15,'caseload data'!$B:$B,"custody")</f>
        <v>0</v>
      </c>
      <c r="P19" s="94">
        <f>SUMIFS('caseload data'!R:R,'caseload data'!$D:$D,"TPO",'caseload data'!$C:$C,'custody caseload'!$B$15,'caseload data'!$B:$B,"custody")</f>
        <v>0</v>
      </c>
      <c r="Q19" s="94">
        <f>SUMIFS('caseload data'!S:S,'caseload data'!$D:$D,"TPO",'caseload data'!$C:$C,'custody caseload'!$B$15,'caseload data'!$B:$B,"custody")</f>
        <v>0</v>
      </c>
      <c r="R19" s="94">
        <f>SUMIFS('caseload data'!T:T,'caseload data'!$D:$D,"TPO",'caseload data'!$C:$C,'custody caseload'!$B$15,'caseload data'!$B:$B,"custody")</f>
        <v>0</v>
      </c>
      <c r="S19" s="64"/>
      <c r="T19" s="97" t="s">
        <v>953</v>
      </c>
      <c r="U19" s="145">
        <f>SUMIFS('caseload data'!E:E,'caseload data'!$D:$D,"TPO",'caseload data'!$C:$C,'custody caseload'!$T$15,'caseload data'!$B:$B,"custody")</f>
        <v>0</v>
      </c>
      <c r="V19" s="145">
        <f>SUMIFS('caseload data'!F:F,'caseload data'!$D:$D,"TPO",'caseload data'!$C:$C,'custody caseload'!$T$15,'caseload data'!$B:$B,"custody")</f>
        <v>0</v>
      </c>
      <c r="W19" s="145">
        <f>SUMIFS('caseload data'!G:G,'caseload data'!$D:$D,"TPO",'caseload data'!$C:$C,'custody caseload'!$T$15,'caseload data'!$B:$B,"custody")</f>
        <v>0</v>
      </c>
      <c r="X19" s="145">
        <f>SUMIFS('caseload data'!H:H,'caseload data'!$D:$D,"TPO",'caseload data'!$C:$C,'custody caseload'!$T$15,'caseload data'!$B:$B,"custody")</f>
        <v>0</v>
      </c>
      <c r="Y19" s="145">
        <f>SUMIFS('caseload data'!I:I,'caseload data'!$D:$D,"TPO",'caseload data'!$C:$C,'custody caseload'!$T$15,'caseload data'!$B:$B,"custody")</f>
        <v>0</v>
      </c>
      <c r="Z19" s="145">
        <f>SUMIFS('caseload data'!J:J,'caseload data'!$D:$D,"TPO",'caseload data'!$C:$C,'custody caseload'!$T$15,'caseload data'!$B:$B,"custody")</f>
        <v>0</v>
      </c>
      <c r="AA19" s="145">
        <f>SUMIFS('caseload data'!K:K,'caseload data'!$D:$D,"TPO",'caseload data'!$C:$C,'custody caseload'!$T$15,'caseload data'!$B:$B,"custody")</f>
        <v>0</v>
      </c>
      <c r="AB19" s="145">
        <f>SUMIFS('caseload data'!L:L,'caseload data'!$D:$D,"TPO",'caseload data'!$C:$C,'custody caseload'!$T$15,'caseload data'!$B:$B,"custody")</f>
        <v>0</v>
      </c>
      <c r="AC19" s="94">
        <f>SUMIFS('caseload data'!M:M,'caseload data'!$D:$D,"TPO",'caseload data'!$C:$C,'custody caseload'!$T$15,'caseload data'!$B:$B,"custody")</f>
        <v>0</v>
      </c>
      <c r="AD19" s="94">
        <f>SUMIFS('caseload data'!N:N,'caseload data'!$D:$D,"TPO",'caseload data'!$C:$C,'custody caseload'!$T$15,'caseload data'!$B:$B,"custody")</f>
        <v>0</v>
      </c>
      <c r="AE19" s="94">
        <f>SUMIFS('caseload data'!O:O,'caseload data'!$D:$D,"TPO",'caseload data'!$C:$C,'custody caseload'!$T$15,'caseload data'!$B:$B,"custody")</f>
        <v>0</v>
      </c>
      <c r="AF19" s="94">
        <f>SUMIFS('caseload data'!P:P,'caseload data'!$D:$D,"TPO",'caseload data'!$C:$C,'custody caseload'!$T$15,'caseload data'!$B:$B,"custody")</f>
        <v>0</v>
      </c>
      <c r="AG19" s="94">
        <f>SUMIFS('caseload data'!Q:Q,'caseload data'!$D:$D,"TPO",'caseload data'!$C:$C,'custody caseload'!$T$15,'caseload data'!$B:$B,"custody")</f>
        <v>0</v>
      </c>
      <c r="AH19" s="94">
        <f>SUMIFS('caseload data'!R:R,'caseload data'!$D:$D,"TPO",'caseload data'!$C:$C,'custody caseload'!$T$15,'caseload data'!$B:$B,"custody")</f>
        <v>0</v>
      </c>
      <c r="AI19" s="94">
        <f>SUMIFS('caseload data'!S:S,'caseload data'!$D:$D,"TPO",'caseload data'!$C:$C,'custody caseload'!$T$15,'caseload data'!$B:$B,"custody")</f>
        <v>0</v>
      </c>
      <c r="AJ19" s="94">
        <f>SUMIFS('caseload data'!T:T,'caseload data'!$D:$D,"TPO",'caseload data'!$C:$C,'custody caseload'!$T$15,'caseload data'!$B:$B,"custody")</f>
        <v>0</v>
      </c>
    </row>
    <row r="20" spans="2:36" x14ac:dyDescent="0.15">
      <c r="B20" s="98" t="s">
        <v>954</v>
      </c>
      <c r="C20" s="94">
        <f>SUMIFS('caseload data'!E:E,'caseload data'!$D:$D,"SPO",'caseload data'!$C:$C,'custody caseload'!$B$15,'caseload data'!$B:$B,"custody")</f>
        <v>0</v>
      </c>
      <c r="D20" s="94">
        <f>SUMIFS('caseload data'!F:F,'caseload data'!$D:$D,"SPO",'caseload data'!$C:$C,'custody caseload'!$B$15,'caseload data'!$B:$B,"custody")</f>
        <v>0</v>
      </c>
      <c r="E20" s="94">
        <f>SUMIFS('caseload data'!G:G,'caseload data'!$D:$D,"SPO",'caseload data'!$C:$C,'custody caseload'!$B$15,'caseload data'!$B:$B,"custody")</f>
        <v>0</v>
      </c>
      <c r="F20" s="94">
        <f>SUMIFS('caseload data'!H:H,'caseload data'!$D:$D,"SPO",'caseload data'!$C:$C,'custody caseload'!$B$15,'caseload data'!$B:$B,"custody")</f>
        <v>0</v>
      </c>
      <c r="G20" s="94">
        <f>SUMIFS('caseload data'!I:I,'caseload data'!$D:$D,"SPO",'caseload data'!$C:$C,'custody caseload'!$B$15,'caseload data'!$B:$B,"custody")</f>
        <v>0</v>
      </c>
      <c r="H20" s="94">
        <f>SUMIFS('caseload data'!J:J,'caseload data'!$D:$D,"SPO",'caseload data'!$C:$C,'custody caseload'!$B$15,'caseload data'!$B:$B,"custody")</f>
        <v>0</v>
      </c>
      <c r="I20" s="94">
        <f>SUMIFS('caseload data'!K:K,'caseload data'!$D:$D,"SPO",'caseload data'!$C:$C,'custody caseload'!$B$15,'caseload data'!$B:$B,"custody")</f>
        <v>0</v>
      </c>
      <c r="J20" s="94">
        <f>SUMIFS('caseload data'!L:L,'caseload data'!$D:$D,"SPO",'caseload data'!$C:$C,'custody caseload'!$B$15,'caseload data'!$B:$B,"custody")</f>
        <v>0</v>
      </c>
      <c r="K20" s="94">
        <f>SUMIFS('caseload data'!M:M,'caseload data'!$D:$D,"SPO",'caseload data'!$C:$C,'custody caseload'!$B$15,'caseload data'!$B:$B,"custody")</f>
        <v>0</v>
      </c>
      <c r="L20" s="94">
        <f>SUMIFS('caseload data'!N:N,'caseload data'!$D:$D,"SPO",'caseload data'!$C:$C,'custody caseload'!$B$15,'caseload data'!$B:$B,"custody")</f>
        <v>0</v>
      </c>
      <c r="M20" s="94">
        <f>SUMIFS('caseload data'!O:O,'caseload data'!$D:$D,"SPO",'caseload data'!$C:$C,'custody caseload'!$B$15,'caseload data'!$B:$B,"custody")</f>
        <v>0</v>
      </c>
      <c r="N20" s="94">
        <f>SUMIFS('caseload data'!P:P,'caseload data'!$D:$D,"SPO",'caseload data'!$C:$C,'custody caseload'!$B$15,'caseload data'!$B:$B,"custody")</f>
        <v>0</v>
      </c>
      <c r="O20" s="94">
        <f>SUMIFS('caseload data'!Q:Q,'caseload data'!$D:$D,"SPO",'caseload data'!$C:$C,'custody caseload'!$B$15,'caseload data'!$B:$B,"custody")</f>
        <v>0</v>
      </c>
      <c r="P20" s="94">
        <f>SUMIFS('caseload data'!R:R,'caseload data'!$D:$D,"SPO",'caseload data'!$C:$C,'custody caseload'!$B$15,'caseload data'!$B:$B,"custody")</f>
        <v>0</v>
      </c>
      <c r="Q20" s="94">
        <f>SUMIFS('caseload data'!S:S,'caseload data'!$D:$D,"SPO",'caseload data'!$C:$C,'custody caseload'!$B$15,'caseload data'!$B:$B,"custody")</f>
        <v>0</v>
      </c>
      <c r="R20" s="94">
        <f>SUMIFS('caseload data'!T:T,'caseload data'!$D:$D,"SPO",'caseload data'!$C:$C,'custody caseload'!$B$15,'caseload data'!$B:$B,"custody")</f>
        <v>0</v>
      </c>
      <c r="S20" s="64"/>
      <c r="T20" s="98" t="s">
        <v>954</v>
      </c>
      <c r="U20" s="94">
        <f>SUMIFS('caseload data'!E:E,'caseload data'!$D:$D,"SPO",'caseload data'!$C:$C,'custody caseload'!$T$15,'caseload data'!$B:$B,"custody")</f>
        <v>0</v>
      </c>
      <c r="V20" s="94">
        <f>SUMIFS('caseload data'!F:F,'caseload data'!$D:$D,"SPO",'caseload data'!$C:$C,'custody caseload'!$T$15,'caseload data'!$B:$B,"custody")</f>
        <v>0</v>
      </c>
      <c r="W20" s="94">
        <f>SUMIFS('caseload data'!G:G,'caseload data'!$D:$D,"SPO",'caseload data'!$C:$C,'custody caseload'!$T$15,'caseload data'!$B:$B,"custody")</f>
        <v>0</v>
      </c>
      <c r="X20" s="94">
        <f>SUMIFS('caseload data'!H:H,'caseload data'!$D:$D,"SPO",'caseload data'!$C:$C,'custody caseload'!$T$15,'caseload data'!$B:$B,"custody")</f>
        <v>0</v>
      </c>
      <c r="Y20" s="94">
        <f>SUMIFS('caseload data'!I:I,'caseload data'!$D:$D,"SPO",'caseload data'!$C:$C,'custody caseload'!$T$15,'caseload data'!$B:$B,"custody")</f>
        <v>0</v>
      </c>
      <c r="Z20" s="94">
        <f>SUMIFS('caseload data'!J:J,'caseload data'!$D:$D,"SPO",'caseload data'!$C:$C,'custody caseload'!$T$15,'caseload data'!$B:$B,"custody")</f>
        <v>0</v>
      </c>
      <c r="AA20" s="94">
        <f>SUMIFS('caseload data'!K:K,'caseload data'!$D:$D,"SPO",'caseload data'!$C:$C,'custody caseload'!$T$15,'caseload data'!$B:$B,"custody")</f>
        <v>0</v>
      </c>
      <c r="AB20" s="94">
        <f>SUMIFS('caseload data'!L:L,'caseload data'!$D:$D,"SPO",'caseload data'!$C:$C,'custody caseload'!$T$15,'caseload data'!$B:$B,"custody")</f>
        <v>0</v>
      </c>
      <c r="AC20" s="94">
        <f>SUMIFS('caseload data'!M:M,'caseload data'!$D:$D,"SPO",'caseload data'!$C:$C,'custody caseload'!$T$15,'caseload data'!$B:$B,"custody")</f>
        <v>0</v>
      </c>
      <c r="AD20" s="94">
        <f>SUMIFS('caseload data'!N:N,'caseload data'!$D:$D,"SPO",'caseload data'!$C:$C,'custody caseload'!$T$15,'caseload data'!$B:$B,"custody")</f>
        <v>0</v>
      </c>
      <c r="AE20" s="94">
        <f>SUMIFS('caseload data'!O:O,'caseload data'!$D:$D,"SPO",'caseload data'!$C:$C,'custody caseload'!$T$15,'caseload data'!$B:$B,"custody")</f>
        <v>0</v>
      </c>
      <c r="AF20" s="94">
        <f>SUMIFS('caseload data'!P:P,'caseload data'!$D:$D,"SPO",'caseload data'!$C:$C,'custody caseload'!$T$15,'caseload data'!$B:$B,"custody")</f>
        <v>0</v>
      </c>
      <c r="AG20" s="94">
        <f>SUMIFS('caseload data'!Q:Q,'caseload data'!$D:$D,"SPO",'caseload data'!$C:$C,'custody caseload'!$T$15,'caseload data'!$B:$B,"custody")</f>
        <v>0</v>
      </c>
      <c r="AH20" s="94">
        <f>SUMIFS('caseload data'!R:R,'caseload data'!$D:$D,"SPO",'caseload data'!$C:$C,'custody caseload'!$T$15,'caseload data'!$B:$B,"custody")</f>
        <v>0</v>
      </c>
      <c r="AI20" s="94">
        <f>SUMIFS('caseload data'!S:S,'caseload data'!$D:$D,"SPO",'caseload data'!$C:$C,'custody caseload'!$T$15,'caseload data'!$B:$B,"custody")</f>
        <v>0</v>
      </c>
      <c r="AJ20" s="94">
        <f>SUMIFS('caseload data'!T:T,'caseload data'!$D:$D,"SPO",'caseload data'!$C:$C,'custody caseload'!$T$15,'caseload data'!$B:$B,"custody")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142" t="str">
        <f>HLOOKUP($B$5,Region_Table,6,0)</f>
        <v>Lincolnshire East and West - N53</v>
      </c>
      <c r="C22" s="556" t="s">
        <v>1073</v>
      </c>
      <c r="D22" s="557"/>
      <c r="E22" s="557"/>
      <c r="F22" s="557"/>
      <c r="G22" s="557"/>
      <c r="H22" s="557"/>
      <c r="I22" s="557"/>
      <c r="J22" s="557"/>
      <c r="K22" s="557"/>
      <c r="L22" s="557"/>
      <c r="M22" s="566"/>
      <c r="N22" s="566"/>
      <c r="O22" s="567"/>
      <c r="P22" s="543">
        <f>SUMIFS('caseload data'!V:V,'caseload data'!B:B,"custody",'caseload data'!$C:$C,'custody caseload'!B22)</f>
        <v>0</v>
      </c>
      <c r="Q22" s="560"/>
      <c r="R22" s="561"/>
      <c r="S22" s="64"/>
      <c r="T22" s="142" t="str">
        <f>HLOOKUP($B$5,Region_Table,7,0)</f>
        <v>Nottingham City</v>
      </c>
      <c r="U22" s="556" t="s">
        <v>1073</v>
      </c>
      <c r="V22" s="557"/>
      <c r="W22" s="557"/>
      <c r="X22" s="557"/>
      <c r="Y22" s="557"/>
      <c r="Z22" s="557"/>
      <c r="AA22" s="557"/>
      <c r="AB22" s="557"/>
      <c r="AC22" s="557"/>
      <c r="AD22" s="557"/>
      <c r="AE22" s="566"/>
      <c r="AF22" s="566"/>
      <c r="AG22" s="567"/>
      <c r="AH22" s="543">
        <f>SUMIFS('caseload data'!V:V,'caseload data'!B:B,"custody",'caseload data'!$C:$C,'custody caseload'!T22)</f>
        <v>0</v>
      </c>
      <c r="AI22" s="560"/>
      <c r="AJ22" s="561"/>
    </row>
    <row r="23" spans="2:36" x14ac:dyDescent="0.15">
      <c r="B23" s="95" t="s">
        <v>951</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951</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94">
        <f>SUMIFS('caseload data'!E:E,'caseload data'!$D:$D,"PO",'caseload data'!$C:$C,'custody caseload'!$B$22,'caseload data'!$B:$B,"custody")</f>
        <v>0</v>
      </c>
      <c r="D24" s="94">
        <f>SUMIFS('caseload data'!F:F,'caseload data'!$D:$D,"PO",'caseload data'!$C:$C,'custody caseload'!$B$22,'caseload data'!$B:$B,"custody")</f>
        <v>0</v>
      </c>
      <c r="E24" s="94">
        <f>SUMIFS('caseload data'!G:G,'caseload data'!$D:$D,"PO",'caseload data'!$C:$C,'custody caseload'!$B$22,'caseload data'!$B:$B,"custody")</f>
        <v>0</v>
      </c>
      <c r="F24" s="94">
        <f>SUMIFS('caseload data'!H:H,'caseload data'!$D:$D,"PO",'caseload data'!$C:$C,'custody caseload'!$B$22,'caseload data'!$B:$B,"custody")</f>
        <v>0</v>
      </c>
      <c r="G24" s="94">
        <f>SUMIFS('caseload data'!I:I,'caseload data'!$D:$D,"PO",'caseload data'!$C:$C,'custody caseload'!$B$22,'caseload data'!$B:$B,"custody")</f>
        <v>0</v>
      </c>
      <c r="H24" s="94">
        <f>SUMIFS('caseload data'!J:J,'caseload data'!$D:$D,"PO",'caseload data'!$C:$C,'custody caseload'!$B$22,'caseload data'!$B:$B,"custody")</f>
        <v>0</v>
      </c>
      <c r="I24" s="94">
        <f>SUMIFS('caseload data'!K:K,'caseload data'!$D:$D,"PO",'caseload data'!$C:$C,'custody caseload'!$B$22,'caseload data'!$B:$B,"custody")</f>
        <v>0</v>
      </c>
      <c r="J24" s="94">
        <f>SUMIFS('caseload data'!L:L,'caseload data'!$D:$D,"PO",'caseload data'!$C:$C,'custody caseload'!$B$22,'caseload data'!$B:$B,"custody")</f>
        <v>0</v>
      </c>
      <c r="K24" s="94">
        <f>SUMIFS('caseload data'!M:M,'caseload data'!$D:$D,"PO",'caseload data'!$C:$C,'custody caseload'!$B$22,'caseload data'!$B:$B,"custody")</f>
        <v>0</v>
      </c>
      <c r="L24" s="94">
        <f>SUMIFS('caseload data'!N:N,'caseload data'!$D:$D,"PO",'caseload data'!$C:$C,'custody caseload'!$B$22,'caseload data'!$B:$B,"custody")</f>
        <v>0</v>
      </c>
      <c r="M24" s="94">
        <f>SUMIFS('caseload data'!O:O,'caseload data'!$D:$D,"PO",'caseload data'!$C:$C,'custody caseload'!$B$22,'caseload data'!$B:$B,"custody")</f>
        <v>0</v>
      </c>
      <c r="N24" s="94">
        <f>SUMIFS('caseload data'!P:P,'caseload data'!$D:$D,"PO",'caseload data'!$C:$C,'custody caseload'!$B$22,'caseload data'!$B:$B,"custody")</f>
        <v>0</v>
      </c>
      <c r="O24" s="94">
        <f>SUMIFS('caseload data'!Q:Q,'caseload data'!$D:$D,"PO",'caseload data'!$C:$C,'custody caseload'!$B$22,'caseload data'!$B:$B,"custody")</f>
        <v>0</v>
      </c>
      <c r="P24" s="94">
        <f>SUMIFS('caseload data'!R:R,'caseload data'!$D:$D,"PO",'caseload data'!$C:$C,'custody caseload'!$B$22,'caseload data'!$B:$B,"custody")</f>
        <v>0</v>
      </c>
      <c r="Q24" s="94">
        <f>SUMIFS('caseload data'!S:S,'caseload data'!$D:$D,"PO",'caseload data'!$C:$C,'custody caseload'!$B$22,'caseload data'!$B:$B,"custody")</f>
        <v>0</v>
      </c>
      <c r="R24" s="94">
        <f>SUMIFS('caseload data'!T:T,'caseload data'!$D:$D,"PO",'caseload data'!$C:$C,'custody caseload'!$B$22,'caseload data'!$B:$B,"custody")</f>
        <v>0</v>
      </c>
      <c r="S24" s="64"/>
      <c r="T24" s="96" t="s">
        <v>947</v>
      </c>
      <c r="U24" s="94">
        <f>SUMIFS('caseload data'!E:E,'caseload data'!$D:$D,"PO",'caseload data'!$C:$C,'custody caseload'!$T$22,'caseload data'!$B:$B,"custody")</f>
        <v>0</v>
      </c>
      <c r="V24" s="94">
        <f>SUMIFS('caseload data'!F:F,'caseload data'!$D:$D,"PO",'caseload data'!$C:$C,'custody caseload'!$T$22,'caseload data'!$B:$B,"custody")</f>
        <v>0</v>
      </c>
      <c r="W24" s="94">
        <f>SUMIFS('caseload data'!G:G,'caseload data'!$D:$D,"PO",'caseload data'!$C:$C,'custody caseload'!$T$22,'caseload data'!$B:$B,"custody")</f>
        <v>0</v>
      </c>
      <c r="X24" s="94">
        <f>SUMIFS('caseload data'!H:H,'caseload data'!$D:$D,"PO",'caseload data'!$C:$C,'custody caseload'!$T$22,'caseload data'!$B:$B,"custody")</f>
        <v>0</v>
      </c>
      <c r="Y24" s="94">
        <f>SUMIFS('caseload data'!I:I,'caseload data'!$D:$D,"PO",'caseload data'!$C:$C,'custody caseload'!$T$22,'caseload data'!$B:$B,"custody")</f>
        <v>0</v>
      </c>
      <c r="Z24" s="94">
        <f>SUMIFS('caseload data'!J:J,'caseload data'!$D:$D,"PO",'caseload data'!$C:$C,'custody caseload'!$T$22,'caseload data'!$B:$B,"custody")</f>
        <v>0</v>
      </c>
      <c r="AA24" s="94">
        <f>SUMIFS('caseload data'!K:K,'caseload data'!$D:$D,"PO",'caseload data'!$C:$C,'custody caseload'!$T$22,'caseload data'!$B:$B,"custody")</f>
        <v>0</v>
      </c>
      <c r="AB24" s="94">
        <f>SUMIFS('caseload data'!L:L,'caseload data'!$D:$D,"PO",'caseload data'!$C:$C,'custody caseload'!$T$22,'caseload data'!$B:$B,"custody")</f>
        <v>0</v>
      </c>
      <c r="AC24" s="94">
        <f>SUMIFS('caseload data'!M:M,'caseload data'!$D:$D,"PO",'caseload data'!$C:$C,'custody caseload'!$T$22,'caseload data'!$B:$B,"custody")</f>
        <v>0</v>
      </c>
      <c r="AD24" s="94">
        <f>SUMIFS('caseload data'!N:N,'caseload data'!$D:$D,"PO",'caseload data'!$C:$C,'custody caseload'!$T$22,'caseload data'!$B:$B,"custody")</f>
        <v>0</v>
      </c>
      <c r="AE24" s="94">
        <f>SUMIFS('caseload data'!O:O,'caseload data'!$D:$D,"PO",'caseload data'!$C:$C,'custody caseload'!$T$22,'caseload data'!$B:$B,"custody")</f>
        <v>0</v>
      </c>
      <c r="AF24" s="94">
        <f>SUMIFS('caseload data'!P:P,'caseload data'!$D:$D,"PO",'caseload data'!$C:$C,'custody caseload'!$T$22,'caseload data'!$B:$B,"custody")</f>
        <v>0</v>
      </c>
      <c r="AG24" s="94">
        <f>SUMIFS('caseload data'!Q:Q,'caseload data'!$D:$D,"PO",'caseload data'!$C:$C,'custody caseload'!$T$22,'caseload data'!$B:$B,"custody")</f>
        <v>0</v>
      </c>
      <c r="AH24" s="94">
        <f>SUMIFS('caseload data'!R:R,'caseload data'!$D:$D,"PO",'caseload data'!$C:$C,'custody caseload'!$T$22,'caseload data'!$B:$B,"custody")</f>
        <v>0</v>
      </c>
      <c r="AI24" s="94">
        <f>SUMIFS('caseload data'!S:S,'caseload data'!$D:$D,"PO",'caseload data'!$C:$C,'custody caseload'!$T$22,'caseload data'!$B:$B,"custody")</f>
        <v>0</v>
      </c>
      <c r="AJ24" s="94">
        <f>SUMIFS('caseload data'!T:T,'caseload data'!$D:$D,"PO",'caseload data'!$C:$C,'custody caseload'!$T$22,'caseload data'!$B:$B,"custody")</f>
        <v>0</v>
      </c>
    </row>
    <row r="25" spans="2:36" ht="15" x14ac:dyDescent="0.2">
      <c r="B25" s="97" t="s">
        <v>952</v>
      </c>
      <c r="C25" s="145">
        <f>SUMIFS('caseload data'!E:E,'caseload data'!$D:$D,"PSO",'caseload data'!$C:$C,'custody caseload'!$B$22,'caseload data'!$B:$B,"custody")</f>
        <v>0</v>
      </c>
      <c r="D25" s="145">
        <f>SUMIFS('caseload data'!F:F,'caseload data'!$D:$D,"PSO",'caseload data'!$C:$C,'custody caseload'!$B$22,'caseload data'!$B:$B,"custody")</f>
        <v>0</v>
      </c>
      <c r="E25" s="145">
        <f>SUMIFS('caseload data'!G:G,'caseload data'!$D:$D,"PSO",'caseload data'!$C:$C,'custody caseload'!$B$22,'caseload data'!$B:$B,"custody")</f>
        <v>0</v>
      </c>
      <c r="F25" s="145">
        <f>SUMIFS('caseload data'!H:H,'caseload data'!$D:$D,"PSO",'caseload data'!$C:$C,'custody caseload'!$B$22,'caseload data'!$B:$B,"custody")</f>
        <v>0</v>
      </c>
      <c r="G25" s="145">
        <f>SUMIFS('caseload data'!I:I,'caseload data'!$D:$D,"PSO",'caseload data'!$C:$C,'custody caseload'!$B$22,'caseload data'!$B:$B,"custody")</f>
        <v>0</v>
      </c>
      <c r="H25" s="145">
        <f>SUMIFS('caseload data'!J:J,'caseload data'!$D:$D,"PSO",'caseload data'!$C:$C,'custody caseload'!$B$22,'caseload data'!$B:$B,"custody")</f>
        <v>0</v>
      </c>
      <c r="I25" s="145">
        <f>SUMIFS('caseload data'!K:K,'caseload data'!$D:$D,"PSO",'caseload data'!$C:$C,'custody caseload'!$B$22,'caseload data'!$B:$B,"custody")</f>
        <v>0</v>
      </c>
      <c r="J25" s="145">
        <f>SUMIFS('caseload data'!L:L,'caseload data'!$D:$D,"PSO",'caseload data'!$C:$C,'custody caseload'!$B$22,'caseload data'!$B:$B,"custody")</f>
        <v>0</v>
      </c>
      <c r="K25" s="94">
        <f>SUMIFS('caseload data'!M:M,'caseload data'!$D:$D,"PSO",'caseload data'!$C:$C,'custody caseload'!$B$22,'caseload data'!$B:$B,"custody")</f>
        <v>0</v>
      </c>
      <c r="L25" s="94">
        <f>SUMIFS('caseload data'!N:N,'caseload data'!$D:$D,"PSO",'caseload data'!$C:$C,'custody caseload'!$B$22,'caseload data'!$B:$B,"custody")</f>
        <v>0</v>
      </c>
      <c r="M25" s="94">
        <f>SUMIFS('caseload data'!O:O,'caseload data'!$D:$D,"PSO",'caseload data'!$C:$C,'custody caseload'!$B$22,'caseload data'!$B:$B,"custody")</f>
        <v>0</v>
      </c>
      <c r="N25" s="94">
        <f>SUMIFS('caseload data'!P:P,'caseload data'!$D:$D,"PSO",'caseload data'!$C:$C,'custody caseload'!$B$22,'caseload data'!$B:$B,"custody")</f>
        <v>0</v>
      </c>
      <c r="O25" s="94">
        <f>SUMIFS('caseload data'!Q:Q,'caseload data'!$D:$D,"PSO",'caseload data'!$C:$C,'custody caseload'!$B$22,'caseload data'!$B:$B,"custody")</f>
        <v>0</v>
      </c>
      <c r="P25" s="94">
        <f>SUMIFS('caseload data'!R:R,'caseload data'!$D:$D,"PSO",'caseload data'!$C:$C,'custody caseload'!$B$22,'caseload data'!$B:$B,"custody")</f>
        <v>0</v>
      </c>
      <c r="Q25" s="94">
        <f>SUMIFS('caseload data'!S:S,'caseload data'!$D:$D,"PSO",'caseload data'!$C:$C,'custody caseload'!$B$22,'caseload data'!$B:$B,"custody")</f>
        <v>0</v>
      </c>
      <c r="R25" s="94">
        <f>SUMIFS('caseload data'!T:T,'caseload data'!$D:$D,"PSO",'caseload data'!$C:$C,'custody caseload'!$B$22,'caseload data'!$B:$B,"custody")</f>
        <v>0</v>
      </c>
      <c r="S25" s="64"/>
      <c r="T25" s="97" t="s">
        <v>952</v>
      </c>
      <c r="U25" s="145">
        <f>SUMIFS('caseload data'!E:E,'caseload data'!$D:$D,"PSO",'caseload data'!$C:$C,'custody caseload'!$T$22,'caseload data'!$B:$B,"custody")</f>
        <v>0</v>
      </c>
      <c r="V25" s="145">
        <f>SUMIFS('caseload data'!F:F,'caseload data'!$D:$D,"PSO",'caseload data'!$C:$C,'custody caseload'!$T$22,'caseload data'!$B:$B,"custody")</f>
        <v>0</v>
      </c>
      <c r="W25" s="145">
        <f>SUMIFS('caseload data'!G:G,'caseload data'!$D:$D,"PSO",'caseload data'!$C:$C,'custody caseload'!$T$22,'caseload data'!$B:$B,"custody")</f>
        <v>0</v>
      </c>
      <c r="X25" s="145">
        <f>SUMIFS('caseload data'!H:H,'caseload data'!$D:$D,"PSO",'caseload data'!$C:$C,'custody caseload'!$T$22,'caseload data'!$B:$B,"custody")</f>
        <v>0</v>
      </c>
      <c r="Y25" s="145">
        <f>SUMIFS('caseload data'!I:I,'caseload data'!$D:$D,"PSO",'caseload data'!$C:$C,'custody caseload'!$T$22,'caseload data'!$B:$B,"custody")</f>
        <v>0</v>
      </c>
      <c r="Z25" s="145">
        <f>SUMIFS('caseload data'!J:J,'caseload data'!$D:$D,"PSO",'caseload data'!$C:$C,'custody caseload'!$T$22,'caseload data'!$B:$B,"custody")</f>
        <v>0</v>
      </c>
      <c r="AA25" s="145">
        <f>SUMIFS('caseload data'!K:K,'caseload data'!$D:$D,"PSO",'caseload data'!$C:$C,'custody caseload'!$T$22,'caseload data'!$B:$B,"custody")</f>
        <v>0</v>
      </c>
      <c r="AB25" s="145">
        <f>SUMIFS('caseload data'!L:L,'caseload data'!$D:$D,"PSO",'caseload data'!$C:$C,'custody caseload'!$T$22,'caseload data'!$B:$B,"custody")</f>
        <v>0</v>
      </c>
      <c r="AC25" s="94">
        <f>SUMIFS('caseload data'!M:M,'caseload data'!$D:$D,"PSO",'caseload data'!$C:$C,'custody caseload'!$T$22,'caseload data'!$B:$B,"custody")</f>
        <v>0</v>
      </c>
      <c r="AD25" s="94">
        <f>SUMIFS('caseload data'!N:N,'caseload data'!$D:$D,"PSO",'caseload data'!$C:$C,'custody caseload'!$T$22,'caseload data'!$B:$B,"custody")</f>
        <v>0</v>
      </c>
      <c r="AE25" s="94">
        <f>SUMIFS('caseload data'!O:O,'caseload data'!$D:$D,"PSO",'caseload data'!$C:$C,'custody caseload'!$T$22,'caseload data'!$B:$B,"custody")</f>
        <v>0</v>
      </c>
      <c r="AF25" s="94">
        <f>SUMIFS('caseload data'!P:P,'caseload data'!$D:$D,"PSO",'caseload data'!$C:$C,'custody caseload'!$T$22,'caseload data'!$B:$B,"custody")</f>
        <v>0</v>
      </c>
      <c r="AG25" s="94">
        <f>SUMIFS('caseload data'!Q:Q,'caseload data'!$D:$D,"PSO",'caseload data'!$C:$C,'custody caseload'!$T$22,'caseload data'!$B:$B,"custody")</f>
        <v>0</v>
      </c>
      <c r="AH25" s="94">
        <f>SUMIFS('caseload data'!R:R,'caseload data'!$D:$D,"PSO",'caseload data'!$C:$C,'custody caseload'!$T$22,'caseload data'!$B:$B,"custody")</f>
        <v>0</v>
      </c>
      <c r="AI25" s="94">
        <f>SUMIFS('caseload data'!S:S,'caseload data'!$D:$D,"PSO",'caseload data'!$C:$C,'custody caseload'!$T$22,'caseload data'!$B:$B,"custody")</f>
        <v>0</v>
      </c>
      <c r="AJ25" s="94">
        <f>SUMIFS('caseload data'!T:T,'caseload data'!$D:$D,"PSO",'caseload data'!$C:$C,'custody caseload'!$T$22,'caseload data'!$B:$B,"custody")</f>
        <v>0</v>
      </c>
    </row>
    <row r="26" spans="2:36" ht="15" x14ac:dyDescent="0.2">
      <c r="B26" s="97" t="s">
        <v>953</v>
      </c>
      <c r="C26" s="145">
        <f>SUMIFS('caseload data'!E:E,'caseload data'!$D:$D,"TPO",'caseload data'!$C:$C,'custody caseload'!$B$22,'caseload data'!$B:$B,"custody")</f>
        <v>0</v>
      </c>
      <c r="D26" s="145">
        <f>SUMIFS('caseload data'!F:F,'caseload data'!$D:$D,"TPO",'caseload data'!$C:$C,'custody caseload'!$B$22,'caseload data'!$B:$B,"custody")</f>
        <v>0</v>
      </c>
      <c r="E26" s="145">
        <f>SUMIFS('caseload data'!G:G,'caseload data'!$D:$D,"TPO",'caseload data'!$C:$C,'custody caseload'!$B$22,'caseload data'!$B:$B,"custody")</f>
        <v>0</v>
      </c>
      <c r="F26" s="145">
        <f>SUMIFS('caseload data'!H:H,'caseload data'!$D:$D,"TPO",'caseload data'!$C:$C,'custody caseload'!$B$22,'caseload data'!$B:$B,"custody")</f>
        <v>0</v>
      </c>
      <c r="G26" s="145">
        <f>SUMIFS('caseload data'!I:I,'caseload data'!$D:$D,"TPO",'caseload data'!$C:$C,'custody caseload'!$B$22,'caseload data'!$B:$B,"custody")</f>
        <v>0</v>
      </c>
      <c r="H26" s="145">
        <f>SUMIFS('caseload data'!J:J,'caseload data'!$D:$D,"TPO",'caseload data'!$C:$C,'custody caseload'!$B$22,'caseload data'!$B:$B,"custody")</f>
        <v>0</v>
      </c>
      <c r="I26" s="145">
        <f>SUMIFS('caseload data'!K:K,'caseload data'!$D:$D,"TPO",'caseload data'!$C:$C,'custody caseload'!$B$22,'caseload data'!$B:$B,"custody")</f>
        <v>0</v>
      </c>
      <c r="J26" s="145">
        <f>SUMIFS('caseload data'!L:L,'caseload data'!$D:$D,"TPO",'caseload data'!$C:$C,'custody caseload'!$B$22,'caseload data'!$B:$B,"custody")</f>
        <v>0</v>
      </c>
      <c r="K26" s="94">
        <f>SUMIFS('caseload data'!M:M,'caseload data'!$D:$D,"TPO",'caseload data'!$C:$C,'custody caseload'!$B$22,'caseload data'!$B:$B,"custody")</f>
        <v>0</v>
      </c>
      <c r="L26" s="94">
        <f>SUMIFS('caseload data'!N:N,'caseload data'!$D:$D,"TPO",'caseload data'!$C:$C,'custody caseload'!$B$22,'caseload data'!$B:$B,"custody")</f>
        <v>0</v>
      </c>
      <c r="M26" s="94">
        <f>SUMIFS('caseload data'!O:O,'caseload data'!$D:$D,"TPO",'caseload data'!$C:$C,'custody caseload'!$B$22,'caseload data'!$B:$B,"custody")</f>
        <v>0</v>
      </c>
      <c r="N26" s="94">
        <f>SUMIFS('caseload data'!P:P,'caseload data'!$D:$D,"TPO",'caseload data'!$C:$C,'custody caseload'!$B$22,'caseload data'!$B:$B,"custody")</f>
        <v>0</v>
      </c>
      <c r="O26" s="94">
        <f>SUMIFS('caseload data'!Q:Q,'caseload data'!$D:$D,"TPO",'caseload data'!$C:$C,'custody caseload'!$B$22,'caseload data'!$B:$B,"custody")</f>
        <v>0</v>
      </c>
      <c r="P26" s="94">
        <f>SUMIFS('caseload data'!R:R,'caseload data'!$D:$D,"TPO",'caseload data'!$C:$C,'custody caseload'!$B$22,'caseload data'!$B:$B,"custody")</f>
        <v>0</v>
      </c>
      <c r="Q26" s="94">
        <f>SUMIFS('caseload data'!S:S,'caseload data'!$D:$D,"TPO",'caseload data'!$C:$C,'custody caseload'!$B$22,'caseload data'!$B:$B,"custody")</f>
        <v>0</v>
      </c>
      <c r="R26" s="94">
        <f>SUMIFS('caseload data'!T:T,'caseload data'!$D:$D,"TPO",'caseload data'!$C:$C,'custody caseload'!$B$22,'caseload data'!$B:$B,"custody")</f>
        <v>0</v>
      </c>
      <c r="S26" s="64"/>
      <c r="T26" s="97" t="s">
        <v>953</v>
      </c>
      <c r="U26" s="145">
        <f>SUMIFS('caseload data'!E:E,'caseload data'!$D:$D,"TPO",'caseload data'!$C:$C,'custody caseload'!$T$22,'caseload data'!$B:$B,"custody")</f>
        <v>0</v>
      </c>
      <c r="V26" s="145">
        <f>SUMIFS('caseload data'!F:F,'caseload data'!$D:$D,"TPO",'caseload data'!$C:$C,'custody caseload'!$T$22,'caseload data'!$B:$B,"custody")</f>
        <v>0</v>
      </c>
      <c r="W26" s="145">
        <f>SUMIFS('caseload data'!G:G,'caseload data'!$D:$D,"TPO",'caseload data'!$C:$C,'custody caseload'!$T$22,'caseload data'!$B:$B,"custody")</f>
        <v>0</v>
      </c>
      <c r="X26" s="145">
        <f>SUMIFS('caseload data'!H:H,'caseload data'!$D:$D,"TPO",'caseload data'!$C:$C,'custody caseload'!$T$22,'caseload data'!$B:$B,"custody")</f>
        <v>0</v>
      </c>
      <c r="Y26" s="145">
        <f>SUMIFS('caseload data'!I:I,'caseload data'!$D:$D,"TPO",'caseload data'!$C:$C,'custody caseload'!$T$22,'caseload data'!$B:$B,"custody")</f>
        <v>0</v>
      </c>
      <c r="Z26" s="145">
        <f>SUMIFS('caseload data'!J:J,'caseload data'!$D:$D,"TPO",'caseload data'!$C:$C,'custody caseload'!$T$22,'caseload data'!$B:$B,"custody")</f>
        <v>0</v>
      </c>
      <c r="AA26" s="145">
        <f>SUMIFS('caseload data'!K:K,'caseload data'!$D:$D,"TPO",'caseload data'!$C:$C,'custody caseload'!$T$22,'caseload data'!$B:$B,"custody")</f>
        <v>0</v>
      </c>
      <c r="AB26" s="145">
        <f>SUMIFS('caseload data'!L:L,'caseload data'!$D:$D,"TPO",'caseload data'!$C:$C,'custody caseload'!$T$22,'caseload data'!$B:$B,"custody")</f>
        <v>0</v>
      </c>
      <c r="AC26" s="94">
        <f>SUMIFS('caseload data'!M:M,'caseload data'!$D:$D,"TPO",'caseload data'!$C:$C,'custody caseload'!$T$22,'caseload data'!$B:$B,"custody")</f>
        <v>0</v>
      </c>
      <c r="AD26" s="94">
        <f>SUMIFS('caseload data'!N:N,'caseload data'!$D:$D,"TPO",'caseload data'!$C:$C,'custody caseload'!$T$22,'caseload data'!$B:$B,"custody")</f>
        <v>0</v>
      </c>
      <c r="AE26" s="94">
        <f>SUMIFS('caseload data'!O:O,'caseload data'!$D:$D,"TPO",'caseload data'!$C:$C,'custody caseload'!$T$22,'caseload data'!$B:$B,"custody")</f>
        <v>0</v>
      </c>
      <c r="AF26" s="94">
        <f>SUMIFS('caseload data'!P:P,'caseload data'!$D:$D,"TPO",'caseload data'!$C:$C,'custody caseload'!$T$22,'caseload data'!$B:$B,"custody")</f>
        <v>0</v>
      </c>
      <c r="AG26" s="94">
        <f>SUMIFS('caseload data'!Q:Q,'caseload data'!$D:$D,"TPO",'caseload data'!$C:$C,'custody caseload'!$T$22,'caseload data'!$B:$B,"custody")</f>
        <v>0</v>
      </c>
      <c r="AH26" s="94">
        <f>SUMIFS('caseload data'!R:R,'caseload data'!$D:$D,"TPO",'caseload data'!$C:$C,'custody caseload'!$T$22,'caseload data'!$B:$B,"custody")</f>
        <v>0</v>
      </c>
      <c r="AI26" s="94">
        <f>SUMIFS('caseload data'!S:S,'caseload data'!$D:$D,"TPO",'caseload data'!$C:$C,'custody caseload'!$T$22,'caseload data'!$B:$B,"custody")</f>
        <v>0</v>
      </c>
      <c r="AJ26" s="94">
        <f>SUMIFS('caseload data'!T:T,'caseload data'!$D:$D,"TPO",'caseload data'!$C:$C,'custody caseload'!$T$22,'caseload data'!$B:$B,"custody")</f>
        <v>0</v>
      </c>
    </row>
    <row r="27" spans="2:36" x14ac:dyDescent="0.15">
      <c r="B27" s="98" t="s">
        <v>954</v>
      </c>
      <c r="C27" s="94">
        <f>SUMIFS('caseload data'!E:E,'caseload data'!$D:$D,"SPO",'caseload data'!$C:$C,'custody caseload'!$B$22,'caseload data'!$B:$B,"custody")</f>
        <v>0</v>
      </c>
      <c r="D27" s="94">
        <f>SUMIFS('caseload data'!F:F,'caseload data'!$D:$D,"SPO",'caseload data'!$C:$C,'custody caseload'!$B$22,'caseload data'!$B:$B,"custody")</f>
        <v>0</v>
      </c>
      <c r="E27" s="94">
        <f>SUMIFS('caseload data'!G:G,'caseload data'!$D:$D,"SPO",'caseload data'!$C:$C,'custody caseload'!$B$22,'caseload data'!$B:$B,"custody")</f>
        <v>0</v>
      </c>
      <c r="F27" s="94">
        <f>SUMIFS('caseload data'!H:H,'caseload data'!$D:$D,"SPO",'caseload data'!$C:$C,'custody caseload'!$B$22,'caseload data'!$B:$B,"custody")</f>
        <v>0</v>
      </c>
      <c r="G27" s="94">
        <f>SUMIFS('caseload data'!I:I,'caseload data'!$D:$D,"SPO",'caseload data'!$C:$C,'custody caseload'!$B$22,'caseload data'!$B:$B,"custody")</f>
        <v>0</v>
      </c>
      <c r="H27" s="94">
        <f>SUMIFS('caseload data'!J:J,'caseload data'!$D:$D,"SPO",'caseload data'!$C:$C,'custody caseload'!$B$22,'caseload data'!$B:$B,"custody")</f>
        <v>0</v>
      </c>
      <c r="I27" s="94">
        <f>SUMIFS('caseload data'!K:K,'caseload data'!$D:$D,"SPO",'caseload data'!$C:$C,'custody caseload'!$B$22,'caseload data'!$B:$B,"custody")</f>
        <v>0</v>
      </c>
      <c r="J27" s="94">
        <f>SUMIFS('caseload data'!L:L,'caseload data'!$D:$D,"SPO",'caseload data'!$C:$C,'custody caseload'!$B$22,'caseload data'!$B:$B,"custody")</f>
        <v>0</v>
      </c>
      <c r="K27" s="94">
        <f>SUMIFS('caseload data'!M:M,'caseload data'!$D:$D,"SPO",'caseload data'!$C:$C,'custody caseload'!$B$22,'caseload data'!$B:$B,"custody")</f>
        <v>0</v>
      </c>
      <c r="L27" s="94">
        <f>SUMIFS('caseload data'!N:N,'caseload data'!$D:$D,"SPO",'caseload data'!$C:$C,'custody caseload'!$B$22,'caseload data'!$B:$B,"custody")</f>
        <v>0</v>
      </c>
      <c r="M27" s="94">
        <f>SUMIFS('caseload data'!O:O,'caseload data'!$D:$D,"SPO",'caseload data'!$C:$C,'custody caseload'!$B$22,'caseload data'!$B:$B,"custody")</f>
        <v>0</v>
      </c>
      <c r="N27" s="94">
        <f>SUMIFS('caseload data'!P:P,'caseload data'!$D:$D,"SPO",'caseload data'!$C:$C,'custody caseload'!$B$22,'caseload data'!$B:$B,"custody")</f>
        <v>0</v>
      </c>
      <c r="O27" s="94">
        <f>SUMIFS('caseload data'!Q:Q,'caseload data'!$D:$D,"SPO",'caseload data'!$C:$C,'custody caseload'!$B$22,'caseload data'!$B:$B,"custody")</f>
        <v>0</v>
      </c>
      <c r="P27" s="94">
        <f>SUMIFS('caseload data'!R:R,'caseload data'!$D:$D,"SPO",'caseload data'!$C:$C,'custody caseload'!$B$22,'caseload data'!$B:$B,"custody")</f>
        <v>0</v>
      </c>
      <c r="Q27" s="94">
        <f>SUMIFS('caseload data'!S:S,'caseload data'!$D:$D,"SPO",'caseload data'!$C:$C,'custody caseload'!$B$22,'caseload data'!$B:$B,"custody")</f>
        <v>0</v>
      </c>
      <c r="R27" s="94">
        <f>SUMIFS('caseload data'!T:T,'caseload data'!$D:$D,"SPO",'caseload data'!$C:$C,'custody caseload'!$B$22,'caseload data'!$B:$B,"custody")</f>
        <v>0</v>
      </c>
      <c r="S27" s="64"/>
      <c r="T27" s="98" t="s">
        <v>954</v>
      </c>
      <c r="U27" s="94">
        <f>SUMIFS('caseload data'!E:E,'caseload data'!$D:$D,"SPO",'caseload data'!$C:$C,'custody caseload'!$T$22,'caseload data'!$B:$B,"custody")</f>
        <v>0</v>
      </c>
      <c r="V27" s="94">
        <f>SUMIFS('caseload data'!F:F,'caseload data'!$D:$D,"SPO",'caseload data'!$C:$C,'custody caseload'!$T$22,'caseload data'!$B:$B,"custody")</f>
        <v>0</v>
      </c>
      <c r="W27" s="94">
        <f>SUMIFS('caseload data'!G:G,'caseload data'!$D:$D,"SPO",'caseload data'!$C:$C,'custody caseload'!$T$22,'caseload data'!$B:$B,"custody")</f>
        <v>0</v>
      </c>
      <c r="X27" s="94">
        <f>SUMIFS('caseload data'!H:H,'caseload data'!$D:$D,"SPO",'caseload data'!$C:$C,'custody caseload'!$T$22,'caseload data'!$B:$B,"custody")</f>
        <v>0</v>
      </c>
      <c r="Y27" s="94">
        <f>SUMIFS('caseload data'!I:I,'caseload data'!$D:$D,"SPO",'caseload data'!$C:$C,'custody caseload'!$T$22,'caseload data'!$B:$B,"custody")</f>
        <v>0</v>
      </c>
      <c r="Z27" s="94">
        <f>SUMIFS('caseload data'!J:J,'caseload data'!$D:$D,"SPO",'caseload data'!$C:$C,'custody caseload'!$T$22,'caseload data'!$B:$B,"custody")</f>
        <v>0</v>
      </c>
      <c r="AA27" s="94">
        <f>SUMIFS('caseload data'!K:K,'caseload data'!$D:$D,"SPO",'caseload data'!$C:$C,'custody caseload'!$T$22,'caseload data'!$B:$B,"custody")</f>
        <v>0</v>
      </c>
      <c r="AB27" s="94">
        <f>SUMIFS('caseload data'!L:L,'caseload data'!$D:$D,"SPO",'caseload data'!$C:$C,'custody caseload'!$T$22,'caseload data'!$B:$B,"custody")</f>
        <v>0</v>
      </c>
      <c r="AC27" s="94">
        <f>SUMIFS('caseload data'!M:M,'caseload data'!$D:$D,"SPO",'caseload data'!$C:$C,'custody caseload'!$T$22,'caseload data'!$B:$B,"custody")</f>
        <v>0</v>
      </c>
      <c r="AD27" s="94">
        <f>SUMIFS('caseload data'!N:N,'caseload data'!$D:$D,"SPO",'caseload data'!$C:$C,'custody caseload'!$T$22,'caseload data'!$B:$B,"custody")</f>
        <v>0</v>
      </c>
      <c r="AE27" s="94">
        <f>SUMIFS('caseload data'!O:O,'caseload data'!$D:$D,"SPO",'caseload data'!$C:$C,'custody caseload'!$T$22,'caseload data'!$B:$B,"custody")</f>
        <v>0</v>
      </c>
      <c r="AF27" s="94">
        <f>SUMIFS('caseload data'!P:P,'caseload data'!$D:$D,"SPO",'caseload data'!$C:$C,'custody caseload'!$T$22,'caseload data'!$B:$B,"custody")</f>
        <v>0</v>
      </c>
      <c r="AG27" s="94">
        <f>SUMIFS('caseload data'!Q:Q,'caseload data'!$D:$D,"SPO",'caseload data'!$C:$C,'custody caseload'!$T$22,'caseload data'!$B:$B,"custody")</f>
        <v>0</v>
      </c>
      <c r="AH27" s="94">
        <f>SUMIFS('caseload data'!R:R,'caseload data'!$D:$D,"SPO",'caseload data'!$C:$C,'custody caseload'!$T$22,'caseload data'!$B:$B,"custody")</f>
        <v>0</v>
      </c>
      <c r="AI27" s="94">
        <f>SUMIFS('caseload data'!S:S,'caseload data'!$D:$D,"SPO",'caseload data'!$C:$C,'custody caseload'!$T$22,'caseload data'!$B:$B,"custody")</f>
        <v>0</v>
      </c>
      <c r="AJ27" s="94">
        <f>SUMIFS('caseload data'!T:T,'caseload data'!$D:$D,"SPO",'caseload data'!$C:$C,'custody caseload'!$T$22,'caseload data'!$B:$B,"custody")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142" t="str">
        <f>HLOOKUP($B$5,Region_Table,8,0)</f>
        <v>Nottinghamshire - N53</v>
      </c>
      <c r="C29" s="556" t="s">
        <v>1073</v>
      </c>
      <c r="D29" s="557"/>
      <c r="E29" s="557"/>
      <c r="F29" s="557"/>
      <c r="G29" s="557"/>
      <c r="H29" s="557"/>
      <c r="I29" s="557"/>
      <c r="J29" s="557"/>
      <c r="K29" s="557"/>
      <c r="L29" s="557"/>
      <c r="M29" s="566"/>
      <c r="N29" s="566"/>
      <c r="O29" s="567"/>
      <c r="P29" s="543">
        <f>SUMIFS('caseload data'!V:V,'caseload data'!B:B,"custody",'caseload data'!$C:$C,'custody caseload'!B29)</f>
        <v>0</v>
      </c>
      <c r="Q29" s="560"/>
      <c r="R29" s="561"/>
      <c r="S29" s="64"/>
      <c r="T29" s="142" t="str">
        <f>HLOOKUP($B$5,Region_Table,9,0)</f>
        <v>Unpaid Work and Attendance Centres - N53</v>
      </c>
      <c r="U29" s="556" t="s">
        <v>1073</v>
      </c>
      <c r="V29" s="557"/>
      <c r="W29" s="557"/>
      <c r="X29" s="557"/>
      <c r="Y29" s="557"/>
      <c r="Z29" s="557"/>
      <c r="AA29" s="557"/>
      <c r="AB29" s="557"/>
      <c r="AC29" s="557"/>
      <c r="AD29" s="557"/>
      <c r="AE29" s="566"/>
      <c r="AF29" s="566"/>
      <c r="AG29" s="567"/>
      <c r="AH29" s="543">
        <f>SUMIFS('caseload data'!V:V,'caseload data'!B:B,"custody",'caseload data'!$C:$C,'custody caseload'!T29)</f>
        <v>0</v>
      </c>
      <c r="AI29" s="560"/>
      <c r="AJ29" s="561"/>
    </row>
    <row r="30" spans="2:36" x14ac:dyDescent="0.15">
      <c r="B30" s="95" t="s">
        <v>951</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951</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94">
        <f>SUMIFS('caseload data'!E:E,'caseload data'!$D:$D,"PO",'caseload data'!$C:$C,'custody caseload'!$B$29,'caseload data'!$B:$B,"custody")</f>
        <v>0</v>
      </c>
      <c r="D31" s="94">
        <f>SUMIFS('caseload data'!F:F,'caseload data'!$D:$D,"PO",'caseload data'!$C:$C,'custody caseload'!$B$29,'caseload data'!$B:$B,"custody")</f>
        <v>0</v>
      </c>
      <c r="E31" s="94">
        <f>SUMIFS('caseload data'!G:G,'caseload data'!$D:$D,"PO",'caseload data'!$C:$C,'custody caseload'!$B$29,'caseload data'!$B:$B,"custody")</f>
        <v>0</v>
      </c>
      <c r="F31" s="94">
        <f>SUMIFS('caseload data'!H:H,'caseload data'!$D:$D,"PO",'caseload data'!$C:$C,'custody caseload'!$B$29,'caseload data'!$B:$B,"custody")</f>
        <v>0</v>
      </c>
      <c r="G31" s="94">
        <f>SUMIFS('caseload data'!I:I,'caseload data'!$D:$D,"PO",'caseload data'!$C:$C,'custody caseload'!$B$29,'caseload data'!$B:$B,"custody")</f>
        <v>0</v>
      </c>
      <c r="H31" s="94">
        <f>SUMIFS('caseload data'!J:J,'caseload data'!$D:$D,"PO",'caseload data'!$C:$C,'custody caseload'!$B$29,'caseload data'!$B:$B,"custody")</f>
        <v>0</v>
      </c>
      <c r="I31" s="94">
        <f>SUMIFS('caseload data'!K:K,'caseload data'!$D:$D,"PO",'caseload data'!$C:$C,'custody caseload'!$B$29,'caseload data'!$B:$B,"custody")</f>
        <v>0</v>
      </c>
      <c r="J31" s="94">
        <f>SUMIFS('caseload data'!L:L,'caseload data'!$D:$D,"PO",'caseload data'!$C:$C,'custody caseload'!$B$29,'caseload data'!$B:$B,"custody")</f>
        <v>0</v>
      </c>
      <c r="K31" s="94">
        <f>SUMIFS('caseload data'!M:M,'caseload data'!$D:$D,"PO",'caseload data'!$C:$C,'custody caseload'!$B$29,'caseload data'!$B:$B,"custody")</f>
        <v>0</v>
      </c>
      <c r="L31" s="94">
        <f>SUMIFS('caseload data'!N:N,'caseload data'!$D:$D,"PO",'caseload data'!$C:$C,'custody caseload'!$B$29,'caseload data'!$B:$B,"custody")</f>
        <v>0</v>
      </c>
      <c r="M31" s="94">
        <f>SUMIFS('caseload data'!O:O,'caseload data'!$D:$D,"PO",'caseload data'!$C:$C,'custody caseload'!$B$29,'caseload data'!$B:$B,"custody")</f>
        <v>0</v>
      </c>
      <c r="N31" s="94">
        <f>SUMIFS('caseload data'!P:P,'caseload data'!$D:$D,"PO",'caseload data'!$C:$C,'custody caseload'!$B$29,'caseload data'!$B:$B,"custody")</f>
        <v>0</v>
      </c>
      <c r="O31" s="94">
        <f>SUMIFS('caseload data'!Q:Q,'caseload data'!$D:$D,"PO",'caseload data'!$C:$C,'custody caseload'!$B$29,'caseload data'!$B:$B,"custody")</f>
        <v>0</v>
      </c>
      <c r="P31" s="94">
        <f>SUMIFS('caseload data'!R:R,'caseload data'!$D:$D,"PO",'caseload data'!$C:$C,'custody caseload'!$B$29,'caseload data'!$B:$B,"custody")</f>
        <v>0</v>
      </c>
      <c r="Q31" s="94">
        <f>SUMIFS('caseload data'!S:S,'caseload data'!$D:$D,"PO",'caseload data'!$C:$C,'custody caseload'!$B$29,'caseload data'!$B:$B,"custody")</f>
        <v>0</v>
      </c>
      <c r="R31" s="94">
        <f>SUMIFS('caseload data'!T:T,'caseload data'!$D:$D,"PO",'caseload data'!$C:$C,'custody caseload'!$B$29,'caseload data'!$B:$B,"custody")</f>
        <v>0</v>
      </c>
      <c r="S31" s="64"/>
      <c r="T31" s="96" t="s">
        <v>947</v>
      </c>
      <c r="U31" s="94">
        <f>SUMIFS('caseload data'!E:E,'caseload data'!$D:$D,"PO",'caseload data'!$C:$C,'custody caseload'!$T$29,'caseload data'!$B:$B,"custody")</f>
        <v>0</v>
      </c>
      <c r="V31" s="94">
        <f>SUMIFS('caseload data'!F:F,'caseload data'!$D:$D,"PO",'caseload data'!$C:$C,'custody caseload'!$T$29,'caseload data'!$B:$B,"custody")</f>
        <v>0</v>
      </c>
      <c r="W31" s="94">
        <f>SUMIFS('caseload data'!G:G,'caseload data'!$D:$D,"PO",'caseload data'!$C:$C,'custody caseload'!$T$29,'caseload data'!$B:$B,"custody")</f>
        <v>0</v>
      </c>
      <c r="X31" s="94">
        <f>SUMIFS('caseload data'!H:H,'caseload data'!$D:$D,"PO",'caseload data'!$C:$C,'custody caseload'!$T$29,'caseload data'!$B:$B,"custody")</f>
        <v>0</v>
      </c>
      <c r="Y31" s="94">
        <f>SUMIFS('caseload data'!I:I,'caseload data'!$D:$D,"PO",'caseload data'!$C:$C,'custody caseload'!$T$29,'caseload data'!$B:$B,"custody")</f>
        <v>0</v>
      </c>
      <c r="Z31" s="94">
        <f>SUMIFS('caseload data'!J:J,'caseload data'!$D:$D,"PO",'caseload data'!$C:$C,'custody caseload'!$T$29,'caseload data'!$B:$B,"custody")</f>
        <v>0</v>
      </c>
      <c r="AA31" s="94">
        <f>SUMIFS('caseload data'!K:K,'caseload data'!$D:$D,"PO",'caseload data'!$C:$C,'custody caseload'!$T$29,'caseload data'!$B:$B,"custody")</f>
        <v>0</v>
      </c>
      <c r="AB31" s="94">
        <f>SUMIFS('caseload data'!L:L,'caseload data'!$D:$D,"PO",'caseload data'!$C:$C,'custody caseload'!$T$29,'caseload data'!$B:$B,"custody")</f>
        <v>0</v>
      </c>
      <c r="AC31" s="94">
        <f>SUMIFS('caseload data'!M:M,'caseload data'!$D:$D,"PO",'caseload data'!$C:$C,'custody caseload'!$T$29,'caseload data'!$B:$B,"custody")</f>
        <v>0</v>
      </c>
      <c r="AD31" s="94">
        <f>SUMIFS('caseload data'!N:N,'caseload data'!$D:$D,"PO",'caseload data'!$C:$C,'custody caseload'!$T$29,'caseload data'!$B:$B,"custody")</f>
        <v>0</v>
      </c>
      <c r="AE31" s="94">
        <f>SUMIFS('caseload data'!O:O,'caseload data'!$D:$D,"PO",'caseload data'!$C:$C,'custody caseload'!$T$29,'caseload data'!$B:$B,"custody")</f>
        <v>0</v>
      </c>
      <c r="AF31" s="94">
        <f>SUMIFS('caseload data'!P:P,'caseload data'!$D:$D,"PO",'caseload data'!$C:$C,'custody caseload'!$T$29,'caseload data'!$B:$B,"custody")</f>
        <v>0</v>
      </c>
      <c r="AG31" s="94">
        <f>SUMIFS('caseload data'!Q:Q,'caseload data'!$D:$D,"PO",'caseload data'!$C:$C,'custody caseload'!$T$29,'caseload data'!$B:$B,"custody")</f>
        <v>0</v>
      </c>
      <c r="AH31" s="94">
        <f>SUMIFS('caseload data'!R:R,'caseload data'!$D:$D,"PO",'caseload data'!$C:$C,'custody caseload'!$T$29,'caseload data'!$B:$B,"custody")</f>
        <v>0</v>
      </c>
      <c r="AI31" s="94">
        <f>SUMIFS('caseload data'!S:S,'caseload data'!$D:$D,"PO",'caseload data'!$C:$C,'custody caseload'!$T$29,'caseload data'!$B:$B,"custody")</f>
        <v>0</v>
      </c>
      <c r="AJ31" s="94">
        <f>SUMIFS('caseload data'!T:T,'caseload data'!$D:$D,"PO",'caseload data'!$C:$C,'custody caseload'!$T$29,'caseload data'!$B:$B,"custody")</f>
        <v>0</v>
      </c>
    </row>
    <row r="32" spans="2:36" ht="15" x14ac:dyDescent="0.2">
      <c r="B32" s="97" t="s">
        <v>952</v>
      </c>
      <c r="C32" s="145">
        <f>SUMIFS('caseload data'!E:E,'caseload data'!$D:$D,"PSO",'caseload data'!$C:$C,'custody caseload'!$B$29,'caseload data'!$B:$B,"custody")</f>
        <v>0</v>
      </c>
      <c r="D32" s="145">
        <f>SUMIFS('caseload data'!F:F,'caseload data'!$D:$D,"PSO",'caseload data'!$C:$C,'custody caseload'!$B$29,'caseload data'!$B:$B,"custody")</f>
        <v>0</v>
      </c>
      <c r="E32" s="145">
        <f>SUMIFS('caseload data'!G:G,'caseload data'!$D:$D,"PSO",'caseload data'!$C:$C,'custody caseload'!$B$29,'caseload data'!$B:$B,"custody")</f>
        <v>0</v>
      </c>
      <c r="F32" s="145">
        <f>SUMIFS('caseload data'!H:H,'caseload data'!$D:$D,"PSO",'caseload data'!$C:$C,'custody caseload'!$B$29,'caseload data'!$B:$B,"custody")</f>
        <v>0</v>
      </c>
      <c r="G32" s="145">
        <f>SUMIFS('caseload data'!I:I,'caseload data'!$D:$D,"PSO",'caseload data'!$C:$C,'custody caseload'!$B$29,'caseload data'!$B:$B,"custody")</f>
        <v>0</v>
      </c>
      <c r="H32" s="145">
        <f>SUMIFS('caseload data'!J:J,'caseload data'!$D:$D,"PSO",'caseload data'!$C:$C,'custody caseload'!$B$29,'caseload data'!$B:$B,"custody")</f>
        <v>0</v>
      </c>
      <c r="I32" s="145">
        <f>SUMIFS('caseload data'!K:K,'caseload data'!$D:$D,"PSO",'caseload data'!$C:$C,'custody caseload'!$B$29,'caseload data'!$B:$B,"custody")</f>
        <v>0</v>
      </c>
      <c r="J32" s="145">
        <f>SUMIFS('caseload data'!L:L,'caseload data'!$D:$D,"PSO",'caseload data'!$C:$C,'custody caseload'!$B$29,'caseload data'!$B:$B,"custody")</f>
        <v>0</v>
      </c>
      <c r="K32" s="94">
        <f>SUMIFS('caseload data'!M:M,'caseload data'!$D:$D,"PSO",'caseload data'!$C:$C,'custody caseload'!$B$29,'caseload data'!$B:$B,"custody")</f>
        <v>0</v>
      </c>
      <c r="L32" s="94">
        <f>SUMIFS('caseload data'!N:N,'caseload data'!$D:$D,"PSO",'caseload data'!$C:$C,'custody caseload'!$B$29,'caseload data'!$B:$B,"custody")</f>
        <v>0</v>
      </c>
      <c r="M32" s="94">
        <f>SUMIFS('caseload data'!O:O,'caseload data'!$D:$D,"PSO",'caseload data'!$C:$C,'custody caseload'!$B$29,'caseload data'!$B:$B,"custody")</f>
        <v>0</v>
      </c>
      <c r="N32" s="94">
        <f>SUMIFS('caseload data'!P:P,'caseload data'!$D:$D,"PSO",'caseload data'!$C:$C,'custody caseload'!$B$29,'caseload data'!$B:$B,"custody")</f>
        <v>0</v>
      </c>
      <c r="O32" s="94">
        <f>SUMIFS('caseload data'!Q:Q,'caseload data'!$D:$D,"PSO",'caseload data'!$C:$C,'custody caseload'!$B$29,'caseload data'!$B:$B,"custody")</f>
        <v>0</v>
      </c>
      <c r="P32" s="94">
        <f>SUMIFS('caseload data'!R:R,'caseload data'!$D:$D,"PSO",'caseload data'!$C:$C,'custody caseload'!$B$29,'caseload data'!$B:$B,"custody")</f>
        <v>0</v>
      </c>
      <c r="Q32" s="94">
        <f>SUMIFS('caseload data'!S:S,'caseload data'!$D:$D,"PSO",'caseload data'!$C:$C,'custody caseload'!$B$29,'caseload data'!$B:$B,"custody")</f>
        <v>0</v>
      </c>
      <c r="R32" s="94">
        <f>SUMIFS('caseload data'!T:T,'caseload data'!$D:$D,"PSO",'caseload data'!$C:$C,'custody caseload'!$B$29,'caseload data'!$B:$B,"custody")</f>
        <v>0</v>
      </c>
      <c r="S32" s="64"/>
      <c r="T32" s="97" t="s">
        <v>952</v>
      </c>
      <c r="U32" s="145">
        <f>SUMIFS('caseload data'!E:E,'caseload data'!$D:$D,"PSO",'caseload data'!$C:$C,'custody caseload'!$T$29,'caseload data'!$B:$B,"custody")</f>
        <v>0</v>
      </c>
      <c r="V32" s="145">
        <f>SUMIFS('caseload data'!F:F,'caseload data'!$D:$D,"PSO",'caseload data'!$C:$C,'custody caseload'!$T$29,'caseload data'!$B:$B,"custody")</f>
        <v>0</v>
      </c>
      <c r="W32" s="145">
        <f>SUMIFS('caseload data'!G:G,'caseload data'!$D:$D,"PSO",'caseload data'!$C:$C,'custody caseload'!$T$29,'caseload data'!$B:$B,"custody")</f>
        <v>0</v>
      </c>
      <c r="X32" s="145">
        <f>SUMIFS('caseload data'!H:H,'caseload data'!$D:$D,"PSO",'caseload data'!$C:$C,'custody caseload'!$T$29,'caseload data'!$B:$B,"custody")</f>
        <v>0</v>
      </c>
      <c r="Y32" s="145">
        <f>SUMIFS('caseload data'!I:I,'caseload data'!$D:$D,"PSO",'caseload data'!$C:$C,'custody caseload'!$T$29,'caseload data'!$B:$B,"custody")</f>
        <v>0</v>
      </c>
      <c r="Z32" s="145">
        <f>SUMIFS('caseload data'!J:J,'caseload data'!$D:$D,"PSO",'caseload data'!$C:$C,'custody caseload'!$T$29,'caseload data'!$B:$B,"custody")</f>
        <v>0</v>
      </c>
      <c r="AA32" s="145">
        <f>SUMIFS('caseload data'!K:K,'caseload data'!$D:$D,"PSO",'caseload data'!$C:$C,'custody caseload'!$T$29,'caseload data'!$B:$B,"custody")</f>
        <v>0</v>
      </c>
      <c r="AB32" s="145">
        <f>SUMIFS('caseload data'!L:L,'caseload data'!$D:$D,"PSO",'caseload data'!$C:$C,'custody caseload'!$T$29,'caseload data'!$B:$B,"custody")</f>
        <v>0</v>
      </c>
      <c r="AC32" s="94">
        <f>SUMIFS('caseload data'!M:M,'caseload data'!$D:$D,"PSO",'caseload data'!$C:$C,'custody caseload'!$T$29,'caseload data'!$B:$B,"custody")</f>
        <v>0</v>
      </c>
      <c r="AD32" s="94">
        <f>SUMIFS('caseload data'!N:N,'caseload data'!$D:$D,"PSO",'caseload data'!$C:$C,'custody caseload'!$T$29,'caseload data'!$B:$B,"custody")</f>
        <v>0</v>
      </c>
      <c r="AE32" s="94">
        <f>SUMIFS('caseload data'!O:O,'caseload data'!$D:$D,"PSO",'caseload data'!$C:$C,'custody caseload'!$T$29,'caseload data'!$B:$B,"custody")</f>
        <v>0</v>
      </c>
      <c r="AF32" s="94">
        <f>SUMIFS('caseload data'!P:P,'caseload data'!$D:$D,"PSO",'caseload data'!$C:$C,'custody caseload'!$T$29,'caseload data'!$B:$B,"custody")</f>
        <v>0</v>
      </c>
      <c r="AG32" s="94">
        <f>SUMIFS('caseload data'!Q:Q,'caseload data'!$D:$D,"PSO",'caseload data'!$C:$C,'custody caseload'!$T$29,'caseload data'!$B:$B,"custody")</f>
        <v>0</v>
      </c>
      <c r="AH32" s="94">
        <f>SUMIFS('caseload data'!R:R,'caseload data'!$D:$D,"PSO",'caseload data'!$C:$C,'custody caseload'!$T$29,'caseload data'!$B:$B,"custody")</f>
        <v>0</v>
      </c>
      <c r="AI32" s="94">
        <f>SUMIFS('caseload data'!S:S,'caseload data'!$D:$D,"PSO",'caseload data'!$C:$C,'custody caseload'!$T$29,'caseload data'!$B:$B,"custody")</f>
        <v>0</v>
      </c>
      <c r="AJ32" s="94">
        <f>SUMIFS('caseload data'!T:T,'caseload data'!$D:$D,"PSO",'caseload data'!$C:$C,'custody caseload'!$T$29,'caseload data'!$B:$B,"custody")</f>
        <v>0</v>
      </c>
    </row>
    <row r="33" spans="2:36" ht="15" x14ac:dyDescent="0.2">
      <c r="B33" s="97" t="s">
        <v>953</v>
      </c>
      <c r="C33" s="145">
        <f>SUMIFS('caseload data'!E:E,'caseload data'!$D:$D,"TPO",'caseload data'!$C:$C,'custody caseload'!$B$29,'caseload data'!$B:$B,"custody")</f>
        <v>0</v>
      </c>
      <c r="D33" s="145">
        <f>SUMIFS('caseload data'!F:F,'caseload data'!$D:$D,"TPO",'caseload data'!$C:$C,'custody caseload'!$B$29,'caseload data'!$B:$B,"custody")</f>
        <v>0</v>
      </c>
      <c r="E33" s="145">
        <f>SUMIFS('caseload data'!G:G,'caseload data'!$D:$D,"TPO",'caseload data'!$C:$C,'custody caseload'!$B$29,'caseload data'!$B:$B,"custody")</f>
        <v>0</v>
      </c>
      <c r="F33" s="145">
        <f>SUMIFS('caseload data'!H:H,'caseload data'!$D:$D,"TPO",'caseload data'!$C:$C,'custody caseload'!$B$29,'caseload data'!$B:$B,"custody")</f>
        <v>0</v>
      </c>
      <c r="G33" s="145">
        <f>SUMIFS('caseload data'!I:I,'caseload data'!$D:$D,"TPO",'caseload data'!$C:$C,'custody caseload'!$B$29,'caseload data'!$B:$B,"custody")</f>
        <v>0</v>
      </c>
      <c r="H33" s="145">
        <f>SUMIFS('caseload data'!J:J,'caseload data'!$D:$D,"TPO",'caseload data'!$C:$C,'custody caseload'!$B$29,'caseload data'!$B:$B,"custody")</f>
        <v>0</v>
      </c>
      <c r="I33" s="145">
        <f>SUMIFS('caseload data'!K:K,'caseload data'!$D:$D,"TPO",'caseload data'!$C:$C,'custody caseload'!$B$29,'caseload data'!$B:$B,"custody")</f>
        <v>0</v>
      </c>
      <c r="J33" s="145">
        <f>SUMIFS('caseload data'!L:L,'caseload data'!$D:$D,"TPO",'caseload data'!$C:$C,'custody caseload'!$B$29,'caseload data'!$B:$B,"custody")</f>
        <v>0</v>
      </c>
      <c r="K33" s="94">
        <f>SUMIFS('caseload data'!M:M,'caseload data'!$D:$D,"TPO",'caseload data'!$C:$C,'custody caseload'!$B$29,'caseload data'!$B:$B,"custody")</f>
        <v>0</v>
      </c>
      <c r="L33" s="94">
        <f>SUMIFS('caseload data'!N:N,'caseload data'!$D:$D,"TPO",'caseload data'!$C:$C,'custody caseload'!$B$29,'caseload data'!$B:$B,"custody")</f>
        <v>0</v>
      </c>
      <c r="M33" s="94">
        <f>SUMIFS('caseload data'!O:O,'caseload data'!$D:$D,"TPO",'caseload data'!$C:$C,'custody caseload'!$B$29,'caseload data'!$B:$B,"custody")</f>
        <v>0</v>
      </c>
      <c r="N33" s="94">
        <f>SUMIFS('caseload data'!P:P,'caseload data'!$D:$D,"TPO",'caseload data'!$C:$C,'custody caseload'!$B$29,'caseload data'!$B:$B,"custody")</f>
        <v>0</v>
      </c>
      <c r="O33" s="94">
        <f>SUMIFS('caseload data'!Q:Q,'caseload data'!$D:$D,"TPO",'caseload data'!$C:$C,'custody caseload'!$B$29,'caseload data'!$B:$B,"custody")</f>
        <v>0</v>
      </c>
      <c r="P33" s="94">
        <f>SUMIFS('caseload data'!R:R,'caseload data'!$D:$D,"TPO",'caseload data'!$C:$C,'custody caseload'!$B$29,'caseload data'!$B:$B,"custody")</f>
        <v>0</v>
      </c>
      <c r="Q33" s="94">
        <f>SUMIFS('caseload data'!S:S,'caseload data'!$D:$D,"TPO",'caseload data'!$C:$C,'custody caseload'!$B$29,'caseload data'!$B:$B,"custody")</f>
        <v>0</v>
      </c>
      <c r="R33" s="94">
        <f>SUMIFS('caseload data'!T:T,'caseload data'!$D:$D,"TPO",'caseload data'!$C:$C,'custody caseload'!$B$29,'caseload data'!$B:$B,"custody")</f>
        <v>0</v>
      </c>
      <c r="S33" s="64"/>
      <c r="T33" s="97" t="s">
        <v>953</v>
      </c>
      <c r="U33" s="145">
        <f>SUMIFS('caseload data'!E:E,'caseload data'!$D:$D,"TPO",'caseload data'!$C:$C,'custody caseload'!$T$29,'caseload data'!$B:$B,"custody")</f>
        <v>0</v>
      </c>
      <c r="V33" s="145">
        <f>SUMIFS('caseload data'!F:F,'caseload data'!$D:$D,"TPO",'caseload data'!$C:$C,'custody caseload'!$T$29,'caseload data'!$B:$B,"custody")</f>
        <v>0</v>
      </c>
      <c r="W33" s="145">
        <f>SUMIFS('caseload data'!G:G,'caseload data'!$D:$D,"TPO",'caseload data'!$C:$C,'custody caseload'!$T$29,'caseload data'!$B:$B,"custody")</f>
        <v>0</v>
      </c>
      <c r="X33" s="145">
        <f>SUMIFS('caseload data'!H:H,'caseload data'!$D:$D,"TPO",'caseload data'!$C:$C,'custody caseload'!$T$29,'caseload data'!$B:$B,"custody")</f>
        <v>0</v>
      </c>
      <c r="Y33" s="145">
        <f>SUMIFS('caseload data'!I:I,'caseload data'!$D:$D,"TPO",'caseload data'!$C:$C,'custody caseload'!$T$29,'caseload data'!$B:$B,"custody")</f>
        <v>0</v>
      </c>
      <c r="Z33" s="145">
        <f>SUMIFS('caseload data'!J:J,'caseload data'!$D:$D,"TPO",'caseload data'!$C:$C,'custody caseload'!$T$29,'caseload data'!$B:$B,"custody")</f>
        <v>0</v>
      </c>
      <c r="AA33" s="145">
        <f>SUMIFS('caseload data'!K:K,'caseload data'!$D:$D,"TPO",'caseload data'!$C:$C,'custody caseload'!$T$29,'caseload data'!$B:$B,"custody")</f>
        <v>0</v>
      </c>
      <c r="AB33" s="145">
        <f>SUMIFS('caseload data'!L:L,'caseload data'!$D:$D,"TPO",'caseload data'!$C:$C,'custody caseload'!$T$29,'caseload data'!$B:$B,"custody")</f>
        <v>0</v>
      </c>
      <c r="AC33" s="94">
        <f>SUMIFS('caseload data'!M:M,'caseload data'!$D:$D,"TPO",'caseload data'!$C:$C,'custody caseload'!$T$29,'caseload data'!$B:$B,"custody")</f>
        <v>0</v>
      </c>
      <c r="AD33" s="94">
        <f>SUMIFS('caseload data'!N:N,'caseload data'!$D:$D,"TPO",'caseload data'!$C:$C,'custody caseload'!$T$29,'caseload data'!$B:$B,"custody")</f>
        <v>0</v>
      </c>
      <c r="AE33" s="94">
        <f>SUMIFS('caseload data'!O:O,'caseload data'!$D:$D,"TPO",'caseload data'!$C:$C,'custody caseload'!$T$29,'caseload data'!$B:$B,"custody")</f>
        <v>0</v>
      </c>
      <c r="AF33" s="94">
        <f>SUMIFS('caseload data'!P:P,'caseload data'!$D:$D,"TPO",'caseload data'!$C:$C,'custody caseload'!$T$29,'caseload data'!$B:$B,"custody")</f>
        <v>0</v>
      </c>
      <c r="AG33" s="94">
        <f>SUMIFS('caseload data'!Q:Q,'caseload data'!$D:$D,"TPO",'caseload data'!$C:$C,'custody caseload'!$T$29,'caseload data'!$B:$B,"custody")</f>
        <v>0</v>
      </c>
      <c r="AH33" s="94">
        <f>SUMIFS('caseload data'!R:R,'caseload data'!$D:$D,"TPO",'caseload data'!$C:$C,'custody caseload'!$T$29,'caseload data'!$B:$B,"custody")</f>
        <v>0</v>
      </c>
      <c r="AI33" s="94">
        <f>SUMIFS('caseload data'!S:S,'caseload data'!$D:$D,"TPO",'caseload data'!$C:$C,'custody caseload'!$T$29,'caseload data'!$B:$B,"custody")</f>
        <v>0</v>
      </c>
      <c r="AJ33" s="94">
        <f>SUMIFS('caseload data'!T:T,'caseload data'!$D:$D,"TPO",'caseload data'!$C:$C,'custody caseload'!$T$29,'caseload data'!$B:$B,"custody")</f>
        <v>0</v>
      </c>
    </row>
    <row r="34" spans="2:36" x14ac:dyDescent="0.15">
      <c r="B34" s="98" t="s">
        <v>954</v>
      </c>
      <c r="C34" s="94">
        <f>SUMIFS('caseload data'!E:E,'caseload data'!$D:$D,"SPO",'caseload data'!$C:$C,'custody caseload'!$B$29,'caseload data'!$B:$B,"custody")</f>
        <v>0</v>
      </c>
      <c r="D34" s="94">
        <f>SUMIFS('caseload data'!F:F,'caseload data'!$D:$D,"SPO",'caseload data'!$C:$C,'custody caseload'!$B$29,'caseload data'!$B:$B,"custody")</f>
        <v>0</v>
      </c>
      <c r="E34" s="94">
        <f>SUMIFS('caseload data'!G:G,'caseload data'!$D:$D,"SPO",'caseload data'!$C:$C,'custody caseload'!$B$29,'caseload data'!$B:$B,"custody")</f>
        <v>0</v>
      </c>
      <c r="F34" s="94">
        <f>SUMIFS('caseload data'!H:H,'caseload data'!$D:$D,"SPO",'caseload data'!$C:$C,'custody caseload'!$B$29,'caseload data'!$B:$B,"custody")</f>
        <v>0</v>
      </c>
      <c r="G34" s="94">
        <f>SUMIFS('caseload data'!I:I,'caseload data'!$D:$D,"SPO",'caseload data'!$C:$C,'custody caseload'!$B$29,'caseload data'!$B:$B,"custody")</f>
        <v>0</v>
      </c>
      <c r="H34" s="94">
        <f>SUMIFS('caseload data'!J:J,'caseload data'!$D:$D,"SPO",'caseload data'!$C:$C,'custody caseload'!$B$29,'caseload data'!$B:$B,"custody")</f>
        <v>0</v>
      </c>
      <c r="I34" s="94">
        <f>SUMIFS('caseload data'!K:K,'caseload data'!$D:$D,"SPO",'caseload data'!$C:$C,'custody caseload'!$B$29,'caseload data'!$B:$B,"custody")</f>
        <v>0</v>
      </c>
      <c r="J34" s="94">
        <f>SUMIFS('caseload data'!L:L,'caseload data'!$D:$D,"SPO",'caseload data'!$C:$C,'custody caseload'!$B$29,'caseload data'!$B:$B,"custody")</f>
        <v>0</v>
      </c>
      <c r="K34" s="94">
        <f>SUMIFS('caseload data'!M:M,'caseload data'!$D:$D,"SPO",'caseload data'!$C:$C,'custody caseload'!$B$29,'caseload data'!$B:$B,"custody")</f>
        <v>0</v>
      </c>
      <c r="L34" s="94">
        <f>SUMIFS('caseload data'!N:N,'caseload data'!$D:$D,"SPO",'caseload data'!$C:$C,'custody caseload'!$B$29,'caseload data'!$B:$B,"custody")</f>
        <v>0</v>
      </c>
      <c r="M34" s="94">
        <f>SUMIFS('caseload data'!O:O,'caseload data'!$D:$D,"SPO",'caseload data'!$C:$C,'custody caseload'!$B$29,'caseload data'!$B:$B,"custody")</f>
        <v>0</v>
      </c>
      <c r="N34" s="94">
        <f>SUMIFS('caseload data'!P:P,'caseload data'!$D:$D,"SPO",'caseload data'!$C:$C,'custody caseload'!$B$29,'caseload data'!$B:$B,"custody")</f>
        <v>0</v>
      </c>
      <c r="O34" s="94">
        <f>SUMIFS('caseload data'!Q:Q,'caseload data'!$D:$D,"SPO",'caseload data'!$C:$C,'custody caseload'!$B$29,'caseload data'!$B:$B,"custody")</f>
        <v>0</v>
      </c>
      <c r="P34" s="94">
        <f>SUMIFS('caseload data'!R:R,'caseload data'!$D:$D,"SPO",'caseload data'!$C:$C,'custody caseload'!$B$29,'caseload data'!$B:$B,"custody")</f>
        <v>0</v>
      </c>
      <c r="Q34" s="94">
        <f>SUMIFS('caseload data'!S:S,'caseload data'!$D:$D,"SPO",'caseload data'!$C:$C,'custody caseload'!$B$29,'caseload data'!$B:$B,"custody")</f>
        <v>0</v>
      </c>
      <c r="R34" s="94">
        <f>SUMIFS('caseload data'!T:T,'caseload data'!$D:$D,"SPO",'caseload data'!$C:$C,'custody caseload'!$B$29,'caseload data'!$B:$B,"custody")</f>
        <v>0</v>
      </c>
      <c r="S34" s="64"/>
      <c r="T34" s="98" t="s">
        <v>954</v>
      </c>
      <c r="U34" s="94">
        <f>SUMIFS('caseload data'!E:E,'caseload data'!$D:$D,"SPO",'caseload data'!$C:$C,'custody caseload'!$T$29,'caseload data'!$B:$B,"custody")</f>
        <v>0</v>
      </c>
      <c r="V34" s="94">
        <f>SUMIFS('caseload data'!F:F,'caseload data'!$D:$D,"SPO",'caseload data'!$C:$C,'custody caseload'!$T$29,'caseload data'!$B:$B,"custody")</f>
        <v>0</v>
      </c>
      <c r="W34" s="94">
        <f>SUMIFS('caseload data'!G:G,'caseload data'!$D:$D,"SPO",'caseload data'!$C:$C,'custody caseload'!$T$29,'caseload data'!$B:$B,"custody")</f>
        <v>0</v>
      </c>
      <c r="X34" s="94">
        <f>SUMIFS('caseload data'!H:H,'caseload data'!$D:$D,"SPO",'caseload data'!$C:$C,'custody caseload'!$T$29,'caseload data'!$B:$B,"custody")</f>
        <v>0</v>
      </c>
      <c r="Y34" s="94">
        <f>SUMIFS('caseload data'!I:I,'caseload data'!$D:$D,"SPO",'caseload data'!$C:$C,'custody caseload'!$T$29,'caseload data'!$B:$B,"custody")</f>
        <v>0</v>
      </c>
      <c r="Z34" s="94">
        <f>SUMIFS('caseload data'!J:J,'caseload data'!$D:$D,"SPO",'caseload data'!$C:$C,'custody caseload'!$T$29,'caseload data'!$B:$B,"custody")</f>
        <v>0</v>
      </c>
      <c r="AA34" s="94">
        <f>SUMIFS('caseload data'!K:K,'caseload data'!$D:$D,"SPO",'caseload data'!$C:$C,'custody caseload'!$T$29,'caseload data'!$B:$B,"custody")</f>
        <v>0</v>
      </c>
      <c r="AB34" s="94">
        <f>SUMIFS('caseload data'!L:L,'caseload data'!$D:$D,"SPO",'caseload data'!$C:$C,'custody caseload'!$T$29,'caseload data'!$B:$B,"custody")</f>
        <v>0</v>
      </c>
      <c r="AC34" s="94">
        <f>SUMIFS('caseload data'!M:M,'caseload data'!$D:$D,"SPO",'caseload data'!$C:$C,'custody caseload'!$T$29,'caseload data'!$B:$B,"custody")</f>
        <v>0</v>
      </c>
      <c r="AD34" s="94">
        <f>SUMIFS('caseload data'!N:N,'caseload data'!$D:$D,"SPO",'caseload data'!$C:$C,'custody caseload'!$T$29,'caseload data'!$B:$B,"custody")</f>
        <v>0</v>
      </c>
      <c r="AE34" s="94">
        <f>SUMIFS('caseload data'!O:O,'caseload data'!$D:$D,"SPO",'caseload data'!$C:$C,'custody caseload'!$T$29,'caseload data'!$B:$B,"custody")</f>
        <v>0</v>
      </c>
      <c r="AF34" s="94">
        <f>SUMIFS('caseload data'!P:P,'caseload data'!$D:$D,"SPO",'caseload data'!$C:$C,'custody caseload'!$T$29,'caseload data'!$B:$B,"custody")</f>
        <v>0</v>
      </c>
      <c r="AG34" s="94">
        <f>SUMIFS('caseload data'!Q:Q,'caseload data'!$D:$D,"SPO",'caseload data'!$C:$C,'custody caseload'!$T$29,'caseload data'!$B:$B,"custody")</f>
        <v>0</v>
      </c>
      <c r="AH34" s="94">
        <f>SUMIFS('caseload data'!R:R,'caseload data'!$D:$D,"SPO",'caseload data'!$C:$C,'custody caseload'!$T$29,'caseload data'!$B:$B,"custody")</f>
        <v>0</v>
      </c>
      <c r="AI34" s="94">
        <f>SUMIFS('caseload data'!S:S,'caseload data'!$D:$D,"SPO",'caseload data'!$C:$C,'custody caseload'!$T$29,'caseload data'!$B:$B,"custody")</f>
        <v>0</v>
      </c>
      <c r="AJ34" s="94">
        <f>SUMIFS('caseload data'!T:T,'caseload data'!$D:$D,"SPO",'caseload data'!$C:$C,'custody caseload'!$T$29,'caseload data'!$B:$B,"custody")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142">
        <f>HLOOKUP($B$5,Region_Table,10,0)</f>
        <v>0</v>
      </c>
      <c r="C36" s="556" t="s">
        <v>1074</v>
      </c>
      <c r="D36" s="557"/>
      <c r="E36" s="557"/>
      <c r="F36" s="557"/>
      <c r="G36" s="557"/>
      <c r="H36" s="557"/>
      <c r="I36" s="557"/>
      <c r="J36" s="557"/>
      <c r="K36" s="557"/>
      <c r="L36" s="557"/>
      <c r="M36" s="566"/>
      <c r="N36" s="566"/>
      <c r="O36" s="567"/>
      <c r="P36" s="543">
        <f>SUMIFS('caseload data'!V:V,'caseload data'!B:B,"custody",'caseload data'!$C:$C,'custody caseload'!B36)</f>
        <v>0</v>
      </c>
      <c r="Q36" s="560"/>
      <c r="R36" s="561"/>
      <c r="S36" s="64"/>
      <c r="T36" s="142">
        <f>HLOOKUP($B$5,Region_Table,11,0)</f>
        <v>0</v>
      </c>
      <c r="U36" s="556" t="s">
        <v>1073</v>
      </c>
      <c r="V36" s="557"/>
      <c r="W36" s="557"/>
      <c r="X36" s="557"/>
      <c r="Y36" s="557"/>
      <c r="Z36" s="557"/>
      <c r="AA36" s="557"/>
      <c r="AB36" s="557"/>
      <c r="AC36" s="557"/>
      <c r="AD36" s="557"/>
      <c r="AE36" s="566"/>
      <c r="AF36" s="566"/>
      <c r="AG36" s="567"/>
      <c r="AH36" s="543">
        <f>SUMIFS('caseload data'!V:V,'caseload data'!B:B,"custody",'caseload data'!$C:$C,'custody caseload'!T36)</f>
        <v>0</v>
      </c>
      <c r="AI36" s="560"/>
      <c r="AJ36" s="561"/>
    </row>
    <row r="37" spans="2:36" x14ac:dyDescent="0.15">
      <c r="B37" s="95" t="s">
        <v>951</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951</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94">
        <f>SUMIFS('caseload data'!E:E,'caseload data'!$D:$D,"PO",'caseload data'!$C:$C,'custody caseload'!$B$36,'caseload data'!$B:$B,"custody")</f>
        <v>0</v>
      </c>
      <c r="D38" s="94">
        <f>SUMIFS('caseload data'!F:F,'caseload data'!$D:$D,"PO",'caseload data'!$C:$C,'custody caseload'!$B$36,'caseload data'!$B:$B,"custody")</f>
        <v>0</v>
      </c>
      <c r="E38" s="94">
        <f>SUMIFS('caseload data'!G:G,'caseload data'!$D:$D,"PO",'caseload data'!$C:$C,'custody caseload'!$B$36,'caseload data'!$B:$B,"custody")</f>
        <v>0</v>
      </c>
      <c r="F38" s="94">
        <f>SUMIFS('caseload data'!H:H,'caseload data'!$D:$D,"PO",'caseload data'!$C:$C,'custody caseload'!$B$36,'caseload data'!$B:$B,"custody")</f>
        <v>0</v>
      </c>
      <c r="G38" s="94">
        <f>SUMIFS('caseload data'!I:I,'caseload data'!$D:$D,"PO",'caseload data'!$C:$C,'custody caseload'!$B$36,'caseload data'!$B:$B,"custody")</f>
        <v>0</v>
      </c>
      <c r="H38" s="94">
        <f>SUMIFS('caseload data'!J:J,'caseload data'!$D:$D,"PO",'caseload data'!$C:$C,'custody caseload'!$B$36,'caseload data'!$B:$B,"custody")</f>
        <v>0</v>
      </c>
      <c r="I38" s="94">
        <f>SUMIFS('caseload data'!K:K,'caseload data'!$D:$D,"PO",'caseload data'!$C:$C,'custody caseload'!$B$36,'caseload data'!$B:$B,"custody")</f>
        <v>0</v>
      </c>
      <c r="J38" s="94">
        <f>SUMIFS('caseload data'!L:L,'caseload data'!$D:$D,"PO",'caseload data'!$C:$C,'custody caseload'!$B$36,'caseload data'!$B:$B,"custody")</f>
        <v>0</v>
      </c>
      <c r="K38" s="94">
        <f>SUMIFS('caseload data'!M:M,'caseload data'!$D:$D,"PO",'caseload data'!$C:$C,'custody caseload'!$B$36,'caseload data'!$B:$B,"custody")</f>
        <v>0</v>
      </c>
      <c r="L38" s="94">
        <f>SUMIFS('caseload data'!N:N,'caseload data'!$D:$D,"PO",'caseload data'!$C:$C,'custody caseload'!$B$36,'caseload data'!$B:$B,"custody")</f>
        <v>0</v>
      </c>
      <c r="M38" s="94">
        <f>SUMIFS('caseload data'!O:O,'caseload data'!$D:$D,"PO",'caseload data'!$C:$C,'custody caseload'!$B$36,'caseload data'!$B:$B,"custody")</f>
        <v>0</v>
      </c>
      <c r="N38" s="94">
        <f>SUMIFS('caseload data'!P:P,'caseload data'!$D:$D,"PO",'caseload data'!$C:$C,'custody caseload'!$B$36,'caseload data'!$B:$B,"custody")</f>
        <v>0</v>
      </c>
      <c r="O38" s="94">
        <f>SUMIFS('caseload data'!Q:Q,'caseload data'!$D:$D,"PO",'caseload data'!$C:$C,'custody caseload'!$B$36,'caseload data'!$B:$B,"custody")</f>
        <v>0</v>
      </c>
      <c r="P38" s="94">
        <f>SUMIFS('caseload data'!R:R,'caseload data'!$D:$D,"PO",'caseload data'!$C:$C,'custody caseload'!$B$36,'caseload data'!$B:$B,"custody")</f>
        <v>0</v>
      </c>
      <c r="Q38" s="94">
        <f>SUMIFS('caseload data'!S:S,'caseload data'!$D:$D,"PO",'caseload data'!$C:$C,'custody caseload'!$B$36,'caseload data'!$B:$B,"custody")</f>
        <v>0</v>
      </c>
      <c r="R38" s="94">
        <f>SUMIFS('caseload data'!T:T,'caseload data'!$D:$D,"PO",'caseload data'!$C:$C,'custody caseload'!$B$36,'caseload data'!$B:$B,"custody")</f>
        <v>0</v>
      </c>
      <c r="S38" s="64"/>
      <c r="T38" s="96" t="s">
        <v>947</v>
      </c>
      <c r="U38" s="94">
        <f>SUMIFS('caseload data'!E:E,'caseload data'!$D:$D,"PO",'caseload data'!$C:$C,'custody caseload'!$T$36,'caseload data'!$B:$B,"custody")</f>
        <v>0</v>
      </c>
      <c r="V38" s="94">
        <f>SUMIFS('caseload data'!F:F,'caseload data'!$D:$D,"PO",'caseload data'!$C:$C,'custody caseload'!$T$36,'caseload data'!$B:$B,"custody")</f>
        <v>0</v>
      </c>
      <c r="W38" s="94">
        <f>SUMIFS('caseload data'!G:G,'caseload data'!$D:$D,"PO",'caseload data'!$C:$C,'custody caseload'!$T$36,'caseload data'!$B:$B,"custody")</f>
        <v>0</v>
      </c>
      <c r="X38" s="94">
        <f>SUMIFS('caseload data'!H:H,'caseload data'!$D:$D,"PO",'caseload data'!$C:$C,'custody caseload'!$T$36,'caseload data'!$B:$B,"custody")</f>
        <v>0</v>
      </c>
      <c r="Y38" s="94">
        <f>SUMIFS('caseload data'!I:I,'caseload data'!$D:$D,"PO",'caseload data'!$C:$C,'custody caseload'!$T$36,'caseload data'!$B:$B,"custody")</f>
        <v>0</v>
      </c>
      <c r="Z38" s="94">
        <f>SUMIFS('caseload data'!J:J,'caseload data'!$D:$D,"PO",'caseload data'!$C:$C,'custody caseload'!$T$36,'caseload data'!$B:$B,"custody")</f>
        <v>0</v>
      </c>
      <c r="AA38" s="94">
        <f>SUMIFS('caseload data'!K:K,'caseload data'!$D:$D,"PO",'caseload data'!$C:$C,'custody caseload'!$T$36,'caseload data'!$B:$B,"custody")</f>
        <v>0</v>
      </c>
      <c r="AB38" s="94">
        <f>SUMIFS('caseload data'!L:L,'caseload data'!$D:$D,"PO",'caseload data'!$C:$C,'custody caseload'!$T$36,'caseload data'!$B:$B,"custody")</f>
        <v>0</v>
      </c>
      <c r="AC38" s="94">
        <f>SUMIFS('caseload data'!M:M,'caseload data'!$D:$D,"PO",'caseload data'!$C:$C,'custody caseload'!$T$36,'caseload data'!$B:$B,"custody")</f>
        <v>0</v>
      </c>
      <c r="AD38" s="94">
        <f>SUMIFS('caseload data'!N:N,'caseload data'!$D:$D,"PO",'caseload data'!$C:$C,'custody caseload'!$T$36,'caseload data'!$B:$B,"custody")</f>
        <v>0</v>
      </c>
      <c r="AE38" s="94">
        <f>SUMIFS('caseload data'!O:O,'caseload data'!$D:$D,"PO",'caseload data'!$C:$C,'custody caseload'!$T$36,'caseload data'!$B:$B,"custody")</f>
        <v>0</v>
      </c>
      <c r="AF38" s="94">
        <f>SUMIFS('caseload data'!P:P,'caseload data'!$D:$D,"PO",'caseload data'!$C:$C,'custody caseload'!$T$36,'caseload data'!$B:$B,"custody")</f>
        <v>0</v>
      </c>
      <c r="AG38" s="94">
        <f>SUMIFS('caseload data'!Q:Q,'caseload data'!$D:$D,"PO",'caseload data'!$C:$C,'custody caseload'!$T$36,'caseload data'!$B:$B,"custody")</f>
        <v>0</v>
      </c>
      <c r="AH38" s="94">
        <f>SUMIFS('caseload data'!R:R,'caseload data'!$D:$D,"PO",'caseload data'!$C:$C,'custody caseload'!$T$36,'caseload data'!$B:$B,"custody")</f>
        <v>0</v>
      </c>
      <c r="AI38" s="94">
        <f>SUMIFS('caseload data'!S:S,'caseload data'!$D:$D,"PO",'caseload data'!$C:$C,'custody caseload'!$T$36,'caseload data'!$B:$B,"custody")</f>
        <v>0</v>
      </c>
      <c r="AJ38" s="94">
        <f>SUMIFS('caseload data'!T:T,'caseload data'!$D:$D,"PO",'caseload data'!$C:$C,'custody caseload'!$T$36,'caseload data'!$B:$B,"custody")</f>
        <v>0</v>
      </c>
    </row>
    <row r="39" spans="2:36" ht="15" x14ac:dyDescent="0.2">
      <c r="B39" s="97" t="s">
        <v>952</v>
      </c>
      <c r="C39" s="145">
        <f>SUMIFS('caseload data'!E:E,'caseload data'!$D:$D,"PSO",'caseload data'!$C:$C,'custody caseload'!$B$36,'caseload data'!$B:$B,"custody")</f>
        <v>0</v>
      </c>
      <c r="D39" s="145">
        <f>SUMIFS('caseload data'!F:F,'caseload data'!$D:$D,"PSO",'caseload data'!$C:$C,'custody caseload'!$B$36,'caseload data'!$B:$B,"custody")</f>
        <v>0</v>
      </c>
      <c r="E39" s="145">
        <f>SUMIFS('caseload data'!G:G,'caseload data'!$D:$D,"PSO",'caseload data'!$C:$C,'custody caseload'!$B$36,'caseload data'!$B:$B,"custody")</f>
        <v>0</v>
      </c>
      <c r="F39" s="145">
        <f>SUMIFS('caseload data'!H:H,'caseload data'!$D:$D,"PSO",'caseload data'!$C:$C,'custody caseload'!$B$36,'caseload data'!$B:$B,"custody")</f>
        <v>0</v>
      </c>
      <c r="G39" s="145">
        <f>SUMIFS('caseload data'!I:I,'caseload data'!$D:$D,"PSO",'caseload data'!$C:$C,'custody caseload'!$B$36,'caseload data'!$B:$B,"custody")</f>
        <v>0</v>
      </c>
      <c r="H39" s="145">
        <f>SUMIFS('caseload data'!J:J,'caseload data'!$D:$D,"PSO",'caseload data'!$C:$C,'custody caseload'!$B$36,'caseload data'!$B:$B,"custody")</f>
        <v>0</v>
      </c>
      <c r="I39" s="145">
        <f>SUMIFS('caseload data'!K:K,'caseload data'!$D:$D,"PSO",'caseload data'!$C:$C,'custody caseload'!$B$36,'caseload data'!$B:$B,"custody")</f>
        <v>0</v>
      </c>
      <c r="J39" s="145">
        <f>SUMIFS('caseload data'!L:L,'caseload data'!$D:$D,"PSO",'caseload data'!$C:$C,'custody caseload'!$B$36,'caseload data'!$B:$B,"custody")</f>
        <v>0</v>
      </c>
      <c r="K39" s="94">
        <f>SUMIFS('caseload data'!M:M,'caseload data'!$D:$D,"PSO",'caseload data'!$C:$C,'custody caseload'!$B$36,'caseload data'!$B:$B,"custody")</f>
        <v>0</v>
      </c>
      <c r="L39" s="94">
        <f>SUMIFS('caseload data'!N:N,'caseload data'!$D:$D,"PSO",'caseload data'!$C:$C,'custody caseload'!$B$36,'caseload data'!$B:$B,"custody")</f>
        <v>0</v>
      </c>
      <c r="M39" s="94">
        <f>SUMIFS('caseload data'!O:O,'caseload data'!$D:$D,"PSO",'caseload data'!$C:$C,'custody caseload'!$B$36,'caseload data'!$B:$B,"custody")</f>
        <v>0</v>
      </c>
      <c r="N39" s="94">
        <f>SUMIFS('caseload data'!P:P,'caseload data'!$D:$D,"PSO",'caseload data'!$C:$C,'custody caseload'!$B$36,'caseload data'!$B:$B,"custody")</f>
        <v>0</v>
      </c>
      <c r="O39" s="94">
        <f>SUMIFS('caseload data'!Q:Q,'caseload data'!$D:$D,"PSO",'caseload data'!$C:$C,'custody caseload'!$B$36,'caseload data'!$B:$B,"custody")</f>
        <v>0</v>
      </c>
      <c r="P39" s="94">
        <f>SUMIFS('caseload data'!R:R,'caseload data'!$D:$D,"PSO",'caseload data'!$C:$C,'custody caseload'!$B$36,'caseload data'!$B:$B,"custody")</f>
        <v>0</v>
      </c>
      <c r="Q39" s="94">
        <f>SUMIFS('caseload data'!S:S,'caseload data'!$D:$D,"PSO",'caseload data'!$C:$C,'custody caseload'!$B$36,'caseload data'!$B:$B,"custody")</f>
        <v>0</v>
      </c>
      <c r="R39" s="94">
        <f>SUMIFS('caseload data'!T:T,'caseload data'!$D:$D,"PSO",'caseload data'!$C:$C,'custody caseload'!$B$36,'caseload data'!$B:$B,"custody")</f>
        <v>0</v>
      </c>
      <c r="S39" s="64"/>
      <c r="T39" s="97" t="s">
        <v>952</v>
      </c>
      <c r="U39" s="145">
        <f>SUMIFS('caseload data'!E:E,'caseload data'!$D:$D,"PSO",'caseload data'!$C:$C,'custody caseload'!$T$36,'caseload data'!$B:$B,"custody")</f>
        <v>0</v>
      </c>
      <c r="V39" s="145">
        <f>SUMIFS('caseload data'!F:F,'caseload data'!$D:$D,"PSO",'caseload data'!$C:$C,'custody caseload'!$T$36,'caseload data'!$B:$B,"custody")</f>
        <v>0</v>
      </c>
      <c r="W39" s="145">
        <f>SUMIFS('caseload data'!G:G,'caseload data'!$D:$D,"PSO",'caseload data'!$C:$C,'custody caseload'!$T$36,'caseload data'!$B:$B,"custody")</f>
        <v>0</v>
      </c>
      <c r="X39" s="145">
        <f>SUMIFS('caseload data'!H:H,'caseload data'!$D:$D,"PSO",'caseload data'!$C:$C,'custody caseload'!$T$36,'caseload data'!$B:$B,"custody")</f>
        <v>0</v>
      </c>
      <c r="Y39" s="145">
        <f>SUMIFS('caseload data'!I:I,'caseload data'!$D:$D,"PSO",'caseload data'!$C:$C,'custody caseload'!$T$36,'caseload data'!$B:$B,"custody")</f>
        <v>0</v>
      </c>
      <c r="Z39" s="145">
        <f>SUMIFS('caseload data'!J:J,'caseload data'!$D:$D,"PSO",'caseload data'!$C:$C,'custody caseload'!$T$36,'caseload data'!$B:$B,"custody")</f>
        <v>0</v>
      </c>
      <c r="AA39" s="145">
        <f>SUMIFS('caseload data'!K:K,'caseload data'!$D:$D,"PSO",'caseload data'!$C:$C,'custody caseload'!$T$36,'caseload data'!$B:$B,"custody")</f>
        <v>0</v>
      </c>
      <c r="AB39" s="145">
        <f>SUMIFS('caseload data'!L:L,'caseload data'!$D:$D,"PSO",'caseload data'!$C:$C,'custody caseload'!$T$36,'caseload data'!$B:$B,"custody")</f>
        <v>0</v>
      </c>
      <c r="AC39" s="94">
        <f>SUMIFS('caseload data'!M:M,'caseload data'!$D:$D,"PSO",'caseload data'!$C:$C,'custody caseload'!$T$36,'caseload data'!$B:$B,"custody")</f>
        <v>0</v>
      </c>
      <c r="AD39" s="94">
        <f>SUMIFS('caseload data'!N:N,'caseload data'!$D:$D,"PSO",'caseload data'!$C:$C,'custody caseload'!$T$36,'caseload data'!$B:$B,"custody")</f>
        <v>0</v>
      </c>
      <c r="AE39" s="94">
        <f>SUMIFS('caseload data'!O:O,'caseload data'!$D:$D,"PSO",'caseload data'!$C:$C,'custody caseload'!$T$36,'caseload data'!$B:$B,"custody")</f>
        <v>0</v>
      </c>
      <c r="AF39" s="94">
        <f>SUMIFS('caseload data'!P:P,'caseload data'!$D:$D,"PSO",'caseload data'!$C:$C,'custody caseload'!$T$36,'caseload data'!$B:$B,"custody")</f>
        <v>0</v>
      </c>
      <c r="AG39" s="94">
        <f>SUMIFS('caseload data'!Q:Q,'caseload data'!$D:$D,"PSO",'caseload data'!$C:$C,'custody caseload'!$T$36,'caseload data'!$B:$B,"custody")</f>
        <v>0</v>
      </c>
      <c r="AH39" s="94">
        <f>SUMIFS('caseload data'!R:R,'caseload data'!$D:$D,"PSO",'caseload data'!$C:$C,'custody caseload'!$T$36,'caseload data'!$B:$B,"custody")</f>
        <v>0</v>
      </c>
      <c r="AI39" s="94">
        <f>SUMIFS('caseload data'!S:S,'caseload data'!$D:$D,"PSO",'caseload data'!$C:$C,'custody caseload'!$T$36,'caseload data'!$B:$B,"custody")</f>
        <v>0</v>
      </c>
      <c r="AJ39" s="94">
        <f>SUMIFS('caseload data'!T:T,'caseload data'!$D:$D,"PSO",'caseload data'!$C:$C,'custody caseload'!$T$36,'caseload data'!$B:$B,"custody")</f>
        <v>0</v>
      </c>
    </row>
    <row r="40" spans="2:36" ht="15" x14ac:dyDescent="0.2">
      <c r="B40" s="97" t="s">
        <v>953</v>
      </c>
      <c r="C40" s="145">
        <f>SUMIFS('caseload data'!E:E,'caseload data'!$D:$D,"TPO",'caseload data'!$C:$C,'custody caseload'!$B$36,'caseload data'!$B:$B,"custody")</f>
        <v>0</v>
      </c>
      <c r="D40" s="145">
        <f>SUMIFS('caseload data'!F:F,'caseload data'!$D:$D,"TPO",'caseload data'!$C:$C,'custody caseload'!$B$36,'caseload data'!$B:$B,"custody")</f>
        <v>0</v>
      </c>
      <c r="E40" s="145">
        <f>SUMIFS('caseload data'!G:G,'caseload data'!$D:$D,"TPO",'caseload data'!$C:$C,'custody caseload'!$B$36,'caseload data'!$B:$B,"custody")</f>
        <v>0</v>
      </c>
      <c r="F40" s="145">
        <f>SUMIFS('caseload data'!H:H,'caseload data'!$D:$D,"TPO",'caseload data'!$C:$C,'custody caseload'!$B$36,'caseload data'!$B:$B,"custody")</f>
        <v>0</v>
      </c>
      <c r="G40" s="145">
        <f>SUMIFS('caseload data'!I:I,'caseload data'!$D:$D,"TPO",'caseload data'!$C:$C,'custody caseload'!$B$36,'caseload data'!$B:$B,"custody")</f>
        <v>0</v>
      </c>
      <c r="H40" s="145">
        <f>SUMIFS('caseload data'!J:J,'caseload data'!$D:$D,"TPO",'caseload data'!$C:$C,'custody caseload'!$B$36,'caseload data'!$B:$B,"custody")</f>
        <v>0</v>
      </c>
      <c r="I40" s="145">
        <f>SUMIFS('caseload data'!K:K,'caseload data'!$D:$D,"TPO",'caseload data'!$C:$C,'custody caseload'!$B$36,'caseload data'!$B:$B,"custody")</f>
        <v>0</v>
      </c>
      <c r="J40" s="145">
        <f>SUMIFS('caseload data'!L:L,'caseload data'!$D:$D,"TPO",'caseload data'!$C:$C,'custody caseload'!$B$36,'caseload data'!$B:$B,"custody")</f>
        <v>0</v>
      </c>
      <c r="K40" s="94">
        <f>SUMIFS('caseload data'!M:M,'caseload data'!$D:$D,"TPO",'caseload data'!$C:$C,'custody caseload'!$B$36,'caseload data'!$B:$B,"custody")</f>
        <v>0</v>
      </c>
      <c r="L40" s="94">
        <f>SUMIFS('caseload data'!N:N,'caseload data'!$D:$D,"TPO",'caseload data'!$C:$C,'custody caseload'!$B$36,'caseload data'!$B:$B,"custody")</f>
        <v>0</v>
      </c>
      <c r="M40" s="94">
        <f>SUMIFS('caseload data'!O:O,'caseload data'!$D:$D,"TPO",'caseload data'!$C:$C,'custody caseload'!$B$36,'caseload data'!$B:$B,"custody")</f>
        <v>0</v>
      </c>
      <c r="N40" s="94">
        <f>SUMIFS('caseload data'!P:P,'caseload data'!$D:$D,"TPO",'caseload data'!$C:$C,'custody caseload'!$B$36,'caseload data'!$B:$B,"custody")</f>
        <v>0</v>
      </c>
      <c r="O40" s="94">
        <f>SUMIFS('caseload data'!Q:Q,'caseload data'!$D:$D,"TPO",'caseload data'!$C:$C,'custody caseload'!$B$36,'caseload data'!$B:$B,"custody")</f>
        <v>0</v>
      </c>
      <c r="P40" s="94">
        <f>SUMIFS('caseload data'!R:R,'caseload data'!$D:$D,"TPO",'caseload data'!$C:$C,'custody caseload'!$B$36,'caseload data'!$B:$B,"custody")</f>
        <v>0</v>
      </c>
      <c r="Q40" s="94">
        <f>SUMIFS('caseload data'!S:S,'caseload data'!$D:$D,"TPO",'caseload data'!$C:$C,'custody caseload'!$B$36,'caseload data'!$B:$B,"custody")</f>
        <v>0</v>
      </c>
      <c r="R40" s="94">
        <f>SUMIFS('caseload data'!T:T,'caseload data'!$D:$D,"TPO",'caseload data'!$C:$C,'custody caseload'!$B$36,'caseload data'!$B:$B,"custody")</f>
        <v>0</v>
      </c>
      <c r="S40" s="64"/>
      <c r="T40" s="97" t="s">
        <v>953</v>
      </c>
      <c r="U40" s="145">
        <f>SUMIFS('caseload data'!E:E,'caseload data'!$D:$D,"TPO",'caseload data'!$C:$C,'custody caseload'!$T$36,'caseload data'!$B:$B,"custody")</f>
        <v>0</v>
      </c>
      <c r="V40" s="145">
        <f>SUMIFS('caseload data'!F:F,'caseload data'!$D:$D,"TPO",'caseload data'!$C:$C,'custody caseload'!$T$36,'caseload data'!$B:$B,"custody")</f>
        <v>0</v>
      </c>
      <c r="W40" s="145">
        <f>SUMIFS('caseload data'!G:G,'caseload data'!$D:$D,"TPO",'caseload data'!$C:$C,'custody caseload'!$T$36,'caseload data'!$B:$B,"custody")</f>
        <v>0</v>
      </c>
      <c r="X40" s="145">
        <f>SUMIFS('caseload data'!H:H,'caseload data'!$D:$D,"TPO",'caseload data'!$C:$C,'custody caseload'!$T$36,'caseload data'!$B:$B,"custody")</f>
        <v>0</v>
      </c>
      <c r="Y40" s="145">
        <f>SUMIFS('caseload data'!I:I,'caseload data'!$D:$D,"TPO",'caseload data'!$C:$C,'custody caseload'!$T$36,'caseload data'!$B:$B,"custody")</f>
        <v>0</v>
      </c>
      <c r="Z40" s="145">
        <f>SUMIFS('caseload data'!J:J,'caseload data'!$D:$D,"TPO",'caseload data'!$C:$C,'custody caseload'!$T$36,'caseload data'!$B:$B,"custody")</f>
        <v>0</v>
      </c>
      <c r="AA40" s="145">
        <f>SUMIFS('caseload data'!K:K,'caseload data'!$D:$D,"TPO",'caseload data'!$C:$C,'custody caseload'!$T$36,'caseload data'!$B:$B,"custody")</f>
        <v>0</v>
      </c>
      <c r="AB40" s="145">
        <f>SUMIFS('caseload data'!L:L,'caseload data'!$D:$D,"TPO",'caseload data'!$C:$C,'custody caseload'!$T$36,'caseload data'!$B:$B,"custody")</f>
        <v>0</v>
      </c>
      <c r="AC40" s="94">
        <f>SUMIFS('caseload data'!M:M,'caseload data'!$D:$D,"TPO",'caseload data'!$C:$C,'custody caseload'!$T$36,'caseload data'!$B:$B,"custody")</f>
        <v>0</v>
      </c>
      <c r="AD40" s="94">
        <f>SUMIFS('caseload data'!N:N,'caseload data'!$D:$D,"TPO",'caseload data'!$C:$C,'custody caseload'!$T$36,'caseload data'!$B:$B,"custody")</f>
        <v>0</v>
      </c>
      <c r="AE40" s="94">
        <f>SUMIFS('caseload data'!O:O,'caseload data'!$D:$D,"TPO",'caseload data'!$C:$C,'custody caseload'!$T$36,'caseload data'!$B:$B,"custody")</f>
        <v>0</v>
      </c>
      <c r="AF40" s="94">
        <f>SUMIFS('caseload data'!P:P,'caseload data'!$D:$D,"TPO",'caseload data'!$C:$C,'custody caseload'!$T$36,'caseload data'!$B:$B,"custody")</f>
        <v>0</v>
      </c>
      <c r="AG40" s="94">
        <f>SUMIFS('caseload data'!Q:Q,'caseload data'!$D:$D,"TPO",'caseload data'!$C:$C,'custody caseload'!$T$36,'caseload data'!$B:$B,"custody")</f>
        <v>0</v>
      </c>
      <c r="AH40" s="94">
        <f>SUMIFS('caseload data'!R:R,'caseload data'!$D:$D,"TPO",'caseload data'!$C:$C,'custody caseload'!$T$36,'caseload data'!$B:$B,"custody")</f>
        <v>0</v>
      </c>
      <c r="AI40" s="94">
        <f>SUMIFS('caseload data'!S:S,'caseload data'!$D:$D,"TPO",'caseload data'!$C:$C,'custody caseload'!$T$36,'caseload data'!$B:$B,"custody")</f>
        <v>0</v>
      </c>
      <c r="AJ40" s="94">
        <f>SUMIFS('caseload data'!T:T,'caseload data'!$D:$D,"TPO",'caseload data'!$C:$C,'custody caseload'!$T$36,'caseload data'!$B:$B,"custody")</f>
        <v>0</v>
      </c>
    </row>
    <row r="41" spans="2:36" x14ac:dyDescent="0.15">
      <c r="B41" s="98" t="s">
        <v>954</v>
      </c>
      <c r="C41" s="94">
        <f>SUMIFS('caseload data'!E:E,'caseload data'!$D:$D,"SPO",'caseload data'!$C:$C,'custody caseload'!$B$36,'caseload data'!$B:$B,"custody")</f>
        <v>0</v>
      </c>
      <c r="D41" s="94">
        <f>SUMIFS('caseload data'!F:F,'caseload data'!$D:$D,"SPO",'caseload data'!$C:$C,'custody caseload'!$B$36,'caseload data'!$B:$B,"custody")</f>
        <v>0</v>
      </c>
      <c r="E41" s="94">
        <f>SUMIFS('caseload data'!G:G,'caseload data'!$D:$D,"SPO",'caseload data'!$C:$C,'custody caseload'!$B$36,'caseload data'!$B:$B,"custody")</f>
        <v>0</v>
      </c>
      <c r="F41" s="94">
        <f>SUMIFS('caseload data'!H:H,'caseload data'!$D:$D,"SPO",'caseload data'!$C:$C,'custody caseload'!$B$36,'caseload data'!$B:$B,"custody")</f>
        <v>0</v>
      </c>
      <c r="G41" s="94">
        <f>SUMIFS('caseload data'!I:I,'caseload data'!$D:$D,"SPO",'caseload data'!$C:$C,'custody caseload'!$B$36,'caseload data'!$B:$B,"custody")</f>
        <v>0</v>
      </c>
      <c r="H41" s="94">
        <f>SUMIFS('caseload data'!J:J,'caseload data'!$D:$D,"SPO",'caseload data'!$C:$C,'custody caseload'!$B$36,'caseload data'!$B:$B,"custody")</f>
        <v>0</v>
      </c>
      <c r="I41" s="94">
        <f>SUMIFS('caseload data'!K:K,'caseload data'!$D:$D,"SPO",'caseload data'!$C:$C,'custody caseload'!$B$36,'caseload data'!$B:$B,"custody")</f>
        <v>0</v>
      </c>
      <c r="J41" s="94">
        <f>SUMIFS('caseload data'!L:L,'caseload data'!$D:$D,"SPO",'caseload data'!$C:$C,'custody caseload'!$B$36,'caseload data'!$B:$B,"custody")</f>
        <v>0</v>
      </c>
      <c r="K41" s="94">
        <f>SUMIFS('caseload data'!M:M,'caseload data'!$D:$D,"SPO",'caseload data'!$C:$C,'custody caseload'!$B$36,'caseload data'!$B:$B,"custody")</f>
        <v>0</v>
      </c>
      <c r="L41" s="94">
        <f>SUMIFS('caseload data'!N:N,'caseload data'!$D:$D,"SPO",'caseload data'!$C:$C,'custody caseload'!$B$36,'caseload data'!$B:$B,"custody")</f>
        <v>0</v>
      </c>
      <c r="M41" s="94">
        <f>SUMIFS('caseload data'!O:O,'caseload data'!$D:$D,"SPO",'caseload data'!$C:$C,'custody caseload'!$B$36,'caseload data'!$B:$B,"custody")</f>
        <v>0</v>
      </c>
      <c r="N41" s="94">
        <f>SUMIFS('caseload data'!P:P,'caseload data'!$D:$D,"SPO",'caseload data'!$C:$C,'custody caseload'!$B$36,'caseload data'!$B:$B,"custody")</f>
        <v>0</v>
      </c>
      <c r="O41" s="94">
        <f>SUMIFS('caseload data'!Q:Q,'caseload data'!$D:$D,"SPO",'caseload data'!$C:$C,'custody caseload'!$B$36,'caseload data'!$B:$B,"custody")</f>
        <v>0</v>
      </c>
      <c r="P41" s="94">
        <f>SUMIFS('caseload data'!R:R,'caseload data'!$D:$D,"SPO",'caseload data'!$C:$C,'custody caseload'!$B$36,'caseload data'!$B:$B,"custody")</f>
        <v>0</v>
      </c>
      <c r="Q41" s="94">
        <f>SUMIFS('caseload data'!S:S,'caseload data'!$D:$D,"SPO",'caseload data'!$C:$C,'custody caseload'!$B$36,'caseload data'!$B:$B,"custody")</f>
        <v>0</v>
      </c>
      <c r="R41" s="94">
        <f>SUMIFS('caseload data'!T:T,'caseload data'!$D:$D,"SPO",'caseload data'!$C:$C,'custody caseload'!$B$36,'caseload data'!$B:$B,"custody")</f>
        <v>0</v>
      </c>
      <c r="S41" s="64"/>
      <c r="T41" s="98" t="s">
        <v>954</v>
      </c>
      <c r="U41" s="94">
        <f>SUMIFS('caseload data'!E:E,'caseload data'!$D:$D,"SPO",'caseload data'!$C:$C,'custody caseload'!$T$36,'caseload data'!$B:$B,"custody")</f>
        <v>0</v>
      </c>
      <c r="V41" s="94">
        <f>SUMIFS('caseload data'!F:F,'caseload data'!$D:$D,"SPO",'caseload data'!$C:$C,'custody caseload'!$T$36,'caseload data'!$B:$B,"custody")</f>
        <v>0</v>
      </c>
      <c r="W41" s="94">
        <f>SUMIFS('caseload data'!G:G,'caseload data'!$D:$D,"SPO",'caseload data'!$C:$C,'custody caseload'!$T$36,'caseload data'!$B:$B,"custody")</f>
        <v>0</v>
      </c>
      <c r="X41" s="94">
        <f>SUMIFS('caseload data'!H:H,'caseload data'!$D:$D,"SPO",'caseload data'!$C:$C,'custody caseload'!$T$36,'caseload data'!$B:$B,"custody")</f>
        <v>0</v>
      </c>
      <c r="Y41" s="94">
        <f>SUMIFS('caseload data'!I:I,'caseload data'!$D:$D,"SPO",'caseload data'!$C:$C,'custody caseload'!$T$36,'caseload data'!$B:$B,"custody")</f>
        <v>0</v>
      </c>
      <c r="Z41" s="94">
        <f>SUMIFS('caseload data'!J:J,'caseload data'!$D:$D,"SPO",'caseload data'!$C:$C,'custody caseload'!$T$36,'caseload data'!$B:$B,"custody")</f>
        <v>0</v>
      </c>
      <c r="AA41" s="94">
        <f>SUMIFS('caseload data'!K:K,'caseload data'!$D:$D,"SPO",'caseload data'!$C:$C,'custody caseload'!$T$36,'caseload data'!$B:$B,"custody")</f>
        <v>0</v>
      </c>
      <c r="AB41" s="94">
        <f>SUMIFS('caseload data'!L:L,'caseload data'!$D:$D,"SPO",'caseload data'!$C:$C,'custody caseload'!$T$36,'caseload data'!$B:$B,"custody")</f>
        <v>0</v>
      </c>
      <c r="AC41" s="94">
        <f>SUMIFS('caseload data'!M:M,'caseload data'!$D:$D,"SPO",'caseload data'!$C:$C,'custody caseload'!$T$36,'caseload data'!$B:$B,"custody")</f>
        <v>0</v>
      </c>
      <c r="AD41" s="94">
        <f>SUMIFS('caseload data'!N:N,'caseload data'!$D:$D,"SPO",'caseload data'!$C:$C,'custody caseload'!$T$36,'caseload data'!$B:$B,"custody")</f>
        <v>0</v>
      </c>
      <c r="AE41" s="94">
        <f>SUMIFS('caseload data'!O:O,'caseload data'!$D:$D,"SPO",'caseload data'!$C:$C,'custody caseload'!$T$36,'caseload data'!$B:$B,"custody")</f>
        <v>0</v>
      </c>
      <c r="AF41" s="94">
        <f>SUMIFS('caseload data'!P:P,'caseload data'!$D:$D,"SPO",'caseload data'!$C:$C,'custody caseload'!$T$36,'caseload data'!$B:$B,"custody")</f>
        <v>0</v>
      </c>
      <c r="AG41" s="94">
        <f>SUMIFS('caseload data'!Q:Q,'caseload data'!$D:$D,"SPO",'caseload data'!$C:$C,'custody caseload'!$T$36,'caseload data'!$B:$B,"custody")</f>
        <v>0</v>
      </c>
      <c r="AH41" s="94">
        <f>SUMIFS('caseload data'!R:R,'caseload data'!$D:$D,"SPO",'caseload data'!$C:$C,'custody caseload'!$T$36,'caseload data'!$B:$B,"custody")</f>
        <v>0</v>
      </c>
      <c r="AI41" s="94">
        <f>SUMIFS('caseload data'!S:S,'caseload data'!$D:$D,"SPO",'caseload data'!$C:$C,'custody caseload'!$T$36,'caseload data'!$B:$B,"custody")</f>
        <v>0</v>
      </c>
      <c r="AJ41" s="94">
        <f>SUMIFS('caseload data'!T:T,'caseload data'!$D:$D,"SPO",'caseload data'!$C:$C,'custody caseload'!$T$36,'caseload data'!$B:$B,"custody")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15">
      <c r="B43" s="142">
        <f>HLOOKUP($B$5,Region_Table,12,0)</f>
        <v>0</v>
      </c>
      <c r="C43" s="556" t="s">
        <v>1073</v>
      </c>
      <c r="D43" s="557"/>
      <c r="E43" s="557"/>
      <c r="F43" s="557"/>
      <c r="G43" s="557"/>
      <c r="H43" s="557"/>
      <c r="I43" s="557"/>
      <c r="J43" s="557"/>
      <c r="K43" s="557"/>
      <c r="L43" s="557"/>
      <c r="M43" s="566"/>
      <c r="N43" s="566"/>
      <c r="O43" s="567"/>
      <c r="P43" s="543">
        <f>SUMIFS('caseload data'!V:V,'caseload data'!B:B,"custody",'caseload data'!$C:$C,'custody caseload'!B43)</f>
        <v>0</v>
      </c>
      <c r="Q43" s="560"/>
      <c r="R43" s="561"/>
      <c r="S43" s="64"/>
      <c r="T43" s="142">
        <f>HLOOKUP($B$5,Region_Table,13,0)</f>
        <v>0</v>
      </c>
      <c r="U43" s="556" t="s">
        <v>1073</v>
      </c>
      <c r="V43" s="557"/>
      <c r="W43" s="557"/>
      <c r="X43" s="557"/>
      <c r="Y43" s="557"/>
      <c r="Z43" s="557"/>
      <c r="AA43" s="557"/>
      <c r="AB43" s="557"/>
      <c r="AC43" s="557"/>
      <c r="AD43" s="557"/>
      <c r="AE43" s="566"/>
      <c r="AF43" s="566"/>
      <c r="AG43" s="567"/>
      <c r="AH43" s="543">
        <f>SUMIFS('caseload data'!V:V,'caseload data'!B:B,"custody",'caseload data'!$C:$C,'custody caseload'!T43)</f>
        <v>0</v>
      </c>
      <c r="AI43" s="560"/>
      <c r="AJ43" s="561"/>
    </row>
    <row r="44" spans="2:36" x14ac:dyDescent="0.15">
      <c r="B44" s="95" t="s">
        <v>951</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951</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94">
        <f>SUMIFS('caseload data'!E:E,'caseload data'!$D:$D,"PO",'caseload data'!$C:$C,'custody caseload'!$B$43,'caseload data'!$B:$B,"custody")</f>
        <v>0</v>
      </c>
      <c r="D45" s="94">
        <f>SUMIFS('caseload data'!F:F,'caseload data'!$D:$D,"PO",'caseload data'!$C:$C,'custody caseload'!$B$43,'caseload data'!$B:$B,"custody")</f>
        <v>0</v>
      </c>
      <c r="E45" s="94">
        <f>SUMIFS('caseload data'!G:G,'caseload data'!$D:$D,"PO",'caseload data'!$C:$C,'custody caseload'!$B$43,'caseload data'!$B:$B,"custody")</f>
        <v>0</v>
      </c>
      <c r="F45" s="94">
        <f>SUMIFS('caseload data'!H:H,'caseload data'!$D:$D,"PO",'caseload data'!$C:$C,'custody caseload'!$B$43,'caseload data'!$B:$B,"custody")</f>
        <v>0</v>
      </c>
      <c r="G45" s="94">
        <f>SUMIFS('caseload data'!I:I,'caseload data'!$D:$D,"PO",'caseload data'!$C:$C,'custody caseload'!$B$43,'caseload data'!$B:$B,"custody")</f>
        <v>0</v>
      </c>
      <c r="H45" s="94">
        <f>SUMIFS('caseload data'!J:J,'caseload data'!$D:$D,"PO",'caseload data'!$C:$C,'custody caseload'!$B$43,'caseload data'!$B:$B,"custody")</f>
        <v>0</v>
      </c>
      <c r="I45" s="94">
        <f>SUMIFS('caseload data'!K:K,'caseload data'!$D:$D,"PO",'caseload data'!$C:$C,'custody caseload'!$B$43,'caseload data'!$B:$B,"custody")</f>
        <v>0</v>
      </c>
      <c r="J45" s="94">
        <f>SUMIFS('caseload data'!L:L,'caseload data'!$D:$D,"PO",'caseload data'!$C:$C,'custody caseload'!$B$43,'caseload data'!$B:$B,"custody")</f>
        <v>0</v>
      </c>
      <c r="K45" s="94">
        <f>SUMIFS('caseload data'!M:M,'caseload data'!$D:$D,"PO",'caseload data'!$C:$C,'custody caseload'!$B$43,'caseload data'!$B:$B,"custody")</f>
        <v>0</v>
      </c>
      <c r="L45" s="94">
        <f>SUMIFS('caseload data'!N:N,'caseload data'!$D:$D,"PO",'caseload data'!$C:$C,'custody caseload'!$B$43,'caseload data'!$B:$B,"custody")</f>
        <v>0</v>
      </c>
      <c r="M45" s="94">
        <f>SUMIFS('caseload data'!O:O,'caseload data'!$D:$D,"PO",'caseload data'!$C:$C,'custody caseload'!$B$43,'caseload data'!$B:$B,"custody")</f>
        <v>0</v>
      </c>
      <c r="N45" s="94">
        <f>SUMIFS('caseload data'!P:P,'caseload data'!$D:$D,"PO",'caseload data'!$C:$C,'custody caseload'!$B$43,'caseload data'!$B:$B,"custody")</f>
        <v>0</v>
      </c>
      <c r="O45" s="94">
        <f>SUMIFS('caseload data'!Q:Q,'caseload data'!$D:$D,"PO",'caseload data'!$C:$C,'custody caseload'!$B$43,'caseload data'!$B:$B,"custody")</f>
        <v>0</v>
      </c>
      <c r="P45" s="94">
        <f>SUMIFS('caseload data'!R:R,'caseload data'!$D:$D,"PO",'caseload data'!$C:$C,'custody caseload'!$B$43,'caseload data'!$B:$B,"custody")</f>
        <v>0</v>
      </c>
      <c r="Q45" s="94">
        <f>SUMIFS('caseload data'!S:S,'caseload data'!$D:$D,"PO",'caseload data'!$C:$C,'custody caseload'!$B$43,'caseload data'!$B:$B,"custody")</f>
        <v>0</v>
      </c>
      <c r="R45" s="94">
        <f>SUMIFS('caseload data'!T:T,'caseload data'!$D:$D,"PO",'caseload data'!$C:$C,'custody caseload'!$B$43,'caseload data'!$B:$B,"custody")</f>
        <v>0</v>
      </c>
      <c r="S45" s="64"/>
      <c r="T45" s="96" t="s">
        <v>947</v>
      </c>
      <c r="U45" s="94">
        <f>SUMIFS('caseload data'!E:E,'caseload data'!$D:$D,"PO",'caseload data'!$C:$C,'custody caseload'!$T$43,'caseload data'!$B:$B,"custody")</f>
        <v>0</v>
      </c>
      <c r="V45" s="94">
        <f>SUMIFS('caseload data'!F:F,'caseload data'!$D:$D,"PO",'caseload data'!$C:$C,'custody caseload'!$T$43,'caseload data'!$B:$B,"custody")</f>
        <v>0</v>
      </c>
      <c r="W45" s="94">
        <f>SUMIFS('caseload data'!G:G,'caseload data'!$D:$D,"PO",'caseload data'!$C:$C,'custody caseload'!$T$43,'caseload data'!$B:$B,"custody")</f>
        <v>0</v>
      </c>
      <c r="X45" s="94">
        <f>SUMIFS('caseload data'!H:H,'caseload data'!$D:$D,"PO",'caseload data'!$C:$C,'custody caseload'!$T$43,'caseload data'!$B:$B,"custody")</f>
        <v>0</v>
      </c>
      <c r="Y45" s="94">
        <f>SUMIFS('caseload data'!I:I,'caseload data'!$D:$D,"PO",'caseload data'!$C:$C,'custody caseload'!$T$43,'caseload data'!$B:$B,"custody")</f>
        <v>0</v>
      </c>
      <c r="Z45" s="94">
        <f>SUMIFS('caseload data'!J:J,'caseload data'!$D:$D,"PO",'caseload data'!$C:$C,'custody caseload'!$T$43,'caseload data'!$B:$B,"custody")</f>
        <v>0</v>
      </c>
      <c r="AA45" s="94">
        <f>SUMIFS('caseload data'!K:K,'caseload data'!$D:$D,"PO",'caseload data'!$C:$C,'custody caseload'!$T$43,'caseload data'!$B:$B,"custody")</f>
        <v>0</v>
      </c>
      <c r="AB45" s="94">
        <f>SUMIFS('caseload data'!L:L,'caseload data'!$D:$D,"PO",'caseload data'!$C:$C,'custody caseload'!$T$43,'caseload data'!$B:$B,"custody")</f>
        <v>0</v>
      </c>
      <c r="AC45" s="94">
        <f>SUMIFS('caseload data'!M:M,'caseload data'!$D:$D,"PO",'caseload data'!$C:$C,'custody caseload'!$T$43,'caseload data'!$B:$B,"custody")</f>
        <v>0</v>
      </c>
      <c r="AD45" s="94">
        <f>SUMIFS('caseload data'!N:N,'caseload data'!$D:$D,"PO",'caseload data'!$C:$C,'custody caseload'!$T$43,'caseload data'!$B:$B,"custody")</f>
        <v>0</v>
      </c>
      <c r="AE45" s="94">
        <f>SUMIFS('caseload data'!O:O,'caseload data'!$D:$D,"PO",'caseload data'!$C:$C,'custody caseload'!$T$43,'caseload data'!$B:$B,"custody")</f>
        <v>0</v>
      </c>
      <c r="AF45" s="94">
        <f>SUMIFS('caseload data'!P:P,'caseload data'!$D:$D,"PO",'caseload data'!$C:$C,'custody caseload'!$T$43,'caseload data'!$B:$B,"custody")</f>
        <v>0</v>
      </c>
      <c r="AG45" s="94">
        <f>SUMIFS('caseload data'!Q:Q,'caseload data'!$D:$D,"PO",'caseload data'!$C:$C,'custody caseload'!$T$43,'caseload data'!$B:$B,"custody")</f>
        <v>0</v>
      </c>
      <c r="AH45" s="94">
        <f>SUMIFS('caseload data'!R:R,'caseload data'!$D:$D,"PO",'caseload data'!$C:$C,'custody caseload'!$T$43,'caseload data'!$B:$B,"custody")</f>
        <v>0</v>
      </c>
      <c r="AI45" s="94">
        <f>SUMIFS('caseload data'!S:S,'caseload data'!$D:$D,"PO",'caseload data'!$C:$C,'custody caseload'!$T$43,'caseload data'!$B:$B,"custody")</f>
        <v>0</v>
      </c>
      <c r="AJ45" s="94">
        <f>SUMIFS('caseload data'!T:T,'caseload data'!$D:$D,"PO",'caseload data'!$C:$C,'custody caseload'!$T$43,'caseload data'!$B:$B,"custody")</f>
        <v>0</v>
      </c>
    </row>
    <row r="46" spans="2:36" ht="15" x14ac:dyDescent="0.2">
      <c r="B46" s="97" t="s">
        <v>952</v>
      </c>
      <c r="C46" s="145">
        <f>SUMIFS('caseload data'!E:E,'caseload data'!$D:$D,"PSO",'caseload data'!$C:$C,'custody caseload'!$B$43,'caseload data'!$B:$B,"custody")</f>
        <v>0</v>
      </c>
      <c r="D46" s="145">
        <f>SUMIFS('caseload data'!F:F,'caseload data'!$D:$D,"PSO",'caseload data'!$C:$C,'custody caseload'!$B$43,'caseload data'!$B:$B,"custody")</f>
        <v>0</v>
      </c>
      <c r="E46" s="145">
        <f>SUMIFS('caseload data'!G:G,'caseload data'!$D:$D,"PSO",'caseload data'!$C:$C,'custody caseload'!$B$43,'caseload data'!$B:$B,"custody")</f>
        <v>0</v>
      </c>
      <c r="F46" s="145">
        <f>SUMIFS('caseload data'!H:H,'caseload data'!$D:$D,"PSO",'caseload data'!$C:$C,'custody caseload'!$B$43,'caseload data'!$B:$B,"custody")</f>
        <v>0</v>
      </c>
      <c r="G46" s="145">
        <f>SUMIFS('caseload data'!I:I,'caseload data'!$D:$D,"PSO",'caseload data'!$C:$C,'custody caseload'!$B$43,'caseload data'!$B:$B,"custody")</f>
        <v>0</v>
      </c>
      <c r="H46" s="145">
        <f>SUMIFS('caseload data'!J:J,'caseload data'!$D:$D,"PSO",'caseload data'!$C:$C,'custody caseload'!$B$43,'caseload data'!$B:$B,"custody")</f>
        <v>0</v>
      </c>
      <c r="I46" s="145">
        <f>SUMIFS('caseload data'!K:K,'caseload data'!$D:$D,"PSO",'caseload data'!$C:$C,'custody caseload'!$B$43,'caseload data'!$B:$B,"custody")</f>
        <v>0</v>
      </c>
      <c r="J46" s="145">
        <f>SUMIFS('caseload data'!L:L,'caseload data'!$D:$D,"PSO",'caseload data'!$C:$C,'custody caseload'!$B$43,'caseload data'!$B:$B,"custody")</f>
        <v>0</v>
      </c>
      <c r="K46" s="94">
        <f>SUMIFS('caseload data'!M:M,'caseload data'!$D:$D,"PSO",'caseload data'!$C:$C,'custody caseload'!$B$43,'caseload data'!$B:$B,"custody")</f>
        <v>0</v>
      </c>
      <c r="L46" s="94">
        <f>SUMIFS('caseload data'!N:N,'caseload data'!$D:$D,"PSO",'caseload data'!$C:$C,'custody caseload'!$B$43,'caseload data'!$B:$B,"custody")</f>
        <v>0</v>
      </c>
      <c r="M46" s="94">
        <f>SUMIFS('caseload data'!O:O,'caseload data'!$D:$D,"PSO",'caseload data'!$C:$C,'custody caseload'!$B$43,'caseload data'!$B:$B,"custody")</f>
        <v>0</v>
      </c>
      <c r="N46" s="94">
        <f>SUMIFS('caseload data'!P:P,'caseload data'!$D:$D,"PSO",'caseload data'!$C:$C,'custody caseload'!$B$43,'caseload data'!$B:$B,"custody")</f>
        <v>0</v>
      </c>
      <c r="O46" s="94">
        <f>SUMIFS('caseload data'!Q:Q,'caseload data'!$D:$D,"PSO",'caseload data'!$C:$C,'custody caseload'!$B$43,'caseload data'!$B:$B,"custody")</f>
        <v>0</v>
      </c>
      <c r="P46" s="94">
        <f>SUMIFS('caseload data'!R:R,'caseload data'!$D:$D,"PSO",'caseload data'!$C:$C,'custody caseload'!$B$43,'caseload data'!$B:$B,"custody")</f>
        <v>0</v>
      </c>
      <c r="Q46" s="94">
        <f>SUMIFS('caseload data'!S:S,'caseload data'!$D:$D,"PSO",'caseload data'!$C:$C,'custody caseload'!$B$43,'caseload data'!$B:$B,"custody")</f>
        <v>0</v>
      </c>
      <c r="R46" s="94">
        <f>SUMIFS('caseload data'!T:T,'caseload data'!$D:$D,"PSO",'caseload data'!$C:$C,'custody caseload'!$B$43,'caseload data'!$B:$B,"custody")</f>
        <v>0</v>
      </c>
      <c r="S46" s="64"/>
      <c r="T46" s="97" t="s">
        <v>952</v>
      </c>
      <c r="U46" s="145">
        <f>SUMIFS('caseload data'!E:E,'caseload data'!$D:$D,"PSO",'caseload data'!$C:$C,'custody caseload'!$T$43,'caseload data'!$B:$B,"custody")</f>
        <v>0</v>
      </c>
      <c r="V46" s="145">
        <f>SUMIFS('caseload data'!F:F,'caseload data'!$D:$D,"PSO",'caseload data'!$C:$C,'custody caseload'!$T$43,'caseload data'!$B:$B,"custody")</f>
        <v>0</v>
      </c>
      <c r="W46" s="145">
        <f>SUMIFS('caseload data'!G:G,'caseload data'!$D:$D,"PSO",'caseload data'!$C:$C,'custody caseload'!$T$43,'caseload data'!$B:$B,"custody")</f>
        <v>0</v>
      </c>
      <c r="X46" s="145">
        <f>SUMIFS('caseload data'!H:H,'caseload data'!$D:$D,"PSO",'caseload data'!$C:$C,'custody caseload'!$T$43,'caseload data'!$B:$B,"custody")</f>
        <v>0</v>
      </c>
      <c r="Y46" s="145">
        <f>SUMIFS('caseload data'!I:I,'caseload data'!$D:$D,"PSO",'caseload data'!$C:$C,'custody caseload'!$T$43,'caseload data'!$B:$B,"custody")</f>
        <v>0</v>
      </c>
      <c r="Z46" s="145">
        <f>SUMIFS('caseload data'!J:J,'caseload data'!$D:$D,"PSO",'caseload data'!$C:$C,'custody caseload'!$T$43,'caseload data'!$B:$B,"custody")</f>
        <v>0</v>
      </c>
      <c r="AA46" s="145">
        <f>SUMIFS('caseload data'!K:K,'caseload data'!$D:$D,"PSO",'caseload data'!$C:$C,'custody caseload'!$T$43,'caseload data'!$B:$B,"custody")</f>
        <v>0</v>
      </c>
      <c r="AB46" s="145">
        <f>SUMIFS('caseload data'!L:L,'caseload data'!$D:$D,"PSO",'caseload data'!$C:$C,'custody caseload'!$T$43,'caseload data'!$B:$B,"custody")</f>
        <v>0</v>
      </c>
      <c r="AC46" s="94">
        <f>SUMIFS('caseload data'!M:M,'caseload data'!$D:$D,"PSO",'caseload data'!$C:$C,'custody caseload'!$T$43,'caseload data'!$B:$B,"custody")</f>
        <v>0</v>
      </c>
      <c r="AD46" s="94">
        <f>SUMIFS('caseload data'!N:N,'caseload data'!$D:$D,"PSO",'caseload data'!$C:$C,'custody caseload'!$T$43,'caseload data'!$B:$B,"custody")</f>
        <v>0</v>
      </c>
      <c r="AE46" s="94">
        <f>SUMIFS('caseload data'!O:O,'caseload data'!$D:$D,"PSO",'caseload data'!$C:$C,'custody caseload'!$T$43,'caseload data'!$B:$B,"custody")</f>
        <v>0</v>
      </c>
      <c r="AF46" s="94">
        <f>SUMIFS('caseload data'!P:P,'caseload data'!$D:$D,"PSO",'caseload data'!$C:$C,'custody caseload'!$T$43,'caseload data'!$B:$B,"custody")</f>
        <v>0</v>
      </c>
      <c r="AG46" s="94">
        <f>SUMIFS('caseload data'!Q:Q,'caseload data'!$D:$D,"PSO",'caseload data'!$C:$C,'custody caseload'!$T$43,'caseload data'!$B:$B,"custody")</f>
        <v>0</v>
      </c>
      <c r="AH46" s="94">
        <f>SUMIFS('caseload data'!R:R,'caseload data'!$D:$D,"PSO",'caseload data'!$C:$C,'custody caseload'!$T$43,'caseload data'!$B:$B,"custody")</f>
        <v>0</v>
      </c>
      <c r="AI46" s="94">
        <f>SUMIFS('caseload data'!S:S,'caseload data'!$D:$D,"PSO",'caseload data'!$C:$C,'custody caseload'!$T$43,'caseload data'!$B:$B,"custody")</f>
        <v>0</v>
      </c>
      <c r="AJ46" s="94">
        <f>SUMIFS('caseload data'!T:T,'caseload data'!$D:$D,"PSO",'caseload data'!$C:$C,'custody caseload'!$T$43,'caseload data'!$B:$B,"custody")</f>
        <v>0</v>
      </c>
    </row>
    <row r="47" spans="2:36" ht="15" x14ac:dyDescent="0.2">
      <c r="B47" s="97" t="s">
        <v>953</v>
      </c>
      <c r="C47" s="145">
        <f>SUMIFS('caseload data'!E:E,'caseload data'!$D:$D,"TPO",'caseload data'!$C:$C,'custody caseload'!$B$43,'caseload data'!$B:$B,"custody")</f>
        <v>0</v>
      </c>
      <c r="D47" s="145">
        <f>SUMIFS('caseload data'!F:F,'caseload data'!$D:$D,"TPO",'caseload data'!$C:$C,'custody caseload'!$B$43,'caseload data'!$B:$B,"custody")</f>
        <v>0</v>
      </c>
      <c r="E47" s="145">
        <f>SUMIFS('caseload data'!G:G,'caseload data'!$D:$D,"TPO",'caseload data'!$C:$C,'custody caseload'!$B$43,'caseload data'!$B:$B,"custody")</f>
        <v>0</v>
      </c>
      <c r="F47" s="145">
        <f>SUMIFS('caseload data'!H:H,'caseload data'!$D:$D,"TPO",'caseload data'!$C:$C,'custody caseload'!$B$43,'caseload data'!$B:$B,"custody")</f>
        <v>0</v>
      </c>
      <c r="G47" s="145">
        <f>SUMIFS('caseload data'!I:I,'caseload data'!$D:$D,"TPO",'caseload data'!$C:$C,'custody caseload'!$B$43,'caseload data'!$B:$B,"custody")</f>
        <v>0</v>
      </c>
      <c r="H47" s="145">
        <f>SUMIFS('caseload data'!J:J,'caseload data'!$D:$D,"TPO",'caseload data'!$C:$C,'custody caseload'!$B$43,'caseload data'!$B:$B,"custody")</f>
        <v>0</v>
      </c>
      <c r="I47" s="145">
        <f>SUMIFS('caseload data'!K:K,'caseload data'!$D:$D,"TPO",'caseload data'!$C:$C,'custody caseload'!$B$43,'caseload data'!$B:$B,"custody")</f>
        <v>0</v>
      </c>
      <c r="J47" s="145">
        <f>SUMIFS('caseload data'!L:L,'caseload data'!$D:$D,"TPO",'caseload data'!$C:$C,'custody caseload'!$B$43,'caseload data'!$B:$B,"custody")</f>
        <v>0</v>
      </c>
      <c r="K47" s="94">
        <f>SUMIFS('caseload data'!M:M,'caseload data'!$D:$D,"TPO",'caseload data'!$C:$C,'custody caseload'!$B$43,'caseload data'!$B:$B,"custody")</f>
        <v>0</v>
      </c>
      <c r="L47" s="94">
        <f>SUMIFS('caseload data'!N:N,'caseload data'!$D:$D,"TPO",'caseload data'!$C:$C,'custody caseload'!$B$43,'caseload data'!$B:$B,"custody")</f>
        <v>0</v>
      </c>
      <c r="M47" s="94">
        <f>SUMIFS('caseload data'!O:O,'caseload data'!$D:$D,"TPO",'caseload data'!$C:$C,'custody caseload'!$B$43,'caseload data'!$B:$B,"custody")</f>
        <v>0</v>
      </c>
      <c r="N47" s="94">
        <f>SUMIFS('caseload data'!P:P,'caseload data'!$D:$D,"TPO",'caseload data'!$C:$C,'custody caseload'!$B$43,'caseload data'!$B:$B,"custody")</f>
        <v>0</v>
      </c>
      <c r="O47" s="94">
        <f>SUMIFS('caseload data'!Q:Q,'caseload data'!$D:$D,"TPO",'caseload data'!$C:$C,'custody caseload'!$B$43,'caseload data'!$B:$B,"custody")</f>
        <v>0</v>
      </c>
      <c r="P47" s="94">
        <f>SUMIFS('caseload data'!R:R,'caseload data'!$D:$D,"TPO",'caseload data'!$C:$C,'custody caseload'!$B$43,'caseload data'!$B:$B,"custody")</f>
        <v>0</v>
      </c>
      <c r="Q47" s="94">
        <f>SUMIFS('caseload data'!S:S,'caseload data'!$D:$D,"TPO",'caseload data'!$C:$C,'custody caseload'!$B$43,'caseload data'!$B:$B,"custody")</f>
        <v>0</v>
      </c>
      <c r="R47" s="94">
        <f>SUMIFS('caseload data'!T:T,'caseload data'!$D:$D,"TPO",'caseload data'!$C:$C,'custody caseload'!$B$43,'caseload data'!$B:$B,"custody")</f>
        <v>0</v>
      </c>
      <c r="S47" s="64"/>
      <c r="T47" s="97" t="s">
        <v>953</v>
      </c>
      <c r="U47" s="145">
        <f>SUMIFS('caseload data'!E:E,'caseload data'!$D:$D,"TPO",'caseload data'!$C:$C,'custody caseload'!$T$43,'caseload data'!$B:$B,"custody")</f>
        <v>0</v>
      </c>
      <c r="V47" s="145">
        <f>SUMIFS('caseload data'!F:F,'caseload data'!$D:$D,"TPO",'caseload data'!$C:$C,'custody caseload'!$T$43,'caseload data'!$B:$B,"custody")</f>
        <v>0</v>
      </c>
      <c r="W47" s="145">
        <f>SUMIFS('caseload data'!G:G,'caseload data'!$D:$D,"TPO",'caseload data'!$C:$C,'custody caseload'!$T$43,'caseload data'!$B:$B,"custody")</f>
        <v>0</v>
      </c>
      <c r="X47" s="145">
        <f>SUMIFS('caseload data'!H:H,'caseload data'!$D:$D,"TPO",'caseload data'!$C:$C,'custody caseload'!$T$43,'caseload data'!$B:$B,"custody")</f>
        <v>0</v>
      </c>
      <c r="Y47" s="145">
        <f>SUMIFS('caseload data'!I:I,'caseload data'!$D:$D,"TPO",'caseload data'!$C:$C,'custody caseload'!$T$43,'caseload data'!$B:$B,"custody")</f>
        <v>0</v>
      </c>
      <c r="Z47" s="145">
        <f>SUMIFS('caseload data'!J:J,'caseload data'!$D:$D,"TPO",'caseload data'!$C:$C,'custody caseload'!$T$43,'caseload data'!$B:$B,"custody")</f>
        <v>0</v>
      </c>
      <c r="AA47" s="145">
        <f>SUMIFS('caseload data'!K:K,'caseload data'!$D:$D,"TPO",'caseload data'!$C:$C,'custody caseload'!$T$43,'caseload data'!$B:$B,"custody")</f>
        <v>0</v>
      </c>
      <c r="AB47" s="145">
        <f>SUMIFS('caseload data'!L:L,'caseload data'!$D:$D,"TPO",'caseload data'!$C:$C,'custody caseload'!$T$43,'caseload data'!$B:$B,"custody")</f>
        <v>0</v>
      </c>
      <c r="AC47" s="94">
        <f>SUMIFS('caseload data'!M:M,'caseload data'!$D:$D,"TPO",'caseload data'!$C:$C,'custody caseload'!$T$43,'caseload data'!$B:$B,"custody")</f>
        <v>0</v>
      </c>
      <c r="AD47" s="94">
        <f>SUMIFS('caseload data'!N:N,'caseload data'!$D:$D,"TPO",'caseload data'!$C:$C,'custody caseload'!$T$43,'caseload data'!$B:$B,"custody")</f>
        <v>0</v>
      </c>
      <c r="AE47" s="94">
        <f>SUMIFS('caseload data'!O:O,'caseload data'!$D:$D,"TPO",'caseload data'!$C:$C,'custody caseload'!$T$43,'caseload data'!$B:$B,"custody")</f>
        <v>0</v>
      </c>
      <c r="AF47" s="94">
        <f>SUMIFS('caseload data'!P:P,'caseload data'!$D:$D,"TPO",'caseload data'!$C:$C,'custody caseload'!$T$43,'caseload data'!$B:$B,"custody")</f>
        <v>0</v>
      </c>
      <c r="AG47" s="94">
        <f>SUMIFS('caseload data'!Q:Q,'caseload data'!$D:$D,"TPO",'caseload data'!$C:$C,'custody caseload'!$T$43,'caseload data'!$B:$B,"custody")</f>
        <v>0</v>
      </c>
      <c r="AH47" s="94">
        <f>SUMIFS('caseload data'!R:R,'caseload data'!$D:$D,"TPO",'caseload data'!$C:$C,'custody caseload'!$T$43,'caseload data'!$B:$B,"custody")</f>
        <v>0</v>
      </c>
      <c r="AI47" s="94">
        <f>SUMIFS('caseload data'!S:S,'caseload data'!$D:$D,"TPO",'caseload data'!$C:$C,'custody caseload'!$T$43,'caseload data'!$B:$B,"custody")</f>
        <v>0</v>
      </c>
      <c r="AJ47" s="94">
        <f>SUMIFS('caseload data'!T:T,'caseload data'!$D:$D,"TPO",'caseload data'!$C:$C,'custody caseload'!$T$43,'caseload data'!$B:$B,"custody")</f>
        <v>0</v>
      </c>
    </row>
    <row r="48" spans="2:36" x14ac:dyDescent="0.15">
      <c r="B48" s="98" t="s">
        <v>954</v>
      </c>
      <c r="C48" s="94">
        <f>SUMIFS('caseload data'!E:E,'caseload data'!$D:$D,"SPO",'caseload data'!$C:$C,'custody caseload'!$B$43,'caseload data'!$B:$B,"custody")</f>
        <v>0</v>
      </c>
      <c r="D48" s="94">
        <f>SUMIFS('caseload data'!F:F,'caseload data'!$D:$D,"SPO",'caseload data'!$C:$C,'custody caseload'!$B$43,'caseload data'!$B:$B,"custody")</f>
        <v>0</v>
      </c>
      <c r="E48" s="94">
        <f>SUMIFS('caseload data'!G:G,'caseload data'!$D:$D,"SPO",'caseload data'!$C:$C,'custody caseload'!$B$43,'caseload data'!$B:$B,"custody")</f>
        <v>0</v>
      </c>
      <c r="F48" s="94">
        <f>SUMIFS('caseload data'!H:H,'caseload data'!$D:$D,"SPO",'caseload data'!$C:$C,'custody caseload'!$B$43,'caseload data'!$B:$B,"custody")</f>
        <v>0</v>
      </c>
      <c r="G48" s="94">
        <f>SUMIFS('caseload data'!I:I,'caseload data'!$D:$D,"SPO",'caseload data'!$C:$C,'custody caseload'!$B$43,'caseload data'!$B:$B,"custody")</f>
        <v>0</v>
      </c>
      <c r="H48" s="94">
        <f>SUMIFS('caseload data'!J:J,'caseload data'!$D:$D,"SPO",'caseload data'!$C:$C,'custody caseload'!$B$43,'caseload data'!$B:$B,"custody")</f>
        <v>0</v>
      </c>
      <c r="I48" s="94">
        <f>SUMIFS('caseload data'!K:K,'caseload data'!$D:$D,"SPO",'caseload data'!$C:$C,'custody caseload'!$B$43,'caseload data'!$B:$B,"custody")</f>
        <v>0</v>
      </c>
      <c r="J48" s="94">
        <f>SUMIFS('caseload data'!L:L,'caseload data'!$D:$D,"SPO",'caseload data'!$C:$C,'custody caseload'!$B$43,'caseload data'!$B:$B,"custody")</f>
        <v>0</v>
      </c>
      <c r="K48" s="94">
        <f>SUMIFS('caseload data'!M:M,'caseload data'!$D:$D,"SPO",'caseload data'!$C:$C,'custody caseload'!$B$43,'caseload data'!$B:$B,"custody")</f>
        <v>0</v>
      </c>
      <c r="L48" s="94">
        <f>SUMIFS('caseload data'!N:N,'caseload data'!$D:$D,"SPO",'caseload data'!$C:$C,'custody caseload'!$B$43,'caseload data'!$B:$B,"custody")</f>
        <v>0</v>
      </c>
      <c r="M48" s="94">
        <f>SUMIFS('caseload data'!O:O,'caseload data'!$D:$D,"SPO",'caseload data'!$C:$C,'custody caseload'!$B$43,'caseload data'!$B:$B,"custody")</f>
        <v>0</v>
      </c>
      <c r="N48" s="94">
        <f>SUMIFS('caseload data'!P:P,'caseload data'!$D:$D,"SPO",'caseload data'!$C:$C,'custody caseload'!$B$43,'caseload data'!$B:$B,"custody")</f>
        <v>0</v>
      </c>
      <c r="O48" s="94">
        <f>SUMIFS('caseload data'!Q:Q,'caseload data'!$D:$D,"SPO",'caseload data'!$C:$C,'custody caseload'!$B$43,'caseload data'!$B:$B,"custody")</f>
        <v>0</v>
      </c>
      <c r="P48" s="94">
        <f>SUMIFS('caseload data'!R:R,'caseload data'!$D:$D,"SPO",'caseload data'!$C:$C,'custody caseload'!$B$43,'caseload data'!$B:$B,"custody")</f>
        <v>0</v>
      </c>
      <c r="Q48" s="94">
        <f>SUMIFS('caseload data'!S:S,'caseload data'!$D:$D,"SPO",'caseload data'!$C:$C,'custody caseload'!$B$43,'caseload data'!$B:$B,"custody")</f>
        <v>0</v>
      </c>
      <c r="R48" s="94">
        <f>SUMIFS('caseload data'!T:T,'caseload data'!$D:$D,"SPO",'caseload data'!$C:$C,'custody caseload'!$B$43,'caseload data'!$B:$B,"custody")</f>
        <v>0</v>
      </c>
      <c r="S48" s="64"/>
      <c r="T48" s="98" t="s">
        <v>954</v>
      </c>
      <c r="U48" s="94">
        <f>SUMIFS('caseload data'!E:E,'caseload data'!$D:$D,"SPO",'caseload data'!$C:$C,'custody caseload'!$T$43,'caseload data'!$B:$B,"custody")</f>
        <v>0</v>
      </c>
      <c r="V48" s="94">
        <f>SUMIFS('caseload data'!F:F,'caseload data'!$D:$D,"SPO",'caseload data'!$C:$C,'custody caseload'!$T$43,'caseload data'!$B:$B,"custody")</f>
        <v>0</v>
      </c>
      <c r="W48" s="94">
        <f>SUMIFS('caseload data'!G:G,'caseload data'!$D:$D,"SPO",'caseload data'!$C:$C,'custody caseload'!$T$43,'caseload data'!$B:$B,"custody")</f>
        <v>0</v>
      </c>
      <c r="X48" s="94">
        <f>SUMIFS('caseload data'!H:H,'caseload data'!$D:$D,"SPO",'caseload data'!$C:$C,'custody caseload'!$T$43,'caseload data'!$B:$B,"custody")</f>
        <v>0</v>
      </c>
      <c r="Y48" s="94">
        <f>SUMIFS('caseload data'!I:I,'caseload data'!$D:$D,"SPO",'caseload data'!$C:$C,'custody caseload'!$T$43,'caseload data'!$B:$B,"custody")</f>
        <v>0</v>
      </c>
      <c r="Z48" s="94">
        <f>SUMIFS('caseload data'!J:J,'caseload data'!$D:$D,"SPO",'caseload data'!$C:$C,'custody caseload'!$T$43,'caseload data'!$B:$B,"custody")</f>
        <v>0</v>
      </c>
      <c r="AA48" s="94">
        <f>SUMIFS('caseload data'!K:K,'caseload data'!$D:$D,"SPO",'caseload data'!$C:$C,'custody caseload'!$T$43,'caseload data'!$B:$B,"custody")</f>
        <v>0</v>
      </c>
      <c r="AB48" s="94">
        <f>SUMIFS('caseload data'!L:L,'caseload data'!$D:$D,"SPO",'caseload data'!$C:$C,'custody caseload'!$T$43,'caseload data'!$B:$B,"custody")</f>
        <v>0</v>
      </c>
      <c r="AC48" s="94">
        <f>SUMIFS('caseload data'!M:M,'caseload data'!$D:$D,"SPO",'caseload data'!$C:$C,'custody caseload'!$T$43,'caseload data'!$B:$B,"custody")</f>
        <v>0</v>
      </c>
      <c r="AD48" s="94">
        <f>SUMIFS('caseload data'!N:N,'caseload data'!$D:$D,"SPO",'caseload data'!$C:$C,'custody caseload'!$T$43,'caseload data'!$B:$B,"custody")</f>
        <v>0</v>
      </c>
      <c r="AE48" s="94">
        <f>SUMIFS('caseload data'!O:O,'caseload data'!$D:$D,"SPO",'caseload data'!$C:$C,'custody caseload'!$T$43,'caseload data'!$B:$B,"custody")</f>
        <v>0</v>
      </c>
      <c r="AF48" s="94">
        <f>SUMIFS('caseload data'!P:P,'caseload data'!$D:$D,"SPO",'caseload data'!$C:$C,'custody caseload'!$T$43,'caseload data'!$B:$B,"custody")</f>
        <v>0</v>
      </c>
      <c r="AG48" s="94">
        <f>SUMIFS('caseload data'!Q:Q,'caseload data'!$D:$D,"SPO",'caseload data'!$C:$C,'custody caseload'!$T$43,'caseload data'!$B:$B,"custody")</f>
        <v>0</v>
      </c>
      <c r="AH48" s="94">
        <f>SUMIFS('caseload data'!R:R,'caseload data'!$D:$D,"SPO",'caseload data'!$C:$C,'custody caseload'!$T$43,'caseload data'!$B:$B,"custody")</f>
        <v>0</v>
      </c>
      <c r="AI48" s="94">
        <f>SUMIFS('caseload data'!S:S,'caseload data'!$D:$D,"SPO",'caseload data'!$C:$C,'custody caseload'!$T$43,'caseload data'!$B:$B,"custody")</f>
        <v>0</v>
      </c>
      <c r="AJ48" s="94">
        <f>SUMIFS('caseload data'!T:T,'caseload data'!$D:$D,"SPO",'caseload data'!$C:$C,'custody caseload'!$T$43,'caseload data'!$B:$B,"custody")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142">
        <f>HLOOKUP($B$5,Region_Table,14,0)</f>
        <v>0</v>
      </c>
      <c r="C50" s="556" t="s">
        <v>1073</v>
      </c>
      <c r="D50" s="557"/>
      <c r="E50" s="557"/>
      <c r="F50" s="557"/>
      <c r="G50" s="557"/>
      <c r="H50" s="557"/>
      <c r="I50" s="557"/>
      <c r="J50" s="557"/>
      <c r="K50" s="557"/>
      <c r="L50" s="557"/>
      <c r="M50" s="566"/>
      <c r="N50" s="566"/>
      <c r="O50" s="567"/>
      <c r="P50" s="543">
        <f>SUMIFS('caseload data'!V:V,'caseload data'!B:B,"custody",'caseload data'!$C:$C,'custody caseload'!B50)</f>
        <v>0</v>
      </c>
      <c r="Q50" s="560"/>
      <c r="R50" s="561"/>
      <c r="S50" s="64"/>
      <c r="T50" s="142">
        <f>HLOOKUP($B$5,Region_Table,15,0)</f>
        <v>0</v>
      </c>
      <c r="U50" s="556" t="s">
        <v>1073</v>
      </c>
      <c r="V50" s="557"/>
      <c r="W50" s="557"/>
      <c r="X50" s="557"/>
      <c r="Y50" s="557"/>
      <c r="Z50" s="557"/>
      <c r="AA50" s="557"/>
      <c r="AB50" s="557"/>
      <c r="AC50" s="557"/>
      <c r="AD50" s="557"/>
      <c r="AE50" s="566"/>
      <c r="AF50" s="566"/>
      <c r="AG50" s="567"/>
      <c r="AH50" s="543">
        <f>SUMIFS('caseload data'!V:V,'caseload data'!B:B,"custody",'caseload data'!$C:$C,'custody caseload'!T50)</f>
        <v>0</v>
      </c>
      <c r="AI50" s="560"/>
      <c r="AJ50" s="561"/>
    </row>
    <row r="51" spans="2:36" x14ac:dyDescent="0.15">
      <c r="B51" s="95" t="s">
        <v>951</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951</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94">
        <f>SUMIFS('caseload data'!E:E,'caseload data'!$D:$D,"PO",'caseload data'!$C:$C,'custody caseload'!$B$50,'caseload data'!$B:$B,"custody")</f>
        <v>0</v>
      </c>
      <c r="D52" s="94">
        <f>SUMIFS('caseload data'!F:F,'caseload data'!$D:$D,"PO",'caseload data'!$C:$C,'custody caseload'!$B$50,'caseload data'!$B:$B,"custody")</f>
        <v>0</v>
      </c>
      <c r="E52" s="94">
        <f>SUMIFS('caseload data'!G:G,'caseload data'!$D:$D,"PO",'caseload data'!$C:$C,'custody caseload'!$B$50,'caseload data'!$B:$B,"custody")</f>
        <v>0</v>
      </c>
      <c r="F52" s="94">
        <f>SUMIFS('caseload data'!H:H,'caseload data'!$D:$D,"PO",'caseload data'!$C:$C,'custody caseload'!$B$50,'caseload data'!$B:$B,"custody")</f>
        <v>0</v>
      </c>
      <c r="G52" s="94">
        <f>SUMIFS('caseload data'!I:I,'caseload data'!$D:$D,"PO",'caseload data'!$C:$C,'custody caseload'!$B$50,'caseload data'!$B:$B,"custody")</f>
        <v>0</v>
      </c>
      <c r="H52" s="94">
        <f>SUMIFS('caseload data'!J:J,'caseload data'!$D:$D,"PO",'caseload data'!$C:$C,'custody caseload'!$B$50,'caseload data'!$B:$B,"custody")</f>
        <v>0</v>
      </c>
      <c r="I52" s="94">
        <f>SUMIFS('caseload data'!K:K,'caseload data'!$D:$D,"PO",'caseload data'!$C:$C,'custody caseload'!$B$50,'caseload data'!$B:$B,"custody")</f>
        <v>0</v>
      </c>
      <c r="J52" s="94">
        <f>SUMIFS('caseload data'!L:L,'caseload data'!$D:$D,"PO",'caseload data'!$C:$C,'custody caseload'!$B$50,'caseload data'!$B:$B,"custody")</f>
        <v>0</v>
      </c>
      <c r="K52" s="94">
        <f>SUMIFS('caseload data'!M:M,'caseload data'!$D:$D,"PO",'caseload data'!$C:$C,'custody caseload'!$B$50,'caseload data'!$B:$B,"custody")</f>
        <v>0</v>
      </c>
      <c r="L52" s="94">
        <f>SUMIFS('caseload data'!N:N,'caseload data'!$D:$D,"PO",'caseload data'!$C:$C,'custody caseload'!$B$50,'caseload data'!$B:$B,"custody")</f>
        <v>0</v>
      </c>
      <c r="M52" s="94">
        <f>SUMIFS('caseload data'!O:O,'caseload data'!$D:$D,"PO",'caseload data'!$C:$C,'custody caseload'!$B$50,'caseload data'!$B:$B,"custody")</f>
        <v>0</v>
      </c>
      <c r="N52" s="94">
        <f>SUMIFS('caseload data'!P:P,'caseload data'!$D:$D,"PO",'caseload data'!$C:$C,'custody caseload'!$B$50,'caseload data'!$B:$B,"custody")</f>
        <v>0</v>
      </c>
      <c r="O52" s="94">
        <f>SUMIFS('caseload data'!Q:Q,'caseload data'!$D:$D,"PO",'caseload data'!$C:$C,'custody caseload'!$B$50,'caseload data'!$B:$B,"custody")</f>
        <v>0</v>
      </c>
      <c r="P52" s="94">
        <f>SUMIFS('caseload data'!R:R,'caseload data'!$D:$D,"PO",'caseload data'!$C:$C,'custody caseload'!$B$50,'caseload data'!$B:$B,"custody")</f>
        <v>0</v>
      </c>
      <c r="Q52" s="94">
        <f>SUMIFS('caseload data'!S:S,'caseload data'!$D:$D,"PO",'caseload data'!$C:$C,'custody caseload'!$B$50,'caseload data'!$B:$B,"custody")</f>
        <v>0</v>
      </c>
      <c r="R52" s="94">
        <f>SUMIFS('caseload data'!T:T,'caseload data'!$D:$D,"PO",'caseload data'!$C:$C,'custody caseload'!$B$50,'caseload data'!$B:$B,"custody")</f>
        <v>0</v>
      </c>
      <c r="S52" s="64"/>
      <c r="T52" s="96" t="s">
        <v>947</v>
      </c>
      <c r="U52" s="94">
        <f>SUMIFS('caseload data'!E:E,'caseload data'!$D:$D,"PO",'caseload data'!$C:$C,'custody caseload'!$T$50,'caseload data'!$B:$B,"custody")</f>
        <v>0</v>
      </c>
      <c r="V52" s="94">
        <f>SUMIFS('caseload data'!F:F,'caseload data'!$D:$D,"PO",'caseload data'!$C:$C,'custody caseload'!$T$50,'caseload data'!$B:$B,"custody")</f>
        <v>0</v>
      </c>
      <c r="W52" s="94">
        <f>SUMIFS('caseload data'!G:G,'caseload data'!$D:$D,"PO",'caseload data'!$C:$C,'custody caseload'!$T$50,'caseload data'!$B:$B,"custody")</f>
        <v>0</v>
      </c>
      <c r="X52" s="94">
        <f>SUMIFS('caseload data'!H:H,'caseload data'!$D:$D,"PO",'caseload data'!$C:$C,'custody caseload'!$T$50,'caseload data'!$B:$B,"custody")</f>
        <v>0</v>
      </c>
      <c r="Y52" s="94">
        <f>SUMIFS('caseload data'!I:I,'caseload data'!$D:$D,"PO",'caseload data'!$C:$C,'custody caseload'!$T$50,'caseload data'!$B:$B,"custody")</f>
        <v>0</v>
      </c>
      <c r="Z52" s="94">
        <f>SUMIFS('caseload data'!J:J,'caseload data'!$D:$D,"PO",'caseload data'!$C:$C,'custody caseload'!$T$50,'caseload data'!$B:$B,"custody")</f>
        <v>0</v>
      </c>
      <c r="AA52" s="94">
        <f>SUMIFS('caseload data'!K:K,'caseload data'!$D:$D,"PO",'caseload data'!$C:$C,'custody caseload'!$T$50,'caseload data'!$B:$B,"custody")</f>
        <v>0</v>
      </c>
      <c r="AB52" s="94">
        <f>SUMIFS('caseload data'!L:L,'caseload data'!$D:$D,"PO",'caseload data'!$C:$C,'custody caseload'!$T$50,'caseload data'!$B:$B,"custody")</f>
        <v>0</v>
      </c>
      <c r="AC52" s="94">
        <f>SUMIFS('caseload data'!M:M,'caseload data'!$D:$D,"PO",'caseload data'!$C:$C,'custody caseload'!$T$50,'caseload data'!$B:$B,"custody")</f>
        <v>0</v>
      </c>
      <c r="AD52" s="94">
        <f>SUMIFS('caseload data'!N:N,'caseload data'!$D:$D,"PO",'caseload data'!$C:$C,'custody caseload'!$T$50,'caseload data'!$B:$B,"custody")</f>
        <v>0</v>
      </c>
      <c r="AE52" s="94">
        <f>SUMIFS('caseload data'!O:O,'caseload data'!$D:$D,"PO",'caseload data'!$C:$C,'custody caseload'!$T$50,'caseload data'!$B:$B,"custody")</f>
        <v>0</v>
      </c>
      <c r="AF52" s="94">
        <f>SUMIFS('caseload data'!P:P,'caseload data'!$D:$D,"PO",'caseload data'!$C:$C,'custody caseload'!$T$50,'caseload data'!$B:$B,"custody")</f>
        <v>0</v>
      </c>
      <c r="AG52" s="94">
        <f>SUMIFS('caseload data'!Q:Q,'caseload data'!$D:$D,"PO",'caseload data'!$C:$C,'custody caseload'!$T$50,'caseload data'!$B:$B,"custody")</f>
        <v>0</v>
      </c>
      <c r="AH52" s="94">
        <f>SUMIFS('caseload data'!R:R,'caseload data'!$D:$D,"PO",'caseload data'!$C:$C,'custody caseload'!$T$50,'caseload data'!$B:$B,"custody")</f>
        <v>0</v>
      </c>
      <c r="AI52" s="94">
        <f>SUMIFS('caseload data'!S:S,'caseload data'!$D:$D,"PO",'caseload data'!$C:$C,'custody caseload'!$T$50,'caseload data'!$B:$B,"custody")</f>
        <v>0</v>
      </c>
      <c r="AJ52" s="94">
        <f>SUMIFS('caseload data'!T:T,'caseload data'!$D:$D,"PO",'caseload data'!$C:$C,'custody caseload'!$T$50,'caseload data'!$B:$B,"custody")</f>
        <v>0</v>
      </c>
    </row>
    <row r="53" spans="2:36" ht="15" x14ac:dyDescent="0.2">
      <c r="B53" s="97" t="s">
        <v>952</v>
      </c>
      <c r="C53" s="145">
        <f>SUMIFS('caseload data'!E:E,'caseload data'!$D:$D,"PSO",'caseload data'!$C:$C,'custody caseload'!$B$50,'caseload data'!$B:$B,"custody")</f>
        <v>0</v>
      </c>
      <c r="D53" s="145">
        <f>SUMIFS('caseload data'!F:F,'caseload data'!$D:$D,"PSO",'caseload data'!$C:$C,'custody caseload'!$B$50,'caseload data'!$B:$B,"custody")</f>
        <v>0</v>
      </c>
      <c r="E53" s="145">
        <f>SUMIFS('caseload data'!G:G,'caseload data'!$D:$D,"PSO",'caseload data'!$C:$C,'custody caseload'!$B$50,'caseload data'!$B:$B,"custody")</f>
        <v>0</v>
      </c>
      <c r="F53" s="145">
        <f>SUMIFS('caseload data'!H:H,'caseload data'!$D:$D,"PSO",'caseload data'!$C:$C,'custody caseload'!$B$50,'caseload data'!$B:$B,"custody")</f>
        <v>0</v>
      </c>
      <c r="G53" s="145">
        <f>SUMIFS('caseload data'!I:I,'caseload data'!$D:$D,"PSO",'caseload data'!$C:$C,'custody caseload'!$B$50,'caseload data'!$B:$B,"custody")</f>
        <v>0</v>
      </c>
      <c r="H53" s="145">
        <f>SUMIFS('caseload data'!J:J,'caseload data'!$D:$D,"PSO",'caseload data'!$C:$C,'custody caseload'!$B$50,'caseload data'!$B:$B,"custody")</f>
        <v>0</v>
      </c>
      <c r="I53" s="145">
        <f>SUMIFS('caseload data'!K:K,'caseload data'!$D:$D,"PSO",'caseload data'!$C:$C,'custody caseload'!$B$50,'caseload data'!$B:$B,"custody")</f>
        <v>0</v>
      </c>
      <c r="J53" s="145">
        <f>SUMIFS('caseload data'!L:L,'caseload data'!$D:$D,"PSO",'caseload data'!$C:$C,'custody caseload'!$B$50,'caseload data'!$B:$B,"custody")</f>
        <v>0</v>
      </c>
      <c r="K53" s="94">
        <f>SUMIFS('caseload data'!M:M,'caseload data'!$D:$D,"PSO",'caseload data'!$C:$C,'custody caseload'!$B$50,'caseload data'!$B:$B,"custody")</f>
        <v>0</v>
      </c>
      <c r="L53" s="94">
        <f>SUMIFS('caseload data'!N:N,'caseload data'!$D:$D,"PSO",'caseload data'!$C:$C,'custody caseload'!$B$50,'caseload data'!$B:$B,"custody")</f>
        <v>0</v>
      </c>
      <c r="M53" s="94">
        <f>SUMIFS('caseload data'!O:O,'caseload data'!$D:$D,"PSO",'caseload data'!$C:$C,'custody caseload'!$B$50,'caseload data'!$B:$B,"custody")</f>
        <v>0</v>
      </c>
      <c r="N53" s="94">
        <f>SUMIFS('caseload data'!P:P,'caseload data'!$D:$D,"PSO",'caseload data'!$C:$C,'custody caseload'!$B$50,'caseload data'!$B:$B,"custody")</f>
        <v>0</v>
      </c>
      <c r="O53" s="94">
        <f>SUMIFS('caseload data'!Q:Q,'caseload data'!$D:$D,"PSO",'caseload data'!$C:$C,'custody caseload'!$B$50,'caseload data'!$B:$B,"custody")</f>
        <v>0</v>
      </c>
      <c r="P53" s="94">
        <f>SUMIFS('caseload data'!R:R,'caseload data'!$D:$D,"PSO",'caseload data'!$C:$C,'custody caseload'!$B$50,'caseload data'!$B:$B,"custody")</f>
        <v>0</v>
      </c>
      <c r="Q53" s="94">
        <f>SUMIFS('caseload data'!S:S,'caseload data'!$D:$D,"PSO",'caseload data'!$C:$C,'custody caseload'!$B$50,'caseload data'!$B:$B,"custody")</f>
        <v>0</v>
      </c>
      <c r="R53" s="94">
        <f>SUMIFS('caseload data'!T:T,'caseload data'!$D:$D,"PSO",'caseload data'!$C:$C,'custody caseload'!$B$50,'caseload data'!$B:$B,"custody")</f>
        <v>0</v>
      </c>
      <c r="S53" s="64"/>
      <c r="T53" s="97" t="s">
        <v>952</v>
      </c>
      <c r="U53" s="145">
        <f>SUMIFS('caseload data'!E:E,'caseload data'!$D:$D,"PSO",'caseload data'!$C:$C,'custody caseload'!$T$50,'caseload data'!$B:$B,"custody")</f>
        <v>0</v>
      </c>
      <c r="V53" s="145">
        <f>SUMIFS('caseload data'!F:F,'caseload data'!$D:$D,"PSO",'caseload data'!$C:$C,'custody caseload'!$T$50,'caseload data'!$B:$B,"custody")</f>
        <v>0</v>
      </c>
      <c r="W53" s="145">
        <f>SUMIFS('caseload data'!G:G,'caseload data'!$D:$D,"PSO",'caseload data'!$C:$C,'custody caseload'!$T$50,'caseload data'!$B:$B,"custody")</f>
        <v>0</v>
      </c>
      <c r="X53" s="145">
        <f>SUMIFS('caseload data'!H:H,'caseload data'!$D:$D,"PSO",'caseload data'!$C:$C,'custody caseload'!$T$50,'caseload data'!$B:$B,"custody")</f>
        <v>0</v>
      </c>
      <c r="Y53" s="145">
        <f>SUMIFS('caseload data'!I:I,'caseload data'!$D:$D,"PSO",'caseload data'!$C:$C,'custody caseload'!$T$50,'caseload data'!$B:$B,"custody")</f>
        <v>0</v>
      </c>
      <c r="Z53" s="145">
        <f>SUMIFS('caseload data'!J:J,'caseload data'!$D:$D,"PSO",'caseload data'!$C:$C,'custody caseload'!$T$50,'caseload data'!$B:$B,"custody")</f>
        <v>0</v>
      </c>
      <c r="AA53" s="145">
        <f>SUMIFS('caseload data'!K:K,'caseload data'!$D:$D,"PSO",'caseload data'!$C:$C,'custody caseload'!$T$50,'caseload data'!$B:$B,"custody")</f>
        <v>0</v>
      </c>
      <c r="AB53" s="145">
        <f>SUMIFS('caseload data'!L:L,'caseload data'!$D:$D,"PSO",'caseload data'!$C:$C,'custody caseload'!$T$50,'caseload data'!$B:$B,"custody")</f>
        <v>0</v>
      </c>
      <c r="AC53" s="94">
        <f>SUMIFS('caseload data'!M:M,'caseload data'!$D:$D,"PSO",'caseload data'!$C:$C,'custody caseload'!$T$50,'caseload data'!$B:$B,"custody")</f>
        <v>0</v>
      </c>
      <c r="AD53" s="94">
        <f>SUMIFS('caseload data'!N:N,'caseload data'!$D:$D,"PSO",'caseload data'!$C:$C,'custody caseload'!$T$50,'caseload data'!$B:$B,"custody")</f>
        <v>0</v>
      </c>
      <c r="AE53" s="94">
        <f>SUMIFS('caseload data'!O:O,'caseload data'!$D:$D,"PSO",'caseload data'!$C:$C,'custody caseload'!$T$50,'caseload data'!$B:$B,"custody")</f>
        <v>0</v>
      </c>
      <c r="AF53" s="94">
        <f>SUMIFS('caseload data'!P:P,'caseload data'!$D:$D,"PSO",'caseload data'!$C:$C,'custody caseload'!$T$50,'caseload data'!$B:$B,"custody")</f>
        <v>0</v>
      </c>
      <c r="AG53" s="94">
        <f>SUMIFS('caseload data'!Q:Q,'caseload data'!$D:$D,"PSO",'caseload data'!$C:$C,'custody caseload'!$T$50,'caseload data'!$B:$B,"custody")</f>
        <v>0</v>
      </c>
      <c r="AH53" s="94">
        <f>SUMIFS('caseload data'!R:R,'caseload data'!$D:$D,"PSO",'caseload data'!$C:$C,'custody caseload'!$T$50,'caseload data'!$B:$B,"custody")</f>
        <v>0</v>
      </c>
      <c r="AI53" s="94">
        <f>SUMIFS('caseload data'!S:S,'caseload data'!$D:$D,"PSO",'caseload data'!$C:$C,'custody caseload'!$T$50,'caseload data'!$B:$B,"custody")</f>
        <v>0</v>
      </c>
      <c r="AJ53" s="94">
        <f>SUMIFS('caseload data'!T:T,'caseload data'!$D:$D,"PSO",'caseload data'!$C:$C,'custody caseload'!$T$50,'caseload data'!$B:$B,"custody")</f>
        <v>0</v>
      </c>
    </row>
    <row r="54" spans="2:36" ht="15" x14ac:dyDescent="0.2">
      <c r="B54" s="97" t="s">
        <v>953</v>
      </c>
      <c r="C54" s="145">
        <f>SUMIFS('caseload data'!E:E,'caseload data'!$D:$D,"TPO",'caseload data'!$C:$C,'custody caseload'!$B$50,'caseload data'!$B:$B,"custody")</f>
        <v>0</v>
      </c>
      <c r="D54" s="145">
        <f>SUMIFS('caseload data'!F:F,'caseload data'!$D:$D,"TPO",'caseload data'!$C:$C,'custody caseload'!$B$50,'caseload data'!$B:$B,"custody")</f>
        <v>0</v>
      </c>
      <c r="E54" s="145">
        <f>SUMIFS('caseload data'!G:G,'caseload data'!$D:$D,"TPO",'caseload data'!$C:$C,'custody caseload'!$B$50,'caseload data'!$B:$B,"custody")</f>
        <v>0</v>
      </c>
      <c r="F54" s="145">
        <f>SUMIFS('caseload data'!H:H,'caseload data'!$D:$D,"TPO",'caseload data'!$C:$C,'custody caseload'!$B$50,'caseload data'!$B:$B,"custody")</f>
        <v>0</v>
      </c>
      <c r="G54" s="145">
        <f>SUMIFS('caseload data'!I:I,'caseload data'!$D:$D,"TPO",'caseload data'!$C:$C,'custody caseload'!$B$50,'caseload data'!$B:$B,"custody")</f>
        <v>0</v>
      </c>
      <c r="H54" s="145">
        <f>SUMIFS('caseload data'!J:J,'caseload data'!$D:$D,"TPO",'caseload data'!$C:$C,'custody caseload'!$B$50,'caseload data'!$B:$B,"custody")</f>
        <v>0</v>
      </c>
      <c r="I54" s="145">
        <f>SUMIFS('caseload data'!K:K,'caseload data'!$D:$D,"TPO",'caseload data'!$C:$C,'custody caseload'!$B$50,'caseload data'!$B:$B,"custody")</f>
        <v>0</v>
      </c>
      <c r="J54" s="145">
        <f>SUMIFS('caseload data'!L:L,'caseload data'!$D:$D,"TPO",'caseload data'!$C:$C,'custody caseload'!$B$50,'caseload data'!$B:$B,"custody")</f>
        <v>0</v>
      </c>
      <c r="K54" s="94">
        <f>SUMIFS('caseload data'!M:M,'caseload data'!$D:$D,"TPO",'caseload data'!$C:$C,'custody caseload'!$B$50,'caseload data'!$B:$B,"custody")</f>
        <v>0</v>
      </c>
      <c r="L54" s="94">
        <f>SUMIFS('caseload data'!N:N,'caseload data'!$D:$D,"TPO",'caseload data'!$C:$C,'custody caseload'!$B$50,'caseload data'!$B:$B,"custody")</f>
        <v>0</v>
      </c>
      <c r="M54" s="94">
        <f>SUMIFS('caseload data'!O:O,'caseload data'!$D:$D,"TPO",'caseload data'!$C:$C,'custody caseload'!$B$50,'caseload data'!$B:$B,"custody")</f>
        <v>0</v>
      </c>
      <c r="N54" s="94">
        <f>SUMIFS('caseload data'!P:P,'caseload data'!$D:$D,"TPO",'caseload data'!$C:$C,'custody caseload'!$B$50,'caseload data'!$B:$B,"custody")</f>
        <v>0</v>
      </c>
      <c r="O54" s="94">
        <f>SUMIFS('caseload data'!Q:Q,'caseload data'!$D:$D,"TPO",'caseload data'!$C:$C,'custody caseload'!$B$50,'caseload data'!$B:$B,"custody")</f>
        <v>0</v>
      </c>
      <c r="P54" s="94">
        <f>SUMIFS('caseload data'!R:R,'caseload data'!$D:$D,"TPO",'caseload data'!$C:$C,'custody caseload'!$B$50,'caseload data'!$B:$B,"custody")</f>
        <v>0</v>
      </c>
      <c r="Q54" s="94">
        <f>SUMIFS('caseload data'!S:S,'caseload data'!$D:$D,"TPO",'caseload data'!$C:$C,'custody caseload'!$B$50,'caseload data'!$B:$B,"custody")</f>
        <v>0</v>
      </c>
      <c r="R54" s="94">
        <f>SUMIFS('caseload data'!T:T,'caseload data'!$D:$D,"TPO",'caseload data'!$C:$C,'custody caseload'!$B$50,'caseload data'!$B:$B,"custody")</f>
        <v>0</v>
      </c>
      <c r="S54" s="64"/>
      <c r="T54" s="97" t="s">
        <v>953</v>
      </c>
      <c r="U54" s="145">
        <f>SUMIFS('caseload data'!E:E,'caseload data'!$D:$D,"TPO",'caseload data'!$C:$C,'custody caseload'!$T$50,'caseload data'!$B:$B,"custody")</f>
        <v>0</v>
      </c>
      <c r="V54" s="145">
        <f>SUMIFS('caseload data'!F:F,'caseload data'!$D:$D,"TPO",'caseload data'!$C:$C,'custody caseload'!$T$50,'caseload data'!$B:$B,"custody")</f>
        <v>0</v>
      </c>
      <c r="W54" s="145">
        <f>SUMIFS('caseload data'!G:G,'caseload data'!$D:$D,"TPO",'caseload data'!$C:$C,'custody caseload'!$T$50,'caseload data'!$B:$B,"custody")</f>
        <v>0</v>
      </c>
      <c r="X54" s="145">
        <f>SUMIFS('caseload data'!H:H,'caseload data'!$D:$D,"TPO",'caseload data'!$C:$C,'custody caseload'!$T$50,'caseload data'!$B:$B,"custody")</f>
        <v>0</v>
      </c>
      <c r="Y54" s="145">
        <f>SUMIFS('caseload data'!I:I,'caseload data'!$D:$D,"TPO",'caseload data'!$C:$C,'custody caseload'!$T$50,'caseload data'!$B:$B,"custody")</f>
        <v>0</v>
      </c>
      <c r="Z54" s="145">
        <f>SUMIFS('caseload data'!J:J,'caseload data'!$D:$D,"TPO",'caseload data'!$C:$C,'custody caseload'!$T$50,'caseload data'!$B:$B,"custody")</f>
        <v>0</v>
      </c>
      <c r="AA54" s="145">
        <f>SUMIFS('caseload data'!K:K,'caseload data'!$D:$D,"TPO",'caseload data'!$C:$C,'custody caseload'!$T$50,'caseload data'!$B:$B,"custody")</f>
        <v>0</v>
      </c>
      <c r="AB54" s="145">
        <f>SUMIFS('caseload data'!L:L,'caseload data'!$D:$D,"TPO",'caseload data'!$C:$C,'custody caseload'!$T$50,'caseload data'!$B:$B,"custody")</f>
        <v>0</v>
      </c>
      <c r="AC54" s="94">
        <f>SUMIFS('caseload data'!M:M,'caseload data'!$D:$D,"TPO",'caseload data'!$C:$C,'custody caseload'!$T$50,'caseload data'!$B:$B,"custody")</f>
        <v>0</v>
      </c>
      <c r="AD54" s="94">
        <f>SUMIFS('caseload data'!N:N,'caseload data'!$D:$D,"TPO",'caseload data'!$C:$C,'custody caseload'!$T$50,'caseload data'!$B:$B,"custody")</f>
        <v>0</v>
      </c>
      <c r="AE54" s="94">
        <f>SUMIFS('caseload data'!O:O,'caseload data'!$D:$D,"TPO",'caseload data'!$C:$C,'custody caseload'!$T$50,'caseload data'!$B:$B,"custody")</f>
        <v>0</v>
      </c>
      <c r="AF54" s="94">
        <f>SUMIFS('caseload data'!P:P,'caseload data'!$D:$D,"TPO",'caseload data'!$C:$C,'custody caseload'!$T$50,'caseload data'!$B:$B,"custody")</f>
        <v>0</v>
      </c>
      <c r="AG54" s="94">
        <f>SUMIFS('caseload data'!Q:Q,'caseload data'!$D:$D,"TPO",'caseload data'!$C:$C,'custody caseload'!$T$50,'caseload data'!$B:$B,"custody")</f>
        <v>0</v>
      </c>
      <c r="AH54" s="94">
        <f>SUMIFS('caseload data'!R:R,'caseload data'!$D:$D,"TPO",'caseload data'!$C:$C,'custody caseload'!$T$50,'caseload data'!$B:$B,"custody")</f>
        <v>0</v>
      </c>
      <c r="AI54" s="94">
        <f>SUMIFS('caseload data'!S:S,'caseload data'!$D:$D,"TPO",'caseload data'!$C:$C,'custody caseload'!$T$50,'caseload data'!$B:$B,"custody")</f>
        <v>0</v>
      </c>
      <c r="AJ54" s="94">
        <f>SUMIFS('caseload data'!T:T,'caseload data'!$D:$D,"TPO",'caseload data'!$C:$C,'custody caseload'!$T$50,'caseload data'!$B:$B,"custody")</f>
        <v>0</v>
      </c>
    </row>
    <row r="55" spans="2:36" x14ac:dyDescent="0.15">
      <c r="B55" s="98" t="s">
        <v>954</v>
      </c>
      <c r="C55" s="94">
        <f>SUMIFS('caseload data'!E:E,'caseload data'!$D:$D,"SPO",'caseload data'!$C:$C,'custody caseload'!$B$50,'caseload data'!$B:$B,"custody")</f>
        <v>0</v>
      </c>
      <c r="D55" s="94">
        <f>SUMIFS('caseload data'!F:F,'caseload data'!$D:$D,"SPO",'caseload data'!$C:$C,'custody caseload'!$B$50,'caseload data'!$B:$B,"custody")</f>
        <v>0</v>
      </c>
      <c r="E55" s="94">
        <f>SUMIFS('caseload data'!G:G,'caseload data'!$D:$D,"SPO",'caseload data'!$C:$C,'custody caseload'!$B$50,'caseload data'!$B:$B,"custody")</f>
        <v>0</v>
      </c>
      <c r="F55" s="94">
        <f>SUMIFS('caseload data'!H:H,'caseload data'!$D:$D,"SPO",'caseload data'!$C:$C,'custody caseload'!$B$50,'caseload data'!$B:$B,"custody")</f>
        <v>0</v>
      </c>
      <c r="G55" s="94">
        <f>SUMIFS('caseload data'!I:I,'caseload data'!$D:$D,"SPO",'caseload data'!$C:$C,'custody caseload'!$B$50,'caseload data'!$B:$B,"custody")</f>
        <v>0</v>
      </c>
      <c r="H55" s="94">
        <f>SUMIFS('caseload data'!J:J,'caseload data'!$D:$D,"SPO",'caseload data'!$C:$C,'custody caseload'!$B$50,'caseload data'!$B:$B,"custody")</f>
        <v>0</v>
      </c>
      <c r="I55" s="94">
        <f>SUMIFS('caseload data'!K:K,'caseload data'!$D:$D,"SPO",'caseload data'!$C:$C,'custody caseload'!$B$50,'caseload data'!$B:$B,"custody")</f>
        <v>0</v>
      </c>
      <c r="J55" s="94">
        <f>SUMIFS('caseload data'!L:L,'caseload data'!$D:$D,"SPO",'caseload data'!$C:$C,'custody caseload'!$B$50,'caseload data'!$B:$B,"custody")</f>
        <v>0</v>
      </c>
      <c r="K55" s="94">
        <f>SUMIFS('caseload data'!M:M,'caseload data'!$D:$D,"SPO",'caseload data'!$C:$C,'custody caseload'!$B$50,'caseload data'!$B:$B,"custody")</f>
        <v>0</v>
      </c>
      <c r="L55" s="94">
        <f>SUMIFS('caseload data'!N:N,'caseload data'!$D:$D,"SPO",'caseload data'!$C:$C,'custody caseload'!$B$50,'caseload data'!$B:$B,"custody")</f>
        <v>0</v>
      </c>
      <c r="M55" s="94">
        <f>SUMIFS('caseload data'!O:O,'caseload data'!$D:$D,"SPO",'caseload data'!$C:$C,'custody caseload'!$B$50,'caseload data'!$B:$B,"custody")</f>
        <v>0</v>
      </c>
      <c r="N55" s="94">
        <f>SUMIFS('caseload data'!P:P,'caseload data'!$D:$D,"SPO",'caseload data'!$C:$C,'custody caseload'!$B$50,'caseload data'!$B:$B,"custody")</f>
        <v>0</v>
      </c>
      <c r="O55" s="94">
        <f>SUMIFS('caseload data'!Q:Q,'caseload data'!$D:$D,"SPO",'caseload data'!$C:$C,'custody caseload'!$B$50,'caseload data'!$B:$B,"custody")</f>
        <v>0</v>
      </c>
      <c r="P55" s="94">
        <f>SUMIFS('caseload data'!R:R,'caseload data'!$D:$D,"SPO",'caseload data'!$C:$C,'custody caseload'!$B$50,'caseload data'!$B:$B,"custody")</f>
        <v>0</v>
      </c>
      <c r="Q55" s="94">
        <f>SUMIFS('caseload data'!S:S,'caseload data'!$D:$D,"SPO",'caseload data'!$C:$C,'custody caseload'!$B$50,'caseload data'!$B:$B,"custody")</f>
        <v>0</v>
      </c>
      <c r="R55" s="94">
        <f>SUMIFS('caseload data'!T:T,'caseload data'!$D:$D,"SPO",'caseload data'!$C:$C,'custody caseload'!$B$50,'caseload data'!$B:$B,"custody")</f>
        <v>0</v>
      </c>
      <c r="S55" s="64"/>
      <c r="T55" s="98" t="s">
        <v>954</v>
      </c>
      <c r="U55" s="94">
        <f>SUMIFS('caseload data'!E:E,'caseload data'!$D:$D,"SPO",'caseload data'!$C:$C,'custody caseload'!$T$50,'caseload data'!$B:$B,"custody")</f>
        <v>0</v>
      </c>
      <c r="V55" s="94">
        <f>SUMIFS('caseload data'!F:F,'caseload data'!$D:$D,"SPO",'caseload data'!$C:$C,'custody caseload'!$T$50,'caseload data'!$B:$B,"custody")</f>
        <v>0</v>
      </c>
      <c r="W55" s="94">
        <f>SUMIFS('caseload data'!G:G,'caseload data'!$D:$D,"SPO",'caseload data'!$C:$C,'custody caseload'!$T$50,'caseload data'!$B:$B,"custody")</f>
        <v>0</v>
      </c>
      <c r="X55" s="94">
        <f>SUMIFS('caseload data'!H:H,'caseload data'!$D:$D,"SPO",'caseload data'!$C:$C,'custody caseload'!$T$50,'caseload data'!$B:$B,"custody")</f>
        <v>0</v>
      </c>
      <c r="Y55" s="94">
        <f>SUMIFS('caseload data'!I:I,'caseload data'!$D:$D,"SPO",'caseload data'!$C:$C,'custody caseload'!$T$50,'caseload data'!$B:$B,"custody")</f>
        <v>0</v>
      </c>
      <c r="Z55" s="94">
        <f>SUMIFS('caseload data'!J:J,'caseload data'!$D:$D,"SPO",'caseload data'!$C:$C,'custody caseload'!$T$50,'caseload data'!$B:$B,"custody")</f>
        <v>0</v>
      </c>
      <c r="AA55" s="94">
        <f>SUMIFS('caseload data'!K:K,'caseload data'!$D:$D,"SPO",'caseload data'!$C:$C,'custody caseload'!$T$50,'caseload data'!$B:$B,"custody")</f>
        <v>0</v>
      </c>
      <c r="AB55" s="94">
        <f>SUMIFS('caseload data'!L:L,'caseload data'!$D:$D,"SPO",'caseload data'!$C:$C,'custody caseload'!$T$50,'caseload data'!$B:$B,"custody")</f>
        <v>0</v>
      </c>
      <c r="AC55" s="94">
        <f>SUMIFS('caseload data'!M:M,'caseload data'!$D:$D,"SPO",'caseload data'!$C:$C,'custody caseload'!$T$50,'caseload data'!$B:$B,"custody")</f>
        <v>0</v>
      </c>
      <c r="AD55" s="94">
        <f>SUMIFS('caseload data'!N:N,'caseload data'!$D:$D,"SPO",'caseload data'!$C:$C,'custody caseload'!$T$50,'caseload data'!$B:$B,"custody")</f>
        <v>0</v>
      </c>
      <c r="AE55" s="94">
        <f>SUMIFS('caseload data'!O:O,'caseload data'!$D:$D,"SPO",'caseload data'!$C:$C,'custody caseload'!$T$50,'caseload data'!$B:$B,"custody")</f>
        <v>0</v>
      </c>
      <c r="AF55" s="94">
        <f>SUMIFS('caseload data'!P:P,'caseload data'!$D:$D,"SPO",'caseload data'!$C:$C,'custody caseload'!$T$50,'caseload data'!$B:$B,"custody")</f>
        <v>0</v>
      </c>
      <c r="AG55" s="94">
        <f>SUMIFS('caseload data'!Q:Q,'caseload data'!$D:$D,"SPO",'caseload data'!$C:$C,'custody caseload'!$T$50,'caseload data'!$B:$B,"custody")</f>
        <v>0</v>
      </c>
      <c r="AH55" s="94">
        <f>SUMIFS('caseload data'!R:R,'caseload data'!$D:$D,"SPO",'caseload data'!$C:$C,'custody caseload'!$T$50,'caseload data'!$B:$B,"custody")</f>
        <v>0</v>
      </c>
      <c r="AI55" s="94">
        <f>SUMIFS('caseload data'!S:S,'caseload data'!$D:$D,"SPO",'caseload data'!$C:$C,'custody caseload'!$T$50,'caseload data'!$B:$B,"custody")</f>
        <v>0</v>
      </c>
      <c r="AJ55" s="94">
        <f>SUMIFS('caseload data'!T:T,'caseload data'!$D:$D,"SPO",'caseload data'!$C:$C,'custody caseload'!$T$50,'caseload data'!$B:$B,"custody")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142">
        <f>HLOOKUP($B$5,Region_Table,16,0)</f>
        <v>0</v>
      </c>
      <c r="C57" s="556" t="s">
        <v>1073</v>
      </c>
      <c r="D57" s="557"/>
      <c r="E57" s="557"/>
      <c r="F57" s="557"/>
      <c r="G57" s="557"/>
      <c r="H57" s="557"/>
      <c r="I57" s="557"/>
      <c r="J57" s="557"/>
      <c r="K57" s="557"/>
      <c r="L57" s="557"/>
      <c r="M57" s="566"/>
      <c r="N57" s="566"/>
      <c r="O57" s="567"/>
      <c r="P57" s="543">
        <f>SUMIFS('caseload data'!V:V,'caseload data'!B:B,"custody",'caseload data'!$C:$C,'custody caseload'!B57)</f>
        <v>0</v>
      </c>
      <c r="Q57" s="560"/>
      <c r="R57" s="561"/>
      <c r="S57" s="64"/>
      <c r="T57" s="142">
        <f>HLOOKUP($B$5,Region_Table,17,0)</f>
        <v>0</v>
      </c>
      <c r="U57" s="556" t="s">
        <v>1073</v>
      </c>
      <c r="V57" s="557"/>
      <c r="W57" s="557"/>
      <c r="X57" s="557"/>
      <c r="Y57" s="557"/>
      <c r="Z57" s="557"/>
      <c r="AA57" s="557"/>
      <c r="AB57" s="557"/>
      <c r="AC57" s="557"/>
      <c r="AD57" s="557"/>
      <c r="AE57" s="566"/>
      <c r="AF57" s="566"/>
      <c r="AG57" s="567"/>
      <c r="AH57" s="543">
        <f>SUMIFS('caseload data'!V:V,'caseload data'!B:B,"custody",'caseload data'!$C:$C,'custody caseload'!T57)</f>
        <v>0</v>
      </c>
      <c r="AI57" s="560"/>
      <c r="AJ57" s="561"/>
    </row>
    <row r="58" spans="2:36" x14ac:dyDescent="0.15">
      <c r="B58" s="95" t="s">
        <v>951</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951</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94">
        <f>SUMIFS('caseload data'!E:E,'caseload data'!$D:$D,"PO",'caseload data'!$C:$C,'custody caseload'!$B$57,'caseload data'!$B:$B,"custody")</f>
        <v>0</v>
      </c>
      <c r="D59" s="94">
        <f>SUMIFS('caseload data'!F:F,'caseload data'!$D:$D,"PO",'caseload data'!$C:$C,'custody caseload'!$B$57,'caseload data'!$B:$B,"custody")</f>
        <v>0</v>
      </c>
      <c r="E59" s="94">
        <f>SUMIFS('caseload data'!G:G,'caseload data'!$D:$D,"PO",'caseload data'!$C:$C,'custody caseload'!$B$57,'caseload data'!$B:$B,"custody")</f>
        <v>0</v>
      </c>
      <c r="F59" s="94">
        <f>SUMIFS('caseload data'!H:H,'caseload data'!$D:$D,"PO",'caseload data'!$C:$C,'custody caseload'!$B$57,'caseload data'!$B:$B,"custody")</f>
        <v>0</v>
      </c>
      <c r="G59" s="94">
        <f>SUMIFS('caseload data'!I:I,'caseload data'!$D:$D,"PO",'caseload data'!$C:$C,'custody caseload'!$B$57,'caseload data'!$B:$B,"custody")</f>
        <v>0</v>
      </c>
      <c r="H59" s="94">
        <f>SUMIFS('caseload data'!J:J,'caseload data'!$D:$D,"PO",'caseload data'!$C:$C,'custody caseload'!$B$57,'caseload data'!$B:$B,"custody")</f>
        <v>0</v>
      </c>
      <c r="I59" s="94">
        <f>SUMIFS('caseload data'!K:K,'caseload data'!$D:$D,"PO",'caseload data'!$C:$C,'custody caseload'!$B$57,'caseload data'!$B:$B,"custody")</f>
        <v>0</v>
      </c>
      <c r="J59" s="94">
        <f>SUMIFS('caseload data'!L:L,'caseload data'!$D:$D,"PO",'caseload data'!$C:$C,'custody caseload'!$B$57,'caseload data'!$B:$B,"custody")</f>
        <v>0</v>
      </c>
      <c r="K59" s="94">
        <f>SUMIFS('caseload data'!M:M,'caseload data'!$D:$D,"PO",'caseload data'!$C:$C,'custody caseload'!$B$57,'caseload data'!$B:$B,"custody")</f>
        <v>0</v>
      </c>
      <c r="L59" s="94">
        <f>SUMIFS('caseload data'!N:N,'caseload data'!$D:$D,"PO",'caseload data'!$C:$C,'custody caseload'!$B$57,'caseload data'!$B:$B,"custody")</f>
        <v>0</v>
      </c>
      <c r="M59" s="94">
        <f>SUMIFS('caseload data'!O:O,'caseload data'!$D:$D,"PO",'caseload data'!$C:$C,'custody caseload'!$B$57,'caseload data'!$B:$B,"custody")</f>
        <v>0</v>
      </c>
      <c r="N59" s="94">
        <f>SUMIFS('caseload data'!P:P,'caseload data'!$D:$D,"PO",'caseload data'!$C:$C,'custody caseload'!$B$57,'caseload data'!$B:$B,"custody")</f>
        <v>0</v>
      </c>
      <c r="O59" s="94">
        <f>SUMIFS('caseload data'!Q:Q,'caseload data'!$D:$D,"PO",'caseload data'!$C:$C,'custody caseload'!$B$57,'caseload data'!$B:$B,"custody")</f>
        <v>0</v>
      </c>
      <c r="P59" s="94">
        <f>SUMIFS('caseload data'!R:R,'caseload data'!$D:$D,"PO",'caseload data'!$C:$C,'custody caseload'!$B$57,'caseload data'!$B:$B,"custody")</f>
        <v>0</v>
      </c>
      <c r="Q59" s="94">
        <f>SUMIFS('caseload data'!S:S,'caseload data'!$D:$D,"PO",'caseload data'!$C:$C,'custody caseload'!$B$57,'caseload data'!$B:$B,"custody")</f>
        <v>0</v>
      </c>
      <c r="R59" s="94">
        <f>SUMIFS('caseload data'!T:T,'caseload data'!$D:$D,"PO",'caseload data'!$C:$C,'custody caseload'!$B$57,'caseload data'!$B:$B,"custody")</f>
        <v>0</v>
      </c>
      <c r="S59" s="64"/>
      <c r="T59" s="96" t="s">
        <v>947</v>
      </c>
      <c r="U59" s="94">
        <f>SUMIFS('caseload data'!E:E,'caseload data'!$D:$D,"PO",'caseload data'!$C:$C,'custody caseload'!$T$57,'caseload data'!$B:$B,"custody")</f>
        <v>0</v>
      </c>
      <c r="V59" s="94">
        <f>SUMIFS('caseload data'!F:F,'caseload data'!$D:$D,"PO",'caseload data'!$C:$C,'custody caseload'!$T$57,'caseload data'!$B:$B,"custody")</f>
        <v>0</v>
      </c>
      <c r="W59" s="94">
        <f>SUMIFS('caseload data'!G:G,'caseload data'!$D:$D,"PO",'caseload data'!$C:$C,'custody caseload'!$T$57,'caseload data'!$B:$B,"custody")</f>
        <v>0</v>
      </c>
      <c r="X59" s="94">
        <f>SUMIFS('caseload data'!H:H,'caseload data'!$D:$D,"PO",'caseload data'!$C:$C,'custody caseload'!$T$57,'caseload data'!$B:$B,"custody")</f>
        <v>0</v>
      </c>
      <c r="Y59" s="94">
        <f>SUMIFS('caseload data'!I:I,'caseload data'!$D:$D,"PO",'caseload data'!$C:$C,'custody caseload'!$T$57,'caseload data'!$B:$B,"custody")</f>
        <v>0</v>
      </c>
      <c r="Z59" s="94">
        <f>SUMIFS('caseload data'!J:J,'caseload data'!$D:$D,"PO",'caseload data'!$C:$C,'custody caseload'!$T$57,'caseload data'!$B:$B,"custody")</f>
        <v>0</v>
      </c>
      <c r="AA59" s="94">
        <f>SUMIFS('caseload data'!K:K,'caseload data'!$D:$D,"PO",'caseload data'!$C:$C,'custody caseload'!$T$57,'caseload data'!$B:$B,"custody")</f>
        <v>0</v>
      </c>
      <c r="AB59" s="94">
        <f>SUMIFS('caseload data'!L:L,'caseload data'!$D:$D,"PO",'caseload data'!$C:$C,'custody caseload'!$T$57,'caseload data'!$B:$B,"custody")</f>
        <v>0</v>
      </c>
      <c r="AC59" s="94">
        <f>SUMIFS('caseload data'!M:M,'caseload data'!$D:$D,"PO",'caseload data'!$C:$C,'custody caseload'!$T$57,'caseload data'!$B:$B,"custody")</f>
        <v>0</v>
      </c>
      <c r="AD59" s="94">
        <f>SUMIFS('caseload data'!N:N,'caseload data'!$D:$D,"PO",'caseload data'!$C:$C,'custody caseload'!$T$57,'caseload data'!$B:$B,"custody")</f>
        <v>0</v>
      </c>
      <c r="AE59" s="94">
        <f>SUMIFS('caseload data'!O:O,'caseload data'!$D:$D,"PO",'caseload data'!$C:$C,'custody caseload'!$T$57,'caseload data'!$B:$B,"custody")</f>
        <v>0</v>
      </c>
      <c r="AF59" s="94">
        <f>SUMIFS('caseload data'!P:P,'caseload data'!$D:$D,"PO",'caseload data'!$C:$C,'custody caseload'!$T$57,'caseload data'!$B:$B,"custody")</f>
        <v>0</v>
      </c>
      <c r="AG59" s="94">
        <f>SUMIFS('caseload data'!Q:Q,'caseload data'!$D:$D,"PO",'caseload data'!$C:$C,'custody caseload'!$T$57,'caseload data'!$B:$B,"custody")</f>
        <v>0</v>
      </c>
      <c r="AH59" s="94">
        <f>SUMIFS('caseload data'!R:R,'caseload data'!$D:$D,"PO",'caseload data'!$C:$C,'custody caseload'!$T$57,'caseload data'!$B:$B,"custody")</f>
        <v>0</v>
      </c>
      <c r="AI59" s="94">
        <f>SUMIFS('caseload data'!S:S,'caseload data'!$D:$D,"PO",'caseload data'!$C:$C,'custody caseload'!$T$57,'caseload data'!$B:$B,"custody")</f>
        <v>0</v>
      </c>
      <c r="AJ59" s="94">
        <f>SUMIFS('caseload data'!T:T,'caseload data'!$D:$D,"PO",'caseload data'!$C:$C,'custody caseload'!$T$57,'caseload data'!$B:$B,"custody")</f>
        <v>0</v>
      </c>
    </row>
    <row r="60" spans="2:36" ht="15" x14ac:dyDescent="0.2">
      <c r="B60" s="97" t="s">
        <v>952</v>
      </c>
      <c r="C60" s="145">
        <f>SUMIFS('caseload data'!E:E,'caseload data'!$D:$D,"PSO",'caseload data'!$C:$C,'custody caseload'!$B$57,'caseload data'!$B:$B,"custody")</f>
        <v>0</v>
      </c>
      <c r="D60" s="145">
        <f>SUMIFS('caseload data'!F:F,'caseload data'!$D:$D,"PSO",'caseload data'!$C:$C,'custody caseload'!$B$57,'caseload data'!$B:$B,"custody")</f>
        <v>0</v>
      </c>
      <c r="E60" s="145">
        <f>SUMIFS('caseload data'!G:G,'caseload data'!$D:$D,"PSO",'caseload data'!$C:$C,'custody caseload'!$B$57,'caseload data'!$B:$B,"custody")</f>
        <v>0</v>
      </c>
      <c r="F60" s="145">
        <f>SUMIFS('caseload data'!H:H,'caseload data'!$D:$D,"PSO",'caseload data'!$C:$C,'custody caseload'!$B$57,'caseload data'!$B:$B,"custody")</f>
        <v>0</v>
      </c>
      <c r="G60" s="145">
        <f>SUMIFS('caseload data'!I:I,'caseload data'!$D:$D,"PSO",'caseload data'!$C:$C,'custody caseload'!$B$57,'caseload data'!$B:$B,"custody")</f>
        <v>0</v>
      </c>
      <c r="H60" s="145">
        <f>SUMIFS('caseload data'!J:J,'caseload data'!$D:$D,"PSO",'caseload data'!$C:$C,'custody caseload'!$B$57,'caseload data'!$B:$B,"custody")</f>
        <v>0</v>
      </c>
      <c r="I60" s="145">
        <f>SUMIFS('caseload data'!K:K,'caseload data'!$D:$D,"PSO",'caseload data'!$C:$C,'custody caseload'!$B$57,'caseload data'!$B:$B,"custody")</f>
        <v>0</v>
      </c>
      <c r="J60" s="145">
        <f>SUMIFS('caseload data'!L:L,'caseload data'!$D:$D,"PSO",'caseload data'!$C:$C,'custody caseload'!$B$57,'caseload data'!$B:$B,"custody")</f>
        <v>0</v>
      </c>
      <c r="K60" s="94">
        <f>SUMIFS('caseload data'!M:M,'caseload data'!$D:$D,"PSO",'caseload data'!$C:$C,'custody caseload'!$B$57,'caseload data'!$B:$B,"custody")</f>
        <v>0</v>
      </c>
      <c r="L60" s="94">
        <f>SUMIFS('caseload data'!N:N,'caseload data'!$D:$D,"PSO",'caseload data'!$C:$C,'custody caseload'!$B$57,'caseload data'!$B:$B,"custody")</f>
        <v>0</v>
      </c>
      <c r="M60" s="94">
        <f>SUMIFS('caseload data'!O:O,'caseload data'!$D:$D,"PSO",'caseload data'!$C:$C,'custody caseload'!$B$57,'caseload data'!$B:$B,"custody")</f>
        <v>0</v>
      </c>
      <c r="N60" s="94">
        <f>SUMIFS('caseload data'!P:P,'caseload data'!$D:$D,"PSO",'caseload data'!$C:$C,'custody caseload'!$B$57,'caseload data'!$B:$B,"custody")</f>
        <v>0</v>
      </c>
      <c r="O60" s="94">
        <f>SUMIFS('caseload data'!Q:Q,'caseload data'!$D:$D,"PSO",'caseload data'!$C:$C,'custody caseload'!$B$57,'caseload data'!$B:$B,"custody")</f>
        <v>0</v>
      </c>
      <c r="P60" s="94">
        <f>SUMIFS('caseload data'!R:R,'caseload data'!$D:$D,"PSO",'caseload data'!$C:$C,'custody caseload'!$B$57,'caseload data'!$B:$B,"custody")</f>
        <v>0</v>
      </c>
      <c r="Q60" s="94">
        <f>SUMIFS('caseload data'!S:S,'caseload data'!$D:$D,"PSO",'caseload data'!$C:$C,'custody caseload'!$B$57,'caseload data'!$B:$B,"custody")</f>
        <v>0</v>
      </c>
      <c r="R60" s="94">
        <f>SUMIFS('caseload data'!T:T,'caseload data'!$D:$D,"PSO",'caseload data'!$C:$C,'custody caseload'!$B$57,'caseload data'!$B:$B,"custody")</f>
        <v>0</v>
      </c>
      <c r="S60" s="64"/>
      <c r="T60" s="97" t="s">
        <v>952</v>
      </c>
      <c r="U60" s="145">
        <f>SUMIFS('caseload data'!E:E,'caseload data'!$D:$D,"PSO",'caseload data'!$C:$C,'custody caseload'!$T$57,'caseload data'!$B:$B,"custody")</f>
        <v>0</v>
      </c>
      <c r="V60" s="145">
        <f>SUMIFS('caseload data'!F:F,'caseload data'!$D:$D,"PSO",'caseload data'!$C:$C,'custody caseload'!$T$57,'caseload data'!$B:$B,"custody")</f>
        <v>0</v>
      </c>
      <c r="W60" s="145">
        <f>SUMIFS('caseload data'!G:G,'caseload data'!$D:$D,"PSO",'caseload data'!$C:$C,'custody caseload'!$T$57,'caseload data'!$B:$B,"custody")</f>
        <v>0</v>
      </c>
      <c r="X60" s="145">
        <f>SUMIFS('caseload data'!H:H,'caseload data'!$D:$D,"PSO",'caseload data'!$C:$C,'custody caseload'!$T$57,'caseload data'!$B:$B,"custody")</f>
        <v>0</v>
      </c>
      <c r="Y60" s="145">
        <f>SUMIFS('caseload data'!I:I,'caseload data'!$D:$D,"PSO",'caseload data'!$C:$C,'custody caseload'!$T$57,'caseload data'!$B:$B,"custody")</f>
        <v>0</v>
      </c>
      <c r="Z60" s="145">
        <f>SUMIFS('caseload data'!J:J,'caseload data'!$D:$D,"PSO",'caseload data'!$C:$C,'custody caseload'!$T$57,'caseload data'!$B:$B,"custody")</f>
        <v>0</v>
      </c>
      <c r="AA60" s="145">
        <f>SUMIFS('caseload data'!K:K,'caseload data'!$D:$D,"PSO",'caseload data'!$C:$C,'custody caseload'!$T$57,'caseload data'!$B:$B,"custody")</f>
        <v>0</v>
      </c>
      <c r="AB60" s="145">
        <f>SUMIFS('caseload data'!L:L,'caseload data'!$D:$D,"PSO",'caseload data'!$C:$C,'custody caseload'!$T$57,'caseload data'!$B:$B,"custody")</f>
        <v>0</v>
      </c>
      <c r="AC60" s="94">
        <f>SUMIFS('caseload data'!M:M,'caseload data'!$D:$D,"PSO",'caseload data'!$C:$C,'custody caseload'!$T$57,'caseload data'!$B:$B,"custody")</f>
        <v>0</v>
      </c>
      <c r="AD60" s="94">
        <f>SUMIFS('caseload data'!N:N,'caseload data'!$D:$D,"PSO",'caseload data'!$C:$C,'custody caseload'!$T$57,'caseload data'!$B:$B,"custody")</f>
        <v>0</v>
      </c>
      <c r="AE60" s="94">
        <f>SUMIFS('caseload data'!O:O,'caseload data'!$D:$D,"PSO",'caseload data'!$C:$C,'custody caseload'!$T$57,'caseload data'!$B:$B,"custody")</f>
        <v>0</v>
      </c>
      <c r="AF60" s="94">
        <f>SUMIFS('caseload data'!P:P,'caseload data'!$D:$D,"PSO",'caseload data'!$C:$C,'custody caseload'!$T$57,'caseload data'!$B:$B,"custody")</f>
        <v>0</v>
      </c>
      <c r="AG60" s="94">
        <f>SUMIFS('caseload data'!Q:Q,'caseload data'!$D:$D,"PSO",'caseload data'!$C:$C,'custody caseload'!$T$57,'caseload data'!$B:$B,"custody")</f>
        <v>0</v>
      </c>
      <c r="AH60" s="94">
        <f>SUMIFS('caseload data'!R:R,'caseload data'!$D:$D,"PSO",'caseload data'!$C:$C,'custody caseload'!$T$57,'caseload data'!$B:$B,"custody")</f>
        <v>0</v>
      </c>
      <c r="AI60" s="94">
        <f>SUMIFS('caseload data'!S:S,'caseload data'!$D:$D,"PSO",'caseload data'!$C:$C,'custody caseload'!$T$57,'caseload data'!$B:$B,"custody")</f>
        <v>0</v>
      </c>
      <c r="AJ60" s="94">
        <f>SUMIFS('caseload data'!T:T,'caseload data'!$D:$D,"PSO",'caseload data'!$C:$C,'custody caseload'!$T$57,'caseload data'!$B:$B,"custody")</f>
        <v>0</v>
      </c>
    </row>
    <row r="61" spans="2:36" ht="15" x14ac:dyDescent="0.2">
      <c r="B61" s="97" t="s">
        <v>953</v>
      </c>
      <c r="C61" s="145">
        <f>SUMIFS('caseload data'!E:E,'caseload data'!$D:$D,"TPO",'caseload data'!$C:$C,'custody caseload'!$B$57,'caseload data'!$B:$B,"custody")</f>
        <v>0</v>
      </c>
      <c r="D61" s="145">
        <f>SUMIFS('caseload data'!F:F,'caseload data'!$D:$D,"TPO",'caseload data'!$C:$C,'custody caseload'!$B$57,'caseload data'!$B:$B,"custody")</f>
        <v>0</v>
      </c>
      <c r="E61" s="145">
        <f>SUMIFS('caseload data'!G:G,'caseload data'!$D:$D,"TPO",'caseload data'!$C:$C,'custody caseload'!$B$57,'caseload data'!$B:$B,"custody")</f>
        <v>0</v>
      </c>
      <c r="F61" s="145">
        <f>SUMIFS('caseload data'!H:H,'caseload data'!$D:$D,"TPO",'caseload data'!$C:$C,'custody caseload'!$B$57,'caseload data'!$B:$B,"custody")</f>
        <v>0</v>
      </c>
      <c r="G61" s="145">
        <f>SUMIFS('caseload data'!I:I,'caseload data'!$D:$D,"TPO",'caseload data'!$C:$C,'custody caseload'!$B$57,'caseload data'!$B:$B,"custody")</f>
        <v>0</v>
      </c>
      <c r="H61" s="145">
        <f>SUMIFS('caseload data'!J:J,'caseload data'!$D:$D,"TPO",'caseload data'!$C:$C,'custody caseload'!$B$57,'caseload data'!$B:$B,"custody")</f>
        <v>0</v>
      </c>
      <c r="I61" s="145">
        <f>SUMIFS('caseload data'!K:K,'caseload data'!$D:$D,"TPO",'caseload data'!$C:$C,'custody caseload'!$B$57,'caseload data'!$B:$B,"custody")</f>
        <v>0</v>
      </c>
      <c r="J61" s="145">
        <f>SUMIFS('caseload data'!L:L,'caseload data'!$D:$D,"TPO",'caseload data'!$C:$C,'custody caseload'!$B$57,'caseload data'!$B:$B,"custody")</f>
        <v>0</v>
      </c>
      <c r="K61" s="94">
        <f>SUMIFS('caseload data'!M:M,'caseload data'!$D:$D,"TPO",'caseload data'!$C:$C,'custody caseload'!$B$57,'caseload data'!$B:$B,"custody")</f>
        <v>0</v>
      </c>
      <c r="L61" s="94">
        <f>SUMIFS('caseload data'!N:N,'caseload data'!$D:$D,"TPO",'caseload data'!$C:$C,'custody caseload'!$B$57,'caseload data'!$B:$B,"custody")</f>
        <v>0</v>
      </c>
      <c r="M61" s="94">
        <f>SUMIFS('caseload data'!O:O,'caseload data'!$D:$D,"TPO",'caseload data'!$C:$C,'custody caseload'!$B$57,'caseload data'!$B:$B,"custody")</f>
        <v>0</v>
      </c>
      <c r="N61" s="94">
        <f>SUMIFS('caseload data'!P:P,'caseload data'!$D:$D,"TPO",'caseload data'!$C:$C,'custody caseload'!$B$57,'caseload data'!$B:$B,"custody")</f>
        <v>0</v>
      </c>
      <c r="O61" s="94">
        <f>SUMIFS('caseload data'!Q:Q,'caseload data'!$D:$D,"TPO",'caseload data'!$C:$C,'custody caseload'!$B$57,'caseload data'!$B:$B,"custody")</f>
        <v>0</v>
      </c>
      <c r="P61" s="94">
        <f>SUMIFS('caseload data'!R:R,'caseload data'!$D:$D,"TPO",'caseload data'!$C:$C,'custody caseload'!$B$57,'caseload data'!$B:$B,"custody")</f>
        <v>0</v>
      </c>
      <c r="Q61" s="94">
        <f>SUMIFS('caseload data'!S:S,'caseload data'!$D:$D,"TPO",'caseload data'!$C:$C,'custody caseload'!$B$57,'caseload data'!$B:$B,"custody")</f>
        <v>0</v>
      </c>
      <c r="R61" s="94">
        <f>SUMIFS('caseload data'!T:T,'caseload data'!$D:$D,"TPO",'caseload data'!$C:$C,'custody caseload'!$B$57,'caseload data'!$B:$B,"custody")</f>
        <v>0</v>
      </c>
      <c r="S61" s="64"/>
      <c r="T61" s="97" t="s">
        <v>953</v>
      </c>
      <c r="U61" s="145">
        <f>SUMIFS('caseload data'!E:E,'caseload data'!$D:$D,"TPO",'caseload data'!$C:$C,'custody caseload'!$T$57,'caseload data'!$B:$B,"custody")</f>
        <v>0</v>
      </c>
      <c r="V61" s="145">
        <f>SUMIFS('caseload data'!F:F,'caseload data'!$D:$D,"TPO",'caseload data'!$C:$C,'custody caseload'!$T$57,'caseload data'!$B:$B,"custody")</f>
        <v>0</v>
      </c>
      <c r="W61" s="145">
        <f>SUMIFS('caseload data'!G:G,'caseload data'!$D:$D,"TPO",'caseload data'!$C:$C,'custody caseload'!$T$57,'caseload data'!$B:$B,"custody")</f>
        <v>0</v>
      </c>
      <c r="X61" s="145">
        <f>SUMIFS('caseload data'!H:H,'caseload data'!$D:$D,"TPO",'caseload data'!$C:$C,'custody caseload'!$T$57,'caseload data'!$B:$B,"custody")</f>
        <v>0</v>
      </c>
      <c r="Y61" s="145">
        <f>SUMIFS('caseload data'!I:I,'caseload data'!$D:$D,"TPO",'caseload data'!$C:$C,'custody caseload'!$T$57,'caseload data'!$B:$B,"custody")</f>
        <v>0</v>
      </c>
      <c r="Z61" s="145">
        <f>SUMIFS('caseload data'!J:J,'caseload data'!$D:$D,"TPO",'caseload data'!$C:$C,'custody caseload'!$T$57,'caseload data'!$B:$B,"custody")</f>
        <v>0</v>
      </c>
      <c r="AA61" s="145">
        <f>SUMIFS('caseload data'!K:K,'caseload data'!$D:$D,"TPO",'caseload data'!$C:$C,'custody caseload'!$T$57,'caseload data'!$B:$B,"custody")</f>
        <v>0</v>
      </c>
      <c r="AB61" s="145">
        <f>SUMIFS('caseload data'!L:L,'caseload data'!$D:$D,"TPO",'caseload data'!$C:$C,'custody caseload'!$T$57,'caseload data'!$B:$B,"custody")</f>
        <v>0</v>
      </c>
      <c r="AC61" s="94">
        <f>SUMIFS('caseload data'!M:M,'caseload data'!$D:$D,"TPO",'caseload data'!$C:$C,'custody caseload'!$T$57,'caseload data'!$B:$B,"custody")</f>
        <v>0</v>
      </c>
      <c r="AD61" s="94">
        <f>SUMIFS('caseload data'!N:N,'caseload data'!$D:$D,"TPO",'caseload data'!$C:$C,'custody caseload'!$T$57,'caseload data'!$B:$B,"custody")</f>
        <v>0</v>
      </c>
      <c r="AE61" s="94">
        <f>SUMIFS('caseload data'!O:O,'caseload data'!$D:$D,"TPO",'caseload data'!$C:$C,'custody caseload'!$T$57,'caseload data'!$B:$B,"custody")</f>
        <v>0</v>
      </c>
      <c r="AF61" s="94">
        <f>SUMIFS('caseload data'!P:P,'caseload data'!$D:$D,"TPO",'caseload data'!$C:$C,'custody caseload'!$T$57,'caseload data'!$B:$B,"custody")</f>
        <v>0</v>
      </c>
      <c r="AG61" s="94">
        <f>SUMIFS('caseload data'!Q:Q,'caseload data'!$D:$D,"TPO",'caseload data'!$C:$C,'custody caseload'!$T$57,'caseload data'!$B:$B,"custody")</f>
        <v>0</v>
      </c>
      <c r="AH61" s="94">
        <f>SUMIFS('caseload data'!R:R,'caseload data'!$D:$D,"TPO",'caseload data'!$C:$C,'custody caseload'!$T$57,'caseload data'!$B:$B,"custody")</f>
        <v>0</v>
      </c>
      <c r="AI61" s="94">
        <f>SUMIFS('caseload data'!S:S,'caseload data'!$D:$D,"TPO",'caseload data'!$C:$C,'custody caseload'!$T$57,'caseload data'!$B:$B,"custody")</f>
        <v>0</v>
      </c>
      <c r="AJ61" s="94">
        <f>SUMIFS('caseload data'!T:T,'caseload data'!$D:$D,"TPO",'caseload data'!$C:$C,'custody caseload'!$T$57,'caseload data'!$B:$B,"custody")</f>
        <v>0</v>
      </c>
    </row>
    <row r="62" spans="2:36" x14ac:dyDescent="0.15">
      <c r="B62" s="98" t="s">
        <v>954</v>
      </c>
      <c r="C62" s="94">
        <f>SUMIFS('caseload data'!E:E,'caseload data'!$D:$D,"SPO",'caseload data'!$C:$C,'custody caseload'!$B$57,'caseload data'!$B:$B,"custody")</f>
        <v>0</v>
      </c>
      <c r="D62" s="94">
        <f>SUMIFS('caseload data'!F:F,'caseload data'!$D:$D,"SPO",'caseload data'!$C:$C,'custody caseload'!$B$57,'caseload data'!$B:$B,"custody")</f>
        <v>0</v>
      </c>
      <c r="E62" s="94">
        <f>SUMIFS('caseload data'!G:G,'caseload data'!$D:$D,"SPO",'caseload data'!$C:$C,'custody caseload'!$B$57,'caseload data'!$B:$B,"custody")</f>
        <v>0</v>
      </c>
      <c r="F62" s="94">
        <f>SUMIFS('caseload data'!H:H,'caseload data'!$D:$D,"SPO",'caseload data'!$C:$C,'custody caseload'!$B$57,'caseload data'!$B:$B,"custody")</f>
        <v>0</v>
      </c>
      <c r="G62" s="94">
        <f>SUMIFS('caseload data'!I:I,'caseload data'!$D:$D,"SPO",'caseload data'!$C:$C,'custody caseload'!$B$57,'caseload data'!$B:$B,"custody")</f>
        <v>0</v>
      </c>
      <c r="H62" s="94">
        <f>SUMIFS('caseload data'!J:J,'caseload data'!$D:$D,"SPO",'caseload data'!$C:$C,'custody caseload'!$B$57,'caseload data'!$B:$B,"custody")</f>
        <v>0</v>
      </c>
      <c r="I62" s="94">
        <f>SUMIFS('caseload data'!K:K,'caseload data'!$D:$D,"SPO",'caseload data'!$C:$C,'custody caseload'!$B$57,'caseload data'!$B:$B,"custody")</f>
        <v>0</v>
      </c>
      <c r="J62" s="94">
        <f>SUMIFS('caseload data'!L:L,'caseload data'!$D:$D,"SPO",'caseload data'!$C:$C,'custody caseload'!$B$57,'caseload data'!$B:$B,"custody")</f>
        <v>0</v>
      </c>
      <c r="K62" s="94">
        <f>SUMIFS('caseload data'!M:M,'caseload data'!$D:$D,"SPO",'caseload data'!$C:$C,'custody caseload'!$B$57,'caseload data'!$B:$B,"custody")</f>
        <v>0</v>
      </c>
      <c r="L62" s="94">
        <f>SUMIFS('caseload data'!N:N,'caseload data'!$D:$D,"SPO",'caseload data'!$C:$C,'custody caseload'!$B$57,'caseload data'!$B:$B,"custody")</f>
        <v>0</v>
      </c>
      <c r="M62" s="94">
        <f>SUMIFS('caseload data'!O:O,'caseload data'!$D:$D,"SPO",'caseload data'!$C:$C,'custody caseload'!$B$57,'caseload data'!$B:$B,"custody")</f>
        <v>0</v>
      </c>
      <c r="N62" s="94">
        <f>SUMIFS('caseload data'!P:P,'caseload data'!$D:$D,"SPO",'caseload data'!$C:$C,'custody caseload'!$B$57,'caseload data'!$B:$B,"custody")</f>
        <v>0</v>
      </c>
      <c r="O62" s="94">
        <f>SUMIFS('caseload data'!Q:Q,'caseload data'!$D:$D,"SPO",'caseload data'!$C:$C,'custody caseload'!$B$57,'caseload data'!$B:$B,"custody")</f>
        <v>0</v>
      </c>
      <c r="P62" s="94">
        <f>SUMIFS('caseload data'!R:R,'caseload data'!$D:$D,"SPO",'caseload data'!$C:$C,'custody caseload'!$B$57,'caseload data'!$B:$B,"custody")</f>
        <v>0</v>
      </c>
      <c r="Q62" s="94">
        <f>SUMIFS('caseload data'!S:S,'caseload data'!$D:$D,"SPO",'caseload data'!$C:$C,'custody caseload'!$B$57,'caseload data'!$B:$B,"custody")</f>
        <v>0</v>
      </c>
      <c r="R62" s="94">
        <f>SUMIFS('caseload data'!T:T,'caseload data'!$D:$D,"SPO",'caseload data'!$C:$C,'custody caseload'!$B$57,'caseload data'!$B:$B,"custody")</f>
        <v>0</v>
      </c>
      <c r="S62" s="64"/>
      <c r="T62" s="98" t="s">
        <v>954</v>
      </c>
      <c r="U62" s="94">
        <f>SUMIFS('caseload data'!E:E,'caseload data'!$D:$D,"SPO",'caseload data'!$C:$C,'custody caseload'!$T$57,'caseload data'!$B:$B,"custody")</f>
        <v>0</v>
      </c>
      <c r="V62" s="94">
        <f>SUMIFS('caseload data'!F:F,'caseload data'!$D:$D,"SPO",'caseload data'!$C:$C,'custody caseload'!$T$57,'caseload data'!$B:$B,"custody")</f>
        <v>0</v>
      </c>
      <c r="W62" s="94">
        <f>SUMIFS('caseload data'!G:G,'caseload data'!$D:$D,"SPO",'caseload data'!$C:$C,'custody caseload'!$T$57,'caseload data'!$B:$B,"custody")</f>
        <v>0</v>
      </c>
      <c r="X62" s="94">
        <f>SUMIFS('caseload data'!H:H,'caseload data'!$D:$D,"SPO",'caseload data'!$C:$C,'custody caseload'!$T$57,'caseload data'!$B:$B,"custody")</f>
        <v>0</v>
      </c>
      <c r="Y62" s="94">
        <f>SUMIFS('caseload data'!I:I,'caseload data'!$D:$D,"SPO",'caseload data'!$C:$C,'custody caseload'!$T$57,'caseload data'!$B:$B,"custody")</f>
        <v>0</v>
      </c>
      <c r="Z62" s="94">
        <f>SUMIFS('caseload data'!J:J,'caseload data'!$D:$D,"SPO",'caseload data'!$C:$C,'custody caseload'!$T$57,'caseload data'!$B:$B,"custody")</f>
        <v>0</v>
      </c>
      <c r="AA62" s="94">
        <f>SUMIFS('caseload data'!K:K,'caseload data'!$D:$D,"SPO",'caseload data'!$C:$C,'custody caseload'!$T$57,'caseload data'!$B:$B,"custody")</f>
        <v>0</v>
      </c>
      <c r="AB62" s="94">
        <f>SUMIFS('caseload data'!L:L,'caseload data'!$D:$D,"SPO",'caseload data'!$C:$C,'custody caseload'!$T$57,'caseload data'!$B:$B,"custody")</f>
        <v>0</v>
      </c>
      <c r="AC62" s="94">
        <f>SUMIFS('caseload data'!M:M,'caseload data'!$D:$D,"SPO",'caseload data'!$C:$C,'custody caseload'!$T$57,'caseload data'!$B:$B,"custody")</f>
        <v>0</v>
      </c>
      <c r="AD62" s="94">
        <f>SUMIFS('caseload data'!N:N,'caseload data'!$D:$D,"SPO",'caseload data'!$C:$C,'custody caseload'!$T$57,'caseload data'!$B:$B,"custody")</f>
        <v>0</v>
      </c>
      <c r="AE62" s="94">
        <f>SUMIFS('caseload data'!O:O,'caseload data'!$D:$D,"SPO",'caseload data'!$C:$C,'custody caseload'!$T$57,'caseload data'!$B:$B,"custody")</f>
        <v>0</v>
      </c>
      <c r="AF62" s="94">
        <f>SUMIFS('caseload data'!P:P,'caseload data'!$D:$D,"SPO",'caseload data'!$C:$C,'custody caseload'!$T$57,'caseload data'!$B:$B,"custody")</f>
        <v>0</v>
      </c>
      <c r="AG62" s="94">
        <f>SUMIFS('caseload data'!Q:Q,'caseload data'!$D:$D,"SPO",'caseload data'!$C:$C,'custody caseload'!$T$57,'caseload data'!$B:$B,"custody")</f>
        <v>0</v>
      </c>
      <c r="AH62" s="94">
        <f>SUMIFS('caseload data'!R:R,'caseload data'!$D:$D,"SPO",'caseload data'!$C:$C,'custody caseload'!$T$57,'caseload data'!$B:$B,"custody")</f>
        <v>0</v>
      </c>
      <c r="AI62" s="94">
        <f>SUMIFS('caseload data'!S:S,'caseload data'!$D:$D,"SPO",'caseload data'!$C:$C,'custody caseload'!$T$57,'caseload data'!$B:$B,"custody")</f>
        <v>0</v>
      </c>
      <c r="AJ62" s="94">
        <f>SUMIFS('caseload data'!T:T,'caseload data'!$D:$D,"SPO",'caseload data'!$C:$C,'custody caseload'!$T$57,'caseload data'!$B:$B,"custody")</f>
        <v>0</v>
      </c>
    </row>
    <row r="64" spans="2:36" ht="21" customHeight="1" x14ac:dyDescent="0.15">
      <c r="B64" s="142">
        <f>HLOOKUP($B$5,Region_Table,18,0)</f>
        <v>0</v>
      </c>
      <c r="C64" s="556" t="s">
        <v>1073</v>
      </c>
      <c r="D64" s="557"/>
      <c r="E64" s="557"/>
      <c r="F64" s="557"/>
      <c r="G64" s="557"/>
      <c r="H64" s="557"/>
      <c r="I64" s="557"/>
      <c r="J64" s="557"/>
      <c r="K64" s="557"/>
      <c r="L64" s="557"/>
      <c r="M64" s="566"/>
      <c r="N64" s="566"/>
      <c r="O64" s="567"/>
      <c r="P64" s="543">
        <f>SUMIFS('caseload data'!V:V,'caseload data'!B:B,"custody",'caseload data'!$C:$C,'custody caseload'!B64)</f>
        <v>0</v>
      </c>
      <c r="Q64" s="560"/>
      <c r="R64" s="561"/>
      <c r="S64" s="64"/>
      <c r="T64" s="142">
        <f>HLOOKUP($B$5,Region_Table,19,0)</f>
        <v>0</v>
      </c>
      <c r="U64" s="556" t="s">
        <v>1073</v>
      </c>
      <c r="V64" s="557"/>
      <c r="W64" s="557"/>
      <c r="X64" s="557"/>
      <c r="Y64" s="557"/>
      <c r="Z64" s="557"/>
      <c r="AA64" s="557"/>
      <c r="AB64" s="557"/>
      <c r="AC64" s="557"/>
      <c r="AD64" s="557"/>
      <c r="AE64" s="566"/>
      <c r="AF64" s="566"/>
      <c r="AG64" s="567"/>
      <c r="AH64" s="543">
        <f>SUMIFS('caseload data'!V:V,'caseload data'!B:B,"custody",'caseload data'!$C:$C,'custody caseload'!T64)</f>
        <v>0</v>
      </c>
      <c r="AI64" s="560"/>
      <c r="AJ64" s="561"/>
    </row>
    <row r="65" spans="2:36" x14ac:dyDescent="0.15">
      <c r="B65" s="95"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951</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94">
        <f>SUMIFS('caseload data'!E:E,'caseload data'!$D:$D,"PO",'caseload data'!$C:$C,'custody caseload'!$B$64,'caseload data'!$B:$B,"custody")</f>
        <v>0</v>
      </c>
      <c r="D66" s="94">
        <f>SUMIFS('caseload data'!F:F,'caseload data'!$D:$D,"PO",'caseload data'!$C:$C,'custody caseload'!$B$64,'caseload data'!$B:$B,"custody")</f>
        <v>0</v>
      </c>
      <c r="E66" s="94">
        <f>SUMIFS('caseload data'!G:G,'caseload data'!$D:$D,"PO",'caseload data'!$C:$C,'custody caseload'!$B$64,'caseload data'!$B:$B,"custody")</f>
        <v>0</v>
      </c>
      <c r="F66" s="94">
        <f>SUMIFS('caseload data'!H:H,'caseload data'!$D:$D,"PO",'caseload data'!$C:$C,'custody caseload'!$B$64,'caseload data'!$B:$B,"custody")</f>
        <v>0</v>
      </c>
      <c r="G66" s="94">
        <f>SUMIFS('caseload data'!I:I,'caseload data'!$D:$D,"PO",'caseload data'!$C:$C,'custody caseload'!$B$64,'caseload data'!$B:$B,"custody")</f>
        <v>0</v>
      </c>
      <c r="H66" s="94">
        <f>SUMIFS('caseload data'!J:J,'caseload data'!$D:$D,"PO",'caseload data'!$C:$C,'custody caseload'!$B$64,'caseload data'!$B:$B,"custody")</f>
        <v>0</v>
      </c>
      <c r="I66" s="94">
        <f>SUMIFS('caseload data'!K:K,'caseload data'!$D:$D,"PO",'caseload data'!$C:$C,'custody caseload'!$B$64,'caseload data'!$B:$B,"custody")</f>
        <v>0</v>
      </c>
      <c r="J66" s="94">
        <f>SUMIFS('caseload data'!L:L,'caseload data'!$D:$D,"PO",'caseload data'!$C:$C,'custody caseload'!$B$64,'caseload data'!$B:$B,"custody")</f>
        <v>0</v>
      </c>
      <c r="K66" s="94">
        <f>SUMIFS('caseload data'!M:M,'caseload data'!$D:$D,"PO",'caseload data'!$C:$C,'custody caseload'!$B$64,'caseload data'!$B:$B,"custody")</f>
        <v>0</v>
      </c>
      <c r="L66" s="94">
        <f>SUMIFS('caseload data'!N:N,'caseload data'!$D:$D,"PO",'caseload data'!$C:$C,'custody caseload'!$B$64,'caseload data'!$B:$B,"custody")</f>
        <v>0</v>
      </c>
      <c r="M66" s="94">
        <f>SUMIFS('caseload data'!O:O,'caseload data'!$D:$D,"PO",'caseload data'!$C:$C,'custody caseload'!$B$64,'caseload data'!$B:$B,"custody")</f>
        <v>0</v>
      </c>
      <c r="N66" s="94">
        <f>SUMIFS('caseload data'!P:P,'caseload data'!$D:$D,"PO",'caseload data'!$C:$C,'custody caseload'!$B$64,'caseload data'!$B:$B,"custody")</f>
        <v>0</v>
      </c>
      <c r="O66" s="94">
        <f>SUMIFS('caseload data'!Q:Q,'caseload data'!$D:$D,"PO",'caseload data'!$C:$C,'custody caseload'!$B$64,'caseload data'!$B:$B,"custody")</f>
        <v>0</v>
      </c>
      <c r="P66" s="94">
        <f>SUMIFS('caseload data'!R:R,'caseload data'!$D:$D,"PO",'caseload data'!$C:$C,'custody caseload'!$B$64,'caseload data'!$B:$B,"custody")</f>
        <v>0</v>
      </c>
      <c r="Q66" s="94">
        <f>SUMIFS('caseload data'!S:S,'caseload data'!$D:$D,"PO",'caseload data'!$C:$C,'custody caseload'!$B$64,'caseload data'!$B:$B,"custody")</f>
        <v>0</v>
      </c>
      <c r="R66" s="94">
        <f>SUMIFS('caseload data'!T:T,'caseload data'!$D:$D,"PO",'caseload data'!$C:$C,'custody caseload'!$B$64,'caseload data'!$B:$B,"custody")</f>
        <v>0</v>
      </c>
      <c r="S66" s="64"/>
      <c r="T66" s="96" t="s">
        <v>947</v>
      </c>
      <c r="U66" s="94">
        <f>SUMIFS('caseload data'!E:E,'caseload data'!$D:$D,"PO",'caseload data'!$C:$C,'custody caseload'!$T$64,'caseload data'!$B:$B,"custody")</f>
        <v>0</v>
      </c>
      <c r="V66" s="94">
        <f>SUMIFS('caseload data'!F:F,'caseload data'!$D:$D,"PO",'caseload data'!$C:$C,'custody caseload'!$T$64,'caseload data'!$B:$B,"custody")</f>
        <v>0</v>
      </c>
      <c r="W66" s="94">
        <f>SUMIFS('caseload data'!G:G,'caseload data'!$D:$D,"PO",'caseload data'!$C:$C,'custody caseload'!$T$64,'caseload data'!$B:$B,"custody")</f>
        <v>0</v>
      </c>
      <c r="X66" s="94">
        <f>SUMIFS('caseload data'!H:H,'caseload data'!$D:$D,"PO",'caseload data'!$C:$C,'custody caseload'!$T$64,'caseload data'!$B:$B,"custody")</f>
        <v>0</v>
      </c>
      <c r="Y66" s="94">
        <f>SUMIFS('caseload data'!I:I,'caseload data'!$D:$D,"PO",'caseload data'!$C:$C,'custody caseload'!$T$64,'caseload data'!$B:$B,"custody")</f>
        <v>0</v>
      </c>
      <c r="Z66" s="94">
        <f>SUMIFS('caseload data'!J:J,'caseload data'!$D:$D,"PO",'caseload data'!$C:$C,'custody caseload'!$T$64,'caseload data'!$B:$B,"custody")</f>
        <v>0</v>
      </c>
      <c r="AA66" s="94">
        <f>SUMIFS('caseload data'!K:K,'caseload data'!$D:$D,"PO",'caseload data'!$C:$C,'custody caseload'!$T$64,'caseload data'!$B:$B,"custody")</f>
        <v>0</v>
      </c>
      <c r="AB66" s="94">
        <f>SUMIFS('caseload data'!L:L,'caseload data'!$D:$D,"PO",'caseload data'!$C:$C,'custody caseload'!$T$64,'caseload data'!$B:$B,"custody")</f>
        <v>0</v>
      </c>
      <c r="AC66" s="94">
        <f>SUMIFS('caseload data'!M:M,'caseload data'!$D:$D,"PO",'caseload data'!$C:$C,'custody caseload'!$T$64,'caseload data'!$B:$B,"custody")</f>
        <v>0</v>
      </c>
      <c r="AD66" s="94">
        <f>SUMIFS('caseload data'!N:N,'caseload data'!$D:$D,"PO",'caseload data'!$C:$C,'custody caseload'!$T$64,'caseload data'!$B:$B,"custody")</f>
        <v>0</v>
      </c>
      <c r="AE66" s="94">
        <f>SUMIFS('caseload data'!O:O,'caseload data'!$D:$D,"PO",'caseload data'!$C:$C,'custody caseload'!$T$64,'caseload data'!$B:$B,"custody")</f>
        <v>0</v>
      </c>
      <c r="AF66" s="94">
        <f>SUMIFS('caseload data'!P:P,'caseload data'!$D:$D,"PO",'caseload data'!$C:$C,'custody caseload'!$T$64,'caseload data'!$B:$B,"custody")</f>
        <v>0</v>
      </c>
      <c r="AG66" s="94">
        <f>SUMIFS('caseload data'!Q:Q,'caseload data'!$D:$D,"PO",'caseload data'!$C:$C,'custody caseload'!$T$64,'caseload data'!$B:$B,"custody")</f>
        <v>0</v>
      </c>
      <c r="AH66" s="94">
        <f>SUMIFS('caseload data'!R:R,'caseload data'!$D:$D,"PO",'caseload data'!$C:$C,'custody caseload'!$T$64,'caseload data'!$B:$B,"custody")</f>
        <v>0</v>
      </c>
      <c r="AI66" s="94">
        <f>SUMIFS('caseload data'!S:S,'caseload data'!$D:$D,"PO",'caseload data'!$C:$C,'custody caseload'!$T$64,'caseload data'!$B:$B,"custody")</f>
        <v>0</v>
      </c>
      <c r="AJ66" s="94">
        <f>SUMIFS('caseload data'!T:T,'caseload data'!$D:$D,"PO",'caseload data'!$C:$C,'custody caseload'!$T$64,'caseload data'!$B:$B,"custody")</f>
        <v>0</v>
      </c>
    </row>
    <row r="67" spans="2:36" ht="15" x14ac:dyDescent="0.2">
      <c r="B67" s="97" t="s">
        <v>952</v>
      </c>
      <c r="C67" s="145">
        <f>SUMIFS('caseload data'!E:E,'caseload data'!$D:$D,"PSO",'caseload data'!$C:$C,'custody caseload'!$B$64,'caseload data'!$B:$B,"custody")</f>
        <v>0</v>
      </c>
      <c r="D67" s="145">
        <f>SUMIFS('caseload data'!F:F,'caseload data'!$D:$D,"PSO",'caseload data'!$C:$C,'custody caseload'!$B$64,'caseload data'!$B:$B,"custody")</f>
        <v>0</v>
      </c>
      <c r="E67" s="145">
        <f>SUMIFS('caseload data'!G:G,'caseload data'!$D:$D,"PSO",'caseload data'!$C:$C,'custody caseload'!$B$64,'caseload data'!$B:$B,"custody")</f>
        <v>0</v>
      </c>
      <c r="F67" s="145">
        <f>SUMIFS('caseload data'!H:H,'caseload data'!$D:$D,"PSO",'caseload data'!$C:$C,'custody caseload'!$B$64,'caseload data'!$B:$B,"custody")</f>
        <v>0</v>
      </c>
      <c r="G67" s="145">
        <f>SUMIFS('caseload data'!I:I,'caseload data'!$D:$D,"PSO",'caseload data'!$C:$C,'custody caseload'!$B$64,'caseload data'!$B:$B,"custody")</f>
        <v>0</v>
      </c>
      <c r="H67" s="145">
        <f>SUMIFS('caseload data'!J:J,'caseload data'!$D:$D,"PSO",'caseload data'!$C:$C,'custody caseload'!$B$64,'caseload data'!$B:$B,"custody")</f>
        <v>0</v>
      </c>
      <c r="I67" s="145">
        <f>SUMIFS('caseload data'!K:K,'caseload data'!$D:$D,"PSO",'caseload data'!$C:$C,'custody caseload'!$B$64,'caseload data'!$B:$B,"custody")</f>
        <v>0</v>
      </c>
      <c r="J67" s="145">
        <f>SUMIFS('caseload data'!L:L,'caseload data'!$D:$D,"PSO",'caseload data'!$C:$C,'custody caseload'!$B$64,'caseload data'!$B:$B,"custody")</f>
        <v>0</v>
      </c>
      <c r="K67" s="94">
        <f>SUMIFS('caseload data'!M:M,'caseload data'!$D:$D,"PSO",'caseload data'!$C:$C,'custody caseload'!$B$64,'caseload data'!$B:$B,"custody")</f>
        <v>0</v>
      </c>
      <c r="L67" s="94">
        <f>SUMIFS('caseload data'!N:N,'caseload data'!$D:$D,"PSO",'caseload data'!$C:$C,'custody caseload'!$B$64,'caseload data'!$B:$B,"custody")</f>
        <v>0</v>
      </c>
      <c r="M67" s="94">
        <f>SUMIFS('caseload data'!O:O,'caseload data'!$D:$D,"PSO",'caseload data'!$C:$C,'custody caseload'!$B$64,'caseload data'!$B:$B,"custody")</f>
        <v>0</v>
      </c>
      <c r="N67" s="94">
        <f>SUMIFS('caseload data'!P:P,'caseload data'!$D:$D,"PSO",'caseload data'!$C:$C,'custody caseload'!$B$64,'caseload data'!$B:$B,"custody")</f>
        <v>0</v>
      </c>
      <c r="O67" s="94">
        <f>SUMIFS('caseload data'!Q:Q,'caseload data'!$D:$D,"PSO",'caseload data'!$C:$C,'custody caseload'!$B$64,'caseload data'!$B:$B,"custody")</f>
        <v>0</v>
      </c>
      <c r="P67" s="94">
        <f>SUMIFS('caseload data'!R:R,'caseload data'!$D:$D,"PSO",'caseload data'!$C:$C,'custody caseload'!$B$64,'caseload data'!$B:$B,"custody")</f>
        <v>0</v>
      </c>
      <c r="Q67" s="94">
        <f>SUMIFS('caseload data'!S:S,'caseload data'!$D:$D,"PSO",'caseload data'!$C:$C,'custody caseload'!$B$64,'caseload data'!$B:$B,"custody")</f>
        <v>0</v>
      </c>
      <c r="R67" s="94">
        <f>SUMIFS('caseload data'!T:T,'caseload data'!$D:$D,"PSO",'caseload data'!$C:$C,'custody caseload'!$B$64,'caseload data'!$B:$B,"custody")</f>
        <v>0</v>
      </c>
      <c r="S67" s="64"/>
      <c r="T67" s="97" t="s">
        <v>952</v>
      </c>
      <c r="U67" s="145">
        <f>SUMIFS('caseload data'!E:E,'caseload data'!$D:$D,"PSO",'caseload data'!$C:$C,'custody caseload'!$T$64,'caseload data'!$B:$B,"custody")</f>
        <v>0</v>
      </c>
      <c r="V67" s="145">
        <f>SUMIFS('caseload data'!F:F,'caseload data'!$D:$D,"PSO",'caseload data'!$C:$C,'custody caseload'!$T$64,'caseload data'!$B:$B,"custody")</f>
        <v>0</v>
      </c>
      <c r="W67" s="145">
        <f>SUMIFS('caseload data'!G:G,'caseload data'!$D:$D,"PSO",'caseload data'!$C:$C,'custody caseload'!$T$64,'caseload data'!$B:$B,"custody")</f>
        <v>0</v>
      </c>
      <c r="X67" s="145">
        <f>SUMIFS('caseload data'!H:H,'caseload data'!$D:$D,"PSO",'caseload data'!$C:$C,'custody caseload'!$T$64,'caseload data'!$B:$B,"custody")</f>
        <v>0</v>
      </c>
      <c r="Y67" s="145">
        <f>SUMIFS('caseload data'!I:I,'caseload data'!$D:$D,"PSO",'caseload data'!$C:$C,'custody caseload'!$T$64,'caseload data'!$B:$B,"custody")</f>
        <v>0</v>
      </c>
      <c r="Z67" s="145">
        <f>SUMIFS('caseload data'!J:J,'caseload data'!$D:$D,"PSO",'caseload data'!$C:$C,'custody caseload'!$T$64,'caseload data'!$B:$B,"custody")</f>
        <v>0</v>
      </c>
      <c r="AA67" s="145">
        <f>SUMIFS('caseload data'!K:K,'caseload data'!$D:$D,"PSO",'caseload data'!$C:$C,'custody caseload'!$T$64,'caseload data'!$B:$B,"custody")</f>
        <v>0</v>
      </c>
      <c r="AB67" s="145">
        <f>SUMIFS('caseload data'!L:L,'caseload data'!$D:$D,"PSO",'caseload data'!$C:$C,'custody caseload'!$T$64,'caseload data'!$B:$B,"custody")</f>
        <v>0</v>
      </c>
      <c r="AC67" s="94">
        <f>SUMIFS('caseload data'!M:M,'caseload data'!$D:$D,"PSO",'caseload data'!$C:$C,'custody caseload'!$T$64,'caseload data'!$B:$B,"custody")</f>
        <v>0</v>
      </c>
      <c r="AD67" s="94">
        <f>SUMIFS('caseload data'!N:N,'caseload data'!$D:$D,"PSO",'caseload data'!$C:$C,'custody caseload'!$T$64,'caseload data'!$B:$B,"custody")</f>
        <v>0</v>
      </c>
      <c r="AE67" s="94">
        <f>SUMIFS('caseload data'!O:O,'caseload data'!$D:$D,"PSO",'caseload data'!$C:$C,'custody caseload'!$T$64,'caseload data'!$B:$B,"custody")</f>
        <v>0</v>
      </c>
      <c r="AF67" s="94">
        <f>SUMIFS('caseload data'!P:P,'caseload data'!$D:$D,"PSO",'caseload data'!$C:$C,'custody caseload'!$T$64,'caseload data'!$B:$B,"custody")</f>
        <v>0</v>
      </c>
      <c r="AG67" s="94">
        <f>SUMIFS('caseload data'!Q:Q,'caseload data'!$D:$D,"PSO",'caseload data'!$C:$C,'custody caseload'!$T$64,'caseload data'!$B:$B,"custody")</f>
        <v>0</v>
      </c>
      <c r="AH67" s="94">
        <f>SUMIFS('caseload data'!R:R,'caseload data'!$D:$D,"PSO",'caseload data'!$C:$C,'custody caseload'!$T$64,'caseload data'!$B:$B,"custody")</f>
        <v>0</v>
      </c>
      <c r="AI67" s="94">
        <f>SUMIFS('caseload data'!S:S,'caseload data'!$D:$D,"PSO",'caseload data'!$C:$C,'custody caseload'!$T$64,'caseload data'!$B:$B,"custody")</f>
        <v>0</v>
      </c>
      <c r="AJ67" s="94">
        <f>SUMIFS('caseload data'!T:T,'caseload data'!$D:$D,"PSO",'caseload data'!$C:$C,'custody caseload'!$T$64,'caseload data'!$B:$B,"custody")</f>
        <v>0</v>
      </c>
    </row>
    <row r="68" spans="2:36" ht="15" x14ac:dyDescent="0.2">
      <c r="B68" s="97" t="s">
        <v>953</v>
      </c>
      <c r="C68" s="145">
        <f>SUMIFS('caseload data'!E:E,'caseload data'!$D:$D,"TPO",'caseload data'!$C:$C,'custody caseload'!$B$64,'caseload data'!$B:$B,"custody")</f>
        <v>0</v>
      </c>
      <c r="D68" s="145">
        <f>SUMIFS('caseload data'!F:F,'caseload data'!$D:$D,"TPO",'caseload data'!$C:$C,'custody caseload'!$B$64,'caseload data'!$B:$B,"custody")</f>
        <v>0</v>
      </c>
      <c r="E68" s="145">
        <f>SUMIFS('caseload data'!G:G,'caseload data'!$D:$D,"TPO",'caseload data'!$C:$C,'custody caseload'!$B$64,'caseload data'!$B:$B,"custody")</f>
        <v>0</v>
      </c>
      <c r="F68" s="145">
        <f>SUMIFS('caseload data'!H:H,'caseload data'!$D:$D,"TPO",'caseload data'!$C:$C,'custody caseload'!$B$64,'caseload data'!$B:$B,"custody")</f>
        <v>0</v>
      </c>
      <c r="G68" s="145">
        <f>SUMIFS('caseload data'!I:I,'caseload data'!$D:$D,"TPO",'caseload data'!$C:$C,'custody caseload'!$B$64,'caseload data'!$B:$B,"custody")</f>
        <v>0</v>
      </c>
      <c r="H68" s="145">
        <f>SUMIFS('caseload data'!J:J,'caseload data'!$D:$D,"TPO",'caseload data'!$C:$C,'custody caseload'!$B$64,'caseload data'!$B:$B,"custody")</f>
        <v>0</v>
      </c>
      <c r="I68" s="145">
        <f>SUMIFS('caseload data'!K:K,'caseload data'!$D:$D,"TPO",'caseload data'!$C:$C,'custody caseload'!$B$64,'caseload data'!$B:$B,"custody")</f>
        <v>0</v>
      </c>
      <c r="J68" s="145">
        <f>SUMIFS('caseload data'!L:L,'caseload data'!$D:$D,"TPO",'caseload data'!$C:$C,'custody caseload'!$B$64,'caseload data'!$B:$B,"custody")</f>
        <v>0</v>
      </c>
      <c r="K68" s="94">
        <f>SUMIFS('caseload data'!M:M,'caseload data'!$D:$D,"TPO",'caseload data'!$C:$C,'custody caseload'!$B$64,'caseload data'!$B:$B,"custody")</f>
        <v>0</v>
      </c>
      <c r="L68" s="94">
        <f>SUMIFS('caseload data'!N:N,'caseload data'!$D:$D,"TPO",'caseload data'!$C:$C,'custody caseload'!$B$64,'caseload data'!$B:$B,"custody")</f>
        <v>0</v>
      </c>
      <c r="M68" s="94">
        <f>SUMIFS('caseload data'!O:O,'caseload data'!$D:$D,"TPO",'caseload data'!$C:$C,'custody caseload'!$B$64,'caseload data'!$B:$B,"custody")</f>
        <v>0</v>
      </c>
      <c r="N68" s="94">
        <f>SUMIFS('caseload data'!P:P,'caseload data'!$D:$D,"TPO",'caseload data'!$C:$C,'custody caseload'!$B$64,'caseload data'!$B:$B,"custody")</f>
        <v>0</v>
      </c>
      <c r="O68" s="94">
        <f>SUMIFS('caseload data'!Q:Q,'caseload data'!$D:$D,"TPO",'caseload data'!$C:$C,'custody caseload'!$B$64,'caseload data'!$B:$B,"custody")</f>
        <v>0</v>
      </c>
      <c r="P68" s="94">
        <f>SUMIFS('caseload data'!R:R,'caseload data'!$D:$D,"TPO",'caseload data'!$C:$C,'custody caseload'!$B$64,'caseload data'!$B:$B,"custody")</f>
        <v>0</v>
      </c>
      <c r="Q68" s="94">
        <f>SUMIFS('caseload data'!S:S,'caseload data'!$D:$D,"TPO",'caseload data'!$C:$C,'custody caseload'!$B$64,'caseload data'!$B:$B,"custody")</f>
        <v>0</v>
      </c>
      <c r="R68" s="94">
        <f>SUMIFS('caseload data'!T:T,'caseload data'!$D:$D,"TPO",'caseload data'!$C:$C,'custody caseload'!$B$64,'caseload data'!$B:$B,"custody")</f>
        <v>0</v>
      </c>
      <c r="S68" s="64"/>
      <c r="T68" s="97" t="s">
        <v>953</v>
      </c>
      <c r="U68" s="145">
        <f>SUMIFS('caseload data'!E:E,'caseload data'!$D:$D,"TPO",'caseload data'!$C:$C,'custody caseload'!$T$64,'caseload data'!$B:$B,"custody")</f>
        <v>0</v>
      </c>
      <c r="V68" s="145">
        <f>SUMIFS('caseload data'!F:F,'caseload data'!$D:$D,"TPO",'caseload data'!$C:$C,'custody caseload'!$T$64,'caseload data'!$B:$B,"custody")</f>
        <v>0</v>
      </c>
      <c r="W68" s="145">
        <f>SUMIFS('caseload data'!G:G,'caseload data'!$D:$D,"TPO",'caseload data'!$C:$C,'custody caseload'!$T$64,'caseload data'!$B:$B,"custody")</f>
        <v>0</v>
      </c>
      <c r="X68" s="145">
        <f>SUMIFS('caseload data'!H:H,'caseload data'!$D:$D,"TPO",'caseload data'!$C:$C,'custody caseload'!$T$64,'caseload data'!$B:$B,"custody")</f>
        <v>0</v>
      </c>
      <c r="Y68" s="145">
        <f>SUMIFS('caseload data'!I:I,'caseload data'!$D:$D,"TPO",'caseload data'!$C:$C,'custody caseload'!$T$64,'caseload data'!$B:$B,"custody")</f>
        <v>0</v>
      </c>
      <c r="Z68" s="145">
        <f>SUMIFS('caseload data'!J:J,'caseload data'!$D:$D,"TPO",'caseload data'!$C:$C,'custody caseload'!$T$64,'caseload data'!$B:$B,"custody")</f>
        <v>0</v>
      </c>
      <c r="AA68" s="145">
        <f>SUMIFS('caseload data'!K:K,'caseload data'!$D:$D,"TPO",'caseload data'!$C:$C,'custody caseload'!$T$64,'caseload data'!$B:$B,"custody")</f>
        <v>0</v>
      </c>
      <c r="AB68" s="145">
        <f>SUMIFS('caseload data'!L:L,'caseload data'!$D:$D,"TPO",'caseload data'!$C:$C,'custody caseload'!$T$64,'caseload data'!$B:$B,"custody")</f>
        <v>0</v>
      </c>
      <c r="AC68" s="94">
        <f>SUMIFS('caseload data'!M:M,'caseload data'!$D:$D,"TPO",'caseload data'!$C:$C,'custody caseload'!$T$64,'caseload data'!$B:$B,"custody")</f>
        <v>0</v>
      </c>
      <c r="AD68" s="94">
        <f>SUMIFS('caseload data'!N:N,'caseload data'!$D:$D,"TPO",'caseload data'!$C:$C,'custody caseload'!$T$64,'caseload data'!$B:$B,"custody")</f>
        <v>0</v>
      </c>
      <c r="AE68" s="94">
        <f>SUMIFS('caseload data'!O:O,'caseload data'!$D:$D,"TPO",'caseload data'!$C:$C,'custody caseload'!$T$64,'caseload data'!$B:$B,"custody")</f>
        <v>0</v>
      </c>
      <c r="AF68" s="94">
        <f>SUMIFS('caseload data'!P:P,'caseload data'!$D:$D,"TPO",'caseload data'!$C:$C,'custody caseload'!$T$64,'caseload data'!$B:$B,"custody")</f>
        <v>0</v>
      </c>
      <c r="AG68" s="94">
        <f>SUMIFS('caseload data'!Q:Q,'caseload data'!$D:$D,"TPO",'caseload data'!$C:$C,'custody caseload'!$T$64,'caseload data'!$B:$B,"custody")</f>
        <v>0</v>
      </c>
      <c r="AH68" s="94">
        <f>SUMIFS('caseload data'!R:R,'caseload data'!$D:$D,"TPO",'caseload data'!$C:$C,'custody caseload'!$T$64,'caseload data'!$B:$B,"custody")</f>
        <v>0</v>
      </c>
      <c r="AI68" s="94">
        <f>SUMIFS('caseload data'!S:S,'caseload data'!$D:$D,"TPO",'caseload data'!$C:$C,'custody caseload'!$T$64,'caseload data'!$B:$B,"custody")</f>
        <v>0</v>
      </c>
      <c r="AJ68" s="94">
        <f>SUMIFS('caseload data'!T:T,'caseload data'!$D:$D,"TPO",'caseload data'!$C:$C,'custody caseload'!$T$64,'caseload data'!$B:$B,"custody")</f>
        <v>0</v>
      </c>
    </row>
    <row r="69" spans="2:36" x14ac:dyDescent="0.15">
      <c r="B69" s="98" t="s">
        <v>954</v>
      </c>
      <c r="C69" s="94">
        <f>SUMIFS('caseload data'!E:E,'caseload data'!$D:$D,"SPO",'caseload data'!$C:$C,'custody caseload'!$B$64,'caseload data'!$B:$B,"custody")</f>
        <v>0</v>
      </c>
      <c r="D69" s="94">
        <f>SUMIFS('caseload data'!F:F,'caseload data'!$D:$D,"SPO",'caseload data'!$C:$C,'custody caseload'!$B$64,'caseload data'!$B:$B,"custody")</f>
        <v>0</v>
      </c>
      <c r="E69" s="94">
        <f>SUMIFS('caseload data'!G:G,'caseload data'!$D:$D,"SPO",'caseload data'!$C:$C,'custody caseload'!$B$64,'caseload data'!$B:$B,"custody")</f>
        <v>0</v>
      </c>
      <c r="F69" s="94">
        <f>SUMIFS('caseload data'!H:H,'caseload data'!$D:$D,"SPO",'caseload data'!$C:$C,'custody caseload'!$B$64,'caseload data'!$B:$B,"custody")</f>
        <v>0</v>
      </c>
      <c r="G69" s="94">
        <f>SUMIFS('caseload data'!I:I,'caseload data'!$D:$D,"SPO",'caseload data'!$C:$C,'custody caseload'!$B$64,'caseload data'!$B:$B,"custody")</f>
        <v>0</v>
      </c>
      <c r="H69" s="94">
        <f>SUMIFS('caseload data'!J:J,'caseload data'!$D:$D,"SPO",'caseload data'!$C:$C,'custody caseload'!$B$64,'caseload data'!$B:$B,"custody")</f>
        <v>0</v>
      </c>
      <c r="I69" s="94">
        <f>SUMIFS('caseload data'!K:K,'caseload data'!$D:$D,"SPO",'caseload data'!$C:$C,'custody caseload'!$B$64,'caseload data'!$B:$B,"custody")</f>
        <v>0</v>
      </c>
      <c r="J69" s="94">
        <f>SUMIFS('caseload data'!L:L,'caseload data'!$D:$D,"SPO",'caseload data'!$C:$C,'custody caseload'!$B$64,'caseload data'!$B:$B,"custody")</f>
        <v>0</v>
      </c>
      <c r="K69" s="94">
        <f>SUMIFS('caseload data'!M:M,'caseload data'!$D:$D,"SPO",'caseload data'!$C:$C,'custody caseload'!$B$64,'caseload data'!$B:$B,"custody")</f>
        <v>0</v>
      </c>
      <c r="L69" s="94">
        <f>SUMIFS('caseload data'!N:N,'caseload data'!$D:$D,"SPO",'caseload data'!$C:$C,'custody caseload'!$B$64,'caseload data'!$B:$B,"custody")</f>
        <v>0</v>
      </c>
      <c r="M69" s="94">
        <f>SUMIFS('caseload data'!O:O,'caseload data'!$D:$D,"SPO",'caseload data'!$C:$C,'custody caseload'!$B$64,'caseload data'!$B:$B,"custody")</f>
        <v>0</v>
      </c>
      <c r="N69" s="94">
        <f>SUMIFS('caseload data'!P:P,'caseload data'!$D:$D,"SPO",'caseload data'!$C:$C,'custody caseload'!$B$64,'caseload data'!$B:$B,"custody")</f>
        <v>0</v>
      </c>
      <c r="O69" s="94">
        <f>SUMIFS('caseload data'!Q:Q,'caseload data'!$D:$D,"SPO",'caseload data'!$C:$C,'custody caseload'!$B$64,'caseload data'!$B:$B,"custody")</f>
        <v>0</v>
      </c>
      <c r="P69" s="94">
        <f>SUMIFS('caseload data'!R:R,'caseload data'!$D:$D,"SPO",'caseload data'!$C:$C,'custody caseload'!$B$64,'caseload data'!$B:$B,"custody")</f>
        <v>0</v>
      </c>
      <c r="Q69" s="94">
        <f>SUMIFS('caseload data'!S:S,'caseload data'!$D:$D,"SPO",'caseload data'!$C:$C,'custody caseload'!$B$64,'caseload data'!$B:$B,"custody")</f>
        <v>0</v>
      </c>
      <c r="R69" s="94">
        <f>SUMIFS('caseload data'!T:T,'caseload data'!$D:$D,"SPO",'caseload data'!$C:$C,'custody caseload'!$B$64,'caseload data'!$B:$B,"custody")</f>
        <v>0</v>
      </c>
      <c r="S69" s="64"/>
      <c r="T69" s="98" t="s">
        <v>954</v>
      </c>
      <c r="U69" s="94">
        <f>SUMIFS('caseload data'!E:E,'caseload data'!$D:$D,"SPO",'caseload data'!$C:$C,'custody caseload'!$T$64,'caseload data'!$B:$B,"custody")</f>
        <v>0</v>
      </c>
      <c r="V69" s="94">
        <f>SUMIFS('caseload data'!F:F,'caseload data'!$D:$D,"SPO",'caseload data'!$C:$C,'custody caseload'!$T$64,'caseload data'!$B:$B,"custody")</f>
        <v>0</v>
      </c>
      <c r="W69" s="94">
        <f>SUMIFS('caseload data'!G:G,'caseload data'!$D:$D,"SPO",'caseload data'!$C:$C,'custody caseload'!$T$64,'caseload data'!$B:$B,"custody")</f>
        <v>0</v>
      </c>
      <c r="X69" s="94">
        <f>SUMIFS('caseload data'!H:H,'caseload data'!$D:$D,"SPO",'caseload data'!$C:$C,'custody caseload'!$T$64,'caseload data'!$B:$B,"custody")</f>
        <v>0</v>
      </c>
      <c r="Y69" s="94">
        <f>SUMIFS('caseload data'!I:I,'caseload data'!$D:$D,"SPO",'caseload data'!$C:$C,'custody caseload'!$T$64,'caseload data'!$B:$B,"custody")</f>
        <v>0</v>
      </c>
      <c r="Z69" s="94">
        <f>SUMIFS('caseload data'!J:J,'caseload data'!$D:$D,"SPO",'caseload data'!$C:$C,'custody caseload'!$T$64,'caseload data'!$B:$B,"custody")</f>
        <v>0</v>
      </c>
      <c r="AA69" s="94">
        <f>SUMIFS('caseload data'!K:K,'caseload data'!$D:$D,"SPO",'caseload data'!$C:$C,'custody caseload'!$T$64,'caseload data'!$B:$B,"custody")</f>
        <v>0</v>
      </c>
      <c r="AB69" s="94">
        <f>SUMIFS('caseload data'!L:L,'caseload data'!$D:$D,"SPO",'caseload data'!$C:$C,'custody caseload'!$T$64,'caseload data'!$B:$B,"custody")</f>
        <v>0</v>
      </c>
      <c r="AC69" s="94">
        <f>SUMIFS('caseload data'!M:M,'caseload data'!$D:$D,"SPO",'caseload data'!$C:$C,'custody caseload'!$T$64,'caseload data'!$B:$B,"custody")</f>
        <v>0</v>
      </c>
      <c r="AD69" s="94">
        <f>SUMIFS('caseload data'!N:N,'caseload data'!$D:$D,"SPO",'caseload data'!$C:$C,'custody caseload'!$T$64,'caseload data'!$B:$B,"custody")</f>
        <v>0</v>
      </c>
      <c r="AE69" s="94">
        <f>SUMIFS('caseload data'!O:O,'caseload data'!$D:$D,"SPO",'caseload data'!$C:$C,'custody caseload'!$T$64,'caseload data'!$B:$B,"custody")</f>
        <v>0</v>
      </c>
      <c r="AF69" s="94">
        <f>SUMIFS('caseload data'!P:P,'caseload data'!$D:$D,"SPO",'caseload data'!$C:$C,'custody caseload'!$T$64,'caseload data'!$B:$B,"custody")</f>
        <v>0</v>
      </c>
      <c r="AG69" s="94">
        <f>SUMIFS('caseload data'!Q:Q,'caseload data'!$D:$D,"SPO",'caseload data'!$C:$C,'custody caseload'!$T$64,'caseload data'!$B:$B,"custody")</f>
        <v>0</v>
      </c>
      <c r="AH69" s="94">
        <f>SUMIFS('caseload data'!R:R,'caseload data'!$D:$D,"SPO",'caseload data'!$C:$C,'custody caseload'!$T$64,'caseload data'!$B:$B,"custody")</f>
        <v>0</v>
      </c>
      <c r="AI69" s="94">
        <f>SUMIFS('caseload data'!S:S,'caseload data'!$D:$D,"SPO",'caseload data'!$C:$C,'custody caseload'!$T$64,'caseload data'!$B:$B,"custody")</f>
        <v>0</v>
      </c>
      <c r="AJ69" s="94">
        <f>SUMIFS('caseload data'!T:T,'caseload data'!$D:$D,"SPO",'caseload data'!$C:$C,'custody caseload'!$T$64,'caseload data'!$B:$B,"custody")</f>
        <v>0</v>
      </c>
    </row>
    <row r="71" spans="2:36" ht="22.5" customHeight="1" x14ac:dyDescent="0.15">
      <c r="B71" s="142">
        <f>HLOOKUP($B$5,Region_Table,20,0)</f>
        <v>0</v>
      </c>
      <c r="C71" s="556" t="s">
        <v>1073</v>
      </c>
      <c r="D71" s="557"/>
      <c r="E71" s="557"/>
      <c r="F71" s="557"/>
      <c r="G71" s="557"/>
      <c r="H71" s="557"/>
      <c r="I71" s="557"/>
      <c r="J71" s="557"/>
      <c r="K71" s="557"/>
      <c r="L71" s="557"/>
      <c r="M71" s="566"/>
      <c r="N71" s="566"/>
      <c r="O71" s="567"/>
      <c r="P71" s="543">
        <f>SUMIFS('caseload data'!V:V,'caseload data'!B:B,"custody",'caseload data'!$C:$C,'custody caseload'!B71)</f>
        <v>0</v>
      </c>
      <c r="Q71" s="560"/>
      <c r="R71" s="561"/>
      <c r="T71" s="142">
        <f>HLOOKUP($B$5,Region_Table,21,0)</f>
        <v>0</v>
      </c>
      <c r="U71" s="556" t="s">
        <v>1073</v>
      </c>
      <c r="V71" s="557"/>
      <c r="W71" s="557"/>
      <c r="X71" s="557"/>
      <c r="Y71" s="557"/>
      <c r="Z71" s="557"/>
      <c r="AA71" s="557"/>
      <c r="AB71" s="557"/>
      <c r="AC71" s="557"/>
      <c r="AD71" s="557"/>
      <c r="AE71" s="566"/>
      <c r="AF71" s="566"/>
      <c r="AG71" s="567"/>
      <c r="AH71" s="543">
        <f>SUMIFS('caseload data'!V:V,'caseload data'!B:B,"custody",'caseload data'!$C:$C,'custody caseload'!T71)</f>
        <v>0</v>
      </c>
      <c r="AI71" s="560"/>
      <c r="AJ71" s="561"/>
    </row>
    <row r="72" spans="2:36" x14ac:dyDescent="0.15">
      <c r="B72" s="95" t="s">
        <v>951</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951</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94">
        <f>SUMIFS('caseload data'!E:E,'caseload data'!$D:$D,"PO",'caseload data'!$C:$C,'custody caseload'!$B$71,'caseload data'!$B:$B,"custody")</f>
        <v>0</v>
      </c>
      <c r="D73" s="94">
        <f>SUMIFS('caseload data'!F:F,'caseload data'!$D:$D,"PO",'caseload data'!$C:$C,'custody caseload'!$B$71,'caseload data'!$B:$B,"custody")</f>
        <v>0</v>
      </c>
      <c r="E73" s="94">
        <f>SUMIFS('caseload data'!G:G,'caseload data'!$D:$D,"PO",'caseload data'!$C:$C,'custody caseload'!$B$71,'caseload data'!$B:$B,"custody")</f>
        <v>0</v>
      </c>
      <c r="F73" s="94">
        <f>SUMIFS('caseload data'!H:H,'caseload data'!$D:$D,"PO",'caseload data'!$C:$C,'custody caseload'!$B$71,'caseload data'!$B:$B,"custody")</f>
        <v>0</v>
      </c>
      <c r="G73" s="94">
        <f>SUMIFS('caseload data'!I:I,'caseload data'!$D:$D,"PO",'caseload data'!$C:$C,'custody caseload'!$B$71,'caseload data'!$B:$B,"custody")</f>
        <v>0</v>
      </c>
      <c r="H73" s="94">
        <f>SUMIFS('caseload data'!J:J,'caseload data'!$D:$D,"PO",'caseload data'!$C:$C,'custody caseload'!$B$71,'caseload data'!$B:$B,"custody")</f>
        <v>0</v>
      </c>
      <c r="I73" s="94">
        <f>SUMIFS('caseload data'!K:K,'caseload data'!$D:$D,"PO",'caseload data'!$C:$C,'custody caseload'!$B$71,'caseload data'!$B:$B,"custody")</f>
        <v>0</v>
      </c>
      <c r="J73" s="94">
        <f>SUMIFS('caseload data'!L:L,'caseload data'!$D:$D,"PO",'caseload data'!$C:$C,'custody caseload'!$B$71,'caseload data'!$B:$B,"custody")</f>
        <v>0</v>
      </c>
      <c r="K73" s="94">
        <f>SUMIFS('caseload data'!M:M,'caseload data'!$D:$D,"PO",'caseload data'!$C:$C,'custody caseload'!$B$71,'caseload data'!$B:$B,"custody")</f>
        <v>0</v>
      </c>
      <c r="L73" s="94">
        <f>SUMIFS('caseload data'!N:N,'caseload data'!$D:$D,"PO",'caseload data'!$C:$C,'custody caseload'!$B$71,'caseload data'!$B:$B,"custody")</f>
        <v>0</v>
      </c>
      <c r="M73" s="94">
        <f>SUMIFS('caseload data'!O:O,'caseload data'!$D:$D,"PO",'caseload data'!$C:$C,'custody caseload'!$B$71,'caseload data'!$B:$B,"custody")</f>
        <v>0</v>
      </c>
      <c r="N73" s="94">
        <f>SUMIFS('caseload data'!P:P,'caseload data'!$D:$D,"PO",'caseload data'!$C:$C,'custody caseload'!$B$71,'caseload data'!$B:$B,"custody")</f>
        <v>0</v>
      </c>
      <c r="O73" s="94">
        <f>SUMIFS('caseload data'!Q:Q,'caseload data'!$D:$D,"PO",'caseload data'!$C:$C,'custody caseload'!$B$71,'caseload data'!$B:$B,"custody")</f>
        <v>0</v>
      </c>
      <c r="P73" s="94">
        <f>SUMIFS('caseload data'!R:R,'caseload data'!$D:$D,"PO",'caseload data'!$C:$C,'custody caseload'!$B$71,'caseload data'!$B:$B,"custody")</f>
        <v>0</v>
      </c>
      <c r="Q73" s="94">
        <f>SUMIFS('caseload data'!S:S,'caseload data'!$D:$D,"PO",'caseload data'!$C:$C,'custody caseload'!$B$71,'caseload data'!$B:$B,"custody")</f>
        <v>0</v>
      </c>
      <c r="R73" s="94">
        <f>SUMIFS('caseload data'!T:T,'caseload data'!$D:$D,"PO",'caseload data'!$C:$C,'custody caseload'!$B$71,'caseload data'!$B:$B,"custody")</f>
        <v>0</v>
      </c>
      <c r="T73" s="96" t="s">
        <v>947</v>
      </c>
      <c r="U73" s="94">
        <f>SUMIFS('caseload data'!E:E,'caseload data'!$D:$D,"PO",'caseload data'!$C:$C,'custody caseload'!$T$71,'caseload data'!$B:$B,"custody")</f>
        <v>0</v>
      </c>
      <c r="V73" s="94">
        <f>SUMIFS('caseload data'!F:F,'caseload data'!$D:$D,"PO",'caseload data'!$C:$C,'custody caseload'!$T$71,'caseload data'!$B:$B,"custody")</f>
        <v>0</v>
      </c>
      <c r="W73" s="94">
        <f>SUMIFS('caseload data'!G:G,'caseload data'!$D:$D,"PO",'caseload data'!$C:$C,'custody caseload'!$T$71,'caseload data'!$B:$B,"custody")</f>
        <v>0</v>
      </c>
      <c r="X73" s="94">
        <f>SUMIFS('caseload data'!H:H,'caseload data'!$D:$D,"PO",'caseload data'!$C:$C,'custody caseload'!$T$71,'caseload data'!$B:$B,"custody")</f>
        <v>0</v>
      </c>
      <c r="Y73" s="94">
        <f>SUMIFS('caseload data'!I:I,'caseload data'!$D:$D,"PO",'caseload data'!$C:$C,'custody caseload'!$T$71,'caseload data'!$B:$B,"custody")</f>
        <v>0</v>
      </c>
      <c r="Z73" s="94">
        <f>SUMIFS('caseload data'!J:J,'caseload data'!$D:$D,"PO",'caseload data'!$C:$C,'custody caseload'!$T$71,'caseload data'!$B:$B,"custody")</f>
        <v>0</v>
      </c>
      <c r="AA73" s="94">
        <f>SUMIFS('caseload data'!K:K,'caseload data'!$D:$D,"PO",'caseload data'!$C:$C,'custody caseload'!$T$71,'caseload data'!$B:$B,"custody")</f>
        <v>0</v>
      </c>
      <c r="AB73" s="94">
        <f>SUMIFS('caseload data'!L:L,'caseload data'!$D:$D,"PO",'caseload data'!$C:$C,'custody caseload'!$T$71,'caseload data'!$B:$B,"custody")</f>
        <v>0</v>
      </c>
      <c r="AC73" s="94">
        <f>SUMIFS('caseload data'!M:M,'caseload data'!$D:$D,"PO",'caseload data'!$C:$C,'custody caseload'!$T$71,'caseload data'!$B:$B,"custody")</f>
        <v>0</v>
      </c>
      <c r="AD73" s="94">
        <f>SUMIFS('caseload data'!N:N,'caseload data'!$D:$D,"PO",'caseload data'!$C:$C,'custody caseload'!$T$71,'caseload data'!$B:$B,"custody")</f>
        <v>0</v>
      </c>
      <c r="AE73" s="94">
        <f>SUMIFS('caseload data'!O:O,'caseload data'!$D:$D,"PO",'caseload data'!$C:$C,'custody caseload'!$T$71,'caseload data'!$B:$B,"custody")</f>
        <v>0</v>
      </c>
      <c r="AF73" s="94">
        <f>SUMIFS('caseload data'!P:P,'caseload data'!$D:$D,"PO",'caseload data'!$C:$C,'custody caseload'!$T$71,'caseload data'!$B:$B,"custody")</f>
        <v>0</v>
      </c>
      <c r="AG73" s="94">
        <f>SUMIFS('caseload data'!Q:Q,'caseload data'!$D:$D,"PO",'caseload data'!$C:$C,'custody caseload'!$T$71,'caseload data'!$B:$B,"custody")</f>
        <v>0</v>
      </c>
      <c r="AH73" s="94">
        <f>SUMIFS('caseload data'!R:R,'caseload data'!$D:$D,"PO",'caseload data'!$C:$C,'custody caseload'!$T$71,'caseload data'!$B:$B,"custody")</f>
        <v>0</v>
      </c>
      <c r="AI73" s="94">
        <f>SUMIFS('caseload data'!S:S,'caseload data'!$D:$D,"PO",'caseload data'!$C:$C,'custody caseload'!$T$71,'caseload data'!$B:$B,"custody")</f>
        <v>0</v>
      </c>
      <c r="AJ73" s="94">
        <f>SUMIFS('caseload data'!T:T,'caseload data'!$D:$D,"PO",'caseload data'!$C:$C,'custody caseload'!$T$71,'caseload data'!$B:$B,"custody")</f>
        <v>0</v>
      </c>
    </row>
    <row r="74" spans="2:36" ht="15" x14ac:dyDescent="0.2">
      <c r="B74" s="97" t="s">
        <v>952</v>
      </c>
      <c r="C74" s="145">
        <f>SUMIFS('caseload data'!E:E,'caseload data'!$D:$D,"PSO",'caseload data'!$C:$C,'custody caseload'!$B$71,'caseload data'!$B:$B,"custody")</f>
        <v>0</v>
      </c>
      <c r="D74" s="145">
        <f>SUMIFS('caseload data'!F:F,'caseload data'!$D:$D,"PSO",'caseload data'!$C:$C,'custody caseload'!$B$71,'caseload data'!$B:$B,"custody")</f>
        <v>0</v>
      </c>
      <c r="E74" s="145">
        <f>SUMIFS('caseload data'!G:G,'caseload data'!$D:$D,"PSO",'caseload data'!$C:$C,'custody caseload'!$B$71,'caseload data'!$B:$B,"custody")</f>
        <v>0</v>
      </c>
      <c r="F74" s="145">
        <f>SUMIFS('caseload data'!H:H,'caseload data'!$D:$D,"PSO",'caseload data'!$C:$C,'custody caseload'!$B$71,'caseload data'!$B:$B,"custody")</f>
        <v>0</v>
      </c>
      <c r="G74" s="145">
        <f>SUMIFS('caseload data'!I:I,'caseload data'!$D:$D,"PSO",'caseload data'!$C:$C,'custody caseload'!$B$71,'caseload data'!$B:$B,"custody")</f>
        <v>0</v>
      </c>
      <c r="H74" s="145">
        <f>SUMIFS('caseload data'!J:J,'caseload data'!$D:$D,"PSO",'caseload data'!$C:$C,'custody caseload'!$B$71,'caseload data'!$B:$B,"custody")</f>
        <v>0</v>
      </c>
      <c r="I74" s="145">
        <f>SUMIFS('caseload data'!K:K,'caseload data'!$D:$D,"PSO",'caseload data'!$C:$C,'custody caseload'!$B$71,'caseload data'!$B:$B,"custody")</f>
        <v>0</v>
      </c>
      <c r="J74" s="145">
        <f>SUMIFS('caseload data'!L:L,'caseload data'!$D:$D,"PSO",'caseload data'!$C:$C,'custody caseload'!$B$71,'caseload data'!$B:$B,"custody")</f>
        <v>0</v>
      </c>
      <c r="K74" s="94">
        <f>SUMIFS('caseload data'!M:M,'caseload data'!$D:$D,"PSO",'caseload data'!$C:$C,'custody caseload'!$B$71,'caseload data'!$B:$B,"custody")</f>
        <v>0</v>
      </c>
      <c r="L74" s="94">
        <f>SUMIFS('caseload data'!N:N,'caseload data'!$D:$D,"PSO",'caseload data'!$C:$C,'custody caseload'!$B$71,'caseload data'!$B:$B,"custody")</f>
        <v>0</v>
      </c>
      <c r="M74" s="94">
        <f>SUMIFS('caseload data'!O:O,'caseload data'!$D:$D,"PSO",'caseload data'!$C:$C,'custody caseload'!$B$71,'caseload data'!$B:$B,"custody")</f>
        <v>0</v>
      </c>
      <c r="N74" s="94">
        <f>SUMIFS('caseload data'!P:P,'caseload data'!$D:$D,"PSO",'caseload data'!$C:$C,'custody caseload'!$B$71,'caseload data'!$B:$B,"custody")</f>
        <v>0</v>
      </c>
      <c r="O74" s="94">
        <f>SUMIFS('caseload data'!Q:Q,'caseload data'!$D:$D,"PSO",'caseload data'!$C:$C,'custody caseload'!$B$71,'caseload data'!$B:$B,"custody")</f>
        <v>0</v>
      </c>
      <c r="P74" s="94">
        <f>SUMIFS('caseload data'!R:R,'caseload data'!$D:$D,"PSO",'caseload data'!$C:$C,'custody caseload'!$B$71,'caseload data'!$B:$B,"custody")</f>
        <v>0</v>
      </c>
      <c r="Q74" s="94">
        <f>SUMIFS('caseload data'!S:S,'caseload data'!$D:$D,"PSO",'caseload data'!$C:$C,'custody caseload'!$B$71,'caseload data'!$B:$B,"custody")</f>
        <v>0</v>
      </c>
      <c r="R74" s="94">
        <f>SUMIFS('caseload data'!T:T,'caseload data'!$D:$D,"PSO",'caseload data'!$C:$C,'custody caseload'!$B$71,'caseload data'!$B:$B,"custody")</f>
        <v>0</v>
      </c>
      <c r="T74" s="97" t="s">
        <v>952</v>
      </c>
      <c r="U74" s="145">
        <f>SUMIFS('caseload data'!E:E,'caseload data'!$D:$D,"PSO",'caseload data'!$C:$C,'custody caseload'!$T$71,'caseload data'!$B:$B,"custody")</f>
        <v>0</v>
      </c>
      <c r="V74" s="145">
        <f>SUMIFS('caseload data'!F:F,'caseload data'!$D:$D,"PSO",'caseload data'!$C:$C,'custody caseload'!$T$71,'caseload data'!$B:$B,"custody")</f>
        <v>0</v>
      </c>
      <c r="W74" s="145">
        <f>SUMIFS('caseload data'!G:G,'caseload data'!$D:$D,"PSO",'caseload data'!$C:$C,'custody caseload'!$T$71,'caseload data'!$B:$B,"custody")</f>
        <v>0</v>
      </c>
      <c r="X74" s="145">
        <f>SUMIFS('caseload data'!H:H,'caseload data'!$D:$D,"PSO",'caseload data'!$C:$C,'custody caseload'!$T$71,'caseload data'!$B:$B,"custody")</f>
        <v>0</v>
      </c>
      <c r="Y74" s="145">
        <f>SUMIFS('caseload data'!I:I,'caseload data'!$D:$D,"PSO",'caseload data'!$C:$C,'custody caseload'!$T$71,'caseload data'!$B:$B,"custody")</f>
        <v>0</v>
      </c>
      <c r="Z74" s="145">
        <f>SUMIFS('caseload data'!J:J,'caseload data'!$D:$D,"PSO",'caseload data'!$C:$C,'custody caseload'!$T$71,'caseload data'!$B:$B,"custody")</f>
        <v>0</v>
      </c>
      <c r="AA74" s="145">
        <f>SUMIFS('caseload data'!K:K,'caseload data'!$D:$D,"PSO",'caseload data'!$C:$C,'custody caseload'!$T$71,'caseload data'!$B:$B,"custody")</f>
        <v>0</v>
      </c>
      <c r="AB74" s="145">
        <f>SUMIFS('caseload data'!L:L,'caseload data'!$D:$D,"PSO",'caseload data'!$C:$C,'custody caseload'!$T$71,'caseload data'!$B:$B,"custody")</f>
        <v>0</v>
      </c>
      <c r="AC74" s="94">
        <f>SUMIFS('caseload data'!M:M,'caseload data'!$D:$D,"PSO",'caseload data'!$C:$C,'custody caseload'!$T$71,'caseload data'!$B:$B,"custody")</f>
        <v>0</v>
      </c>
      <c r="AD74" s="94">
        <f>SUMIFS('caseload data'!N:N,'caseload data'!$D:$D,"PSO",'caseload data'!$C:$C,'custody caseload'!$T$71,'caseload data'!$B:$B,"custody")</f>
        <v>0</v>
      </c>
      <c r="AE74" s="94">
        <f>SUMIFS('caseload data'!O:O,'caseload data'!$D:$D,"PSO",'caseload data'!$C:$C,'custody caseload'!$T$71,'caseload data'!$B:$B,"custody")</f>
        <v>0</v>
      </c>
      <c r="AF74" s="94">
        <f>SUMIFS('caseload data'!P:P,'caseload data'!$D:$D,"PSO",'caseload data'!$C:$C,'custody caseload'!$T$71,'caseload data'!$B:$B,"custody")</f>
        <v>0</v>
      </c>
      <c r="AG74" s="94">
        <f>SUMIFS('caseload data'!Q:Q,'caseload data'!$D:$D,"PSO",'caseload data'!$C:$C,'custody caseload'!$T$71,'caseload data'!$B:$B,"custody")</f>
        <v>0</v>
      </c>
      <c r="AH74" s="94">
        <f>SUMIFS('caseload data'!R:R,'caseload data'!$D:$D,"PSO",'caseload data'!$C:$C,'custody caseload'!$T$71,'caseload data'!$B:$B,"custody")</f>
        <v>0</v>
      </c>
      <c r="AI74" s="94">
        <f>SUMIFS('caseload data'!S:S,'caseload data'!$D:$D,"PSO",'caseload data'!$C:$C,'custody caseload'!$T$71,'caseload data'!$B:$B,"custody")</f>
        <v>0</v>
      </c>
      <c r="AJ74" s="94">
        <f>SUMIFS('caseload data'!T:T,'caseload data'!$D:$D,"PSO",'caseload data'!$C:$C,'custody caseload'!$T$71,'caseload data'!$B:$B,"custody")</f>
        <v>0</v>
      </c>
    </row>
    <row r="75" spans="2:36" ht="15" x14ac:dyDescent="0.2">
      <c r="B75" s="97" t="s">
        <v>953</v>
      </c>
      <c r="C75" s="145">
        <f>SUMIFS('caseload data'!E:E,'caseload data'!$D:$D,"TPO",'caseload data'!$C:$C,'custody caseload'!$B$71,'caseload data'!$B:$B,"custody")</f>
        <v>0</v>
      </c>
      <c r="D75" s="145">
        <f>SUMIFS('caseload data'!F:F,'caseload data'!$D:$D,"TPO",'caseload data'!$C:$C,'custody caseload'!$B$71,'caseload data'!$B:$B,"custody")</f>
        <v>0</v>
      </c>
      <c r="E75" s="145">
        <f>SUMIFS('caseload data'!G:G,'caseload data'!$D:$D,"TPO",'caseload data'!$C:$C,'custody caseload'!$B$71,'caseload data'!$B:$B,"custody")</f>
        <v>0</v>
      </c>
      <c r="F75" s="145">
        <f>SUMIFS('caseload data'!H:H,'caseload data'!$D:$D,"TPO",'caseload data'!$C:$C,'custody caseload'!$B$71,'caseload data'!$B:$B,"custody")</f>
        <v>0</v>
      </c>
      <c r="G75" s="145">
        <f>SUMIFS('caseload data'!I:I,'caseload data'!$D:$D,"TPO",'caseload data'!$C:$C,'custody caseload'!$B$71,'caseload data'!$B:$B,"custody")</f>
        <v>0</v>
      </c>
      <c r="H75" s="145">
        <f>SUMIFS('caseload data'!J:J,'caseload data'!$D:$D,"TPO",'caseload data'!$C:$C,'custody caseload'!$B$71,'caseload data'!$B:$B,"custody")</f>
        <v>0</v>
      </c>
      <c r="I75" s="145">
        <f>SUMIFS('caseload data'!K:K,'caseload data'!$D:$D,"TPO",'caseload data'!$C:$C,'custody caseload'!$B$71,'caseload data'!$B:$B,"custody")</f>
        <v>0</v>
      </c>
      <c r="J75" s="145">
        <f>SUMIFS('caseload data'!L:L,'caseload data'!$D:$D,"TPO",'caseload data'!$C:$C,'custody caseload'!$B$71,'caseload data'!$B:$B,"custody")</f>
        <v>0</v>
      </c>
      <c r="K75" s="94">
        <f>SUMIFS('caseload data'!M:M,'caseload data'!$D:$D,"TPO",'caseload data'!$C:$C,'custody caseload'!$B$71,'caseload data'!$B:$B,"custody")</f>
        <v>0</v>
      </c>
      <c r="L75" s="94">
        <f>SUMIFS('caseload data'!N:N,'caseload data'!$D:$D,"TPO",'caseload data'!$C:$C,'custody caseload'!$B$71,'caseload data'!$B:$B,"custody")</f>
        <v>0</v>
      </c>
      <c r="M75" s="94">
        <f>SUMIFS('caseload data'!O:O,'caseload data'!$D:$D,"TPO",'caseload data'!$C:$C,'custody caseload'!$B$71,'caseload data'!$B:$B,"custody")</f>
        <v>0</v>
      </c>
      <c r="N75" s="94">
        <f>SUMIFS('caseload data'!P:P,'caseload data'!$D:$D,"TPO",'caseload data'!$C:$C,'custody caseload'!$B$71,'caseload data'!$B:$B,"custody")</f>
        <v>0</v>
      </c>
      <c r="O75" s="94">
        <f>SUMIFS('caseload data'!Q:Q,'caseload data'!$D:$D,"TPO",'caseload data'!$C:$C,'custody caseload'!$B$71,'caseload data'!$B:$B,"custody")</f>
        <v>0</v>
      </c>
      <c r="P75" s="94">
        <f>SUMIFS('caseload data'!R:R,'caseload data'!$D:$D,"TPO",'caseload data'!$C:$C,'custody caseload'!$B$71,'caseload data'!$B:$B,"custody")</f>
        <v>0</v>
      </c>
      <c r="Q75" s="94">
        <f>SUMIFS('caseload data'!S:S,'caseload data'!$D:$D,"TPO",'caseload data'!$C:$C,'custody caseload'!$B$71,'caseload data'!$B:$B,"custody")</f>
        <v>0</v>
      </c>
      <c r="R75" s="94">
        <f>SUMIFS('caseload data'!T:T,'caseload data'!$D:$D,"TPO",'caseload data'!$C:$C,'custody caseload'!$B$71,'caseload data'!$B:$B,"custody")</f>
        <v>0</v>
      </c>
      <c r="T75" s="97" t="s">
        <v>953</v>
      </c>
      <c r="U75" s="145">
        <f>SUMIFS('caseload data'!E:E,'caseload data'!$D:$D,"TPO",'caseload data'!$C:$C,'custody caseload'!$T$71,'caseload data'!$B:$B,"custody")</f>
        <v>0</v>
      </c>
      <c r="V75" s="145">
        <f>SUMIFS('caseload data'!F:F,'caseload data'!$D:$D,"TPO",'caseload data'!$C:$C,'custody caseload'!$T$71,'caseload data'!$B:$B,"custody")</f>
        <v>0</v>
      </c>
      <c r="W75" s="145">
        <f>SUMIFS('caseload data'!G:G,'caseload data'!$D:$D,"TPO",'caseload data'!$C:$C,'custody caseload'!$T$71,'caseload data'!$B:$B,"custody")</f>
        <v>0</v>
      </c>
      <c r="X75" s="145">
        <f>SUMIFS('caseload data'!H:H,'caseload data'!$D:$D,"TPO",'caseload data'!$C:$C,'custody caseload'!$T$71,'caseload data'!$B:$B,"custody")</f>
        <v>0</v>
      </c>
      <c r="Y75" s="145">
        <f>SUMIFS('caseload data'!I:I,'caseload data'!$D:$D,"TPO",'caseload data'!$C:$C,'custody caseload'!$T$71,'caseload data'!$B:$B,"custody")</f>
        <v>0</v>
      </c>
      <c r="Z75" s="145">
        <f>SUMIFS('caseload data'!J:J,'caseload data'!$D:$D,"TPO",'caseload data'!$C:$C,'custody caseload'!$T$71,'caseload data'!$B:$B,"custody")</f>
        <v>0</v>
      </c>
      <c r="AA75" s="145">
        <f>SUMIFS('caseload data'!K:K,'caseload data'!$D:$D,"TPO",'caseload data'!$C:$C,'custody caseload'!$T$71,'caseload data'!$B:$B,"custody")</f>
        <v>0</v>
      </c>
      <c r="AB75" s="145">
        <f>SUMIFS('caseload data'!L:L,'caseload data'!$D:$D,"TPO",'caseload data'!$C:$C,'custody caseload'!$T$71,'caseload data'!$B:$B,"custody")</f>
        <v>0</v>
      </c>
      <c r="AC75" s="94">
        <f>SUMIFS('caseload data'!M:M,'caseload data'!$D:$D,"TPO",'caseload data'!$C:$C,'custody caseload'!$T$71,'caseload data'!$B:$B,"custody")</f>
        <v>0</v>
      </c>
      <c r="AD75" s="94">
        <f>SUMIFS('caseload data'!N:N,'caseload data'!$D:$D,"TPO",'caseload data'!$C:$C,'custody caseload'!$T$71,'caseload data'!$B:$B,"custody")</f>
        <v>0</v>
      </c>
      <c r="AE75" s="94">
        <f>SUMIFS('caseload data'!O:O,'caseload data'!$D:$D,"TPO",'caseload data'!$C:$C,'custody caseload'!$T$71,'caseload data'!$B:$B,"custody")</f>
        <v>0</v>
      </c>
      <c r="AF75" s="94">
        <f>SUMIFS('caseload data'!P:P,'caseload data'!$D:$D,"TPO",'caseload data'!$C:$C,'custody caseload'!$T$71,'caseload data'!$B:$B,"custody")</f>
        <v>0</v>
      </c>
      <c r="AG75" s="94">
        <f>SUMIFS('caseload data'!Q:Q,'caseload data'!$D:$D,"TPO",'caseload data'!$C:$C,'custody caseload'!$T$71,'caseload data'!$B:$B,"custody")</f>
        <v>0</v>
      </c>
      <c r="AH75" s="94">
        <f>SUMIFS('caseload data'!R:R,'caseload data'!$D:$D,"TPO",'caseload data'!$C:$C,'custody caseload'!$T$71,'caseload data'!$B:$B,"custody")</f>
        <v>0</v>
      </c>
      <c r="AI75" s="94">
        <f>SUMIFS('caseload data'!S:S,'caseload data'!$D:$D,"TPO",'caseload data'!$C:$C,'custody caseload'!$T$71,'caseload data'!$B:$B,"custody")</f>
        <v>0</v>
      </c>
      <c r="AJ75" s="94">
        <f>SUMIFS('caseload data'!T:T,'caseload data'!$D:$D,"TPO",'caseload data'!$C:$C,'custody caseload'!$T$71,'caseload data'!$B:$B,"custody")</f>
        <v>0</v>
      </c>
    </row>
    <row r="76" spans="2:36" x14ac:dyDescent="0.15">
      <c r="B76" s="98" t="s">
        <v>954</v>
      </c>
      <c r="C76" s="94">
        <f>SUMIFS('caseload data'!E:E,'caseload data'!$D:$D,"SPO",'caseload data'!$C:$C,'custody caseload'!$B$71,'caseload data'!$B:$B,"custody")</f>
        <v>0</v>
      </c>
      <c r="D76" s="94">
        <f>SUMIFS('caseload data'!F:F,'caseload data'!$D:$D,"SPO",'caseload data'!$C:$C,'custody caseload'!$B$71,'caseload data'!$B:$B,"custody")</f>
        <v>0</v>
      </c>
      <c r="E76" s="94">
        <f>SUMIFS('caseload data'!G:G,'caseload data'!$D:$D,"SPO",'caseload data'!$C:$C,'custody caseload'!$B$71,'caseload data'!$B:$B,"custody")</f>
        <v>0</v>
      </c>
      <c r="F76" s="94">
        <f>SUMIFS('caseload data'!H:H,'caseload data'!$D:$D,"SPO",'caseload data'!$C:$C,'custody caseload'!$B$71,'caseload data'!$B:$B,"custody")</f>
        <v>0</v>
      </c>
      <c r="G76" s="94">
        <f>SUMIFS('caseload data'!I:I,'caseload data'!$D:$D,"SPO",'caseload data'!$C:$C,'custody caseload'!$B$71,'caseload data'!$B:$B,"custody")</f>
        <v>0</v>
      </c>
      <c r="H76" s="94">
        <f>SUMIFS('caseload data'!J:J,'caseload data'!$D:$D,"SPO",'caseload data'!$C:$C,'custody caseload'!$B$71,'caseload data'!$B:$B,"custody")</f>
        <v>0</v>
      </c>
      <c r="I76" s="94">
        <f>SUMIFS('caseload data'!K:K,'caseload data'!$D:$D,"SPO",'caseload data'!$C:$C,'custody caseload'!$B$71,'caseload data'!$B:$B,"custody")</f>
        <v>0</v>
      </c>
      <c r="J76" s="94">
        <f>SUMIFS('caseload data'!L:L,'caseload data'!$D:$D,"SPO",'caseload data'!$C:$C,'custody caseload'!$B$71,'caseload data'!$B:$B,"custody")</f>
        <v>0</v>
      </c>
      <c r="K76" s="94">
        <f>SUMIFS('caseload data'!M:M,'caseload data'!$D:$D,"SPO",'caseload data'!$C:$C,'custody caseload'!$B$71,'caseload data'!$B:$B,"custody")</f>
        <v>0</v>
      </c>
      <c r="L76" s="94">
        <f>SUMIFS('caseload data'!N:N,'caseload data'!$D:$D,"SPO",'caseload data'!$C:$C,'custody caseload'!$B$71,'caseload data'!$B:$B,"custody")</f>
        <v>0</v>
      </c>
      <c r="M76" s="94">
        <f>SUMIFS('caseload data'!O:O,'caseload data'!$D:$D,"SPO",'caseload data'!$C:$C,'custody caseload'!$B$71,'caseload data'!$B:$B,"custody")</f>
        <v>0</v>
      </c>
      <c r="N76" s="94">
        <f>SUMIFS('caseload data'!P:P,'caseload data'!$D:$D,"SPO",'caseload data'!$C:$C,'custody caseload'!$B$71,'caseload data'!$B:$B,"custody")</f>
        <v>0</v>
      </c>
      <c r="O76" s="94">
        <f>SUMIFS('caseload data'!Q:Q,'caseload data'!$D:$D,"SPO",'caseload data'!$C:$C,'custody caseload'!$B$71,'caseload data'!$B:$B,"custody")</f>
        <v>0</v>
      </c>
      <c r="P76" s="94">
        <f>SUMIFS('caseload data'!R:R,'caseload data'!$D:$D,"SPO",'caseload data'!$C:$C,'custody caseload'!$B$71,'caseload data'!$B:$B,"custody")</f>
        <v>0</v>
      </c>
      <c r="Q76" s="94">
        <f>SUMIFS('caseload data'!S:S,'caseload data'!$D:$D,"SPO",'caseload data'!$C:$C,'custody caseload'!$B$71,'caseload data'!$B:$B,"custody")</f>
        <v>0</v>
      </c>
      <c r="R76" s="94">
        <f>SUMIFS('caseload data'!T:T,'caseload data'!$D:$D,"SPO",'caseload data'!$C:$C,'custody caseload'!$B$71,'caseload data'!$B:$B,"custody")</f>
        <v>0</v>
      </c>
      <c r="T76" s="98" t="s">
        <v>954</v>
      </c>
      <c r="U76" s="94">
        <f>SUMIFS('caseload data'!E:E,'caseload data'!$D:$D,"SPO",'caseload data'!$C:$C,'custody caseload'!$T$71,'caseload data'!$B:$B,"custody")</f>
        <v>0</v>
      </c>
      <c r="V76" s="94">
        <f>SUMIFS('caseload data'!F:F,'caseload data'!$D:$D,"SPO",'caseload data'!$C:$C,'custody caseload'!$T$71,'caseload data'!$B:$B,"custody")</f>
        <v>0</v>
      </c>
      <c r="W76" s="94">
        <f>SUMIFS('caseload data'!G:G,'caseload data'!$D:$D,"SPO",'caseload data'!$C:$C,'custody caseload'!$T$71,'caseload data'!$B:$B,"custody")</f>
        <v>0</v>
      </c>
      <c r="X76" s="94">
        <f>SUMIFS('caseload data'!H:H,'caseload data'!$D:$D,"SPO",'caseload data'!$C:$C,'custody caseload'!$T$71,'caseload data'!$B:$B,"custody")</f>
        <v>0</v>
      </c>
      <c r="Y76" s="94">
        <f>SUMIFS('caseload data'!I:I,'caseload data'!$D:$D,"SPO",'caseload data'!$C:$C,'custody caseload'!$T$71,'caseload data'!$B:$B,"custody")</f>
        <v>0</v>
      </c>
      <c r="Z76" s="94">
        <f>SUMIFS('caseload data'!J:J,'caseload data'!$D:$D,"SPO",'caseload data'!$C:$C,'custody caseload'!$T$71,'caseload data'!$B:$B,"custody")</f>
        <v>0</v>
      </c>
      <c r="AA76" s="94">
        <f>SUMIFS('caseload data'!K:K,'caseload data'!$D:$D,"SPO",'caseload data'!$C:$C,'custody caseload'!$T$71,'caseload data'!$B:$B,"custody")</f>
        <v>0</v>
      </c>
      <c r="AB76" s="94">
        <f>SUMIFS('caseload data'!L:L,'caseload data'!$D:$D,"SPO",'caseload data'!$C:$C,'custody caseload'!$T$71,'caseload data'!$B:$B,"custody")</f>
        <v>0</v>
      </c>
      <c r="AC76" s="94">
        <f>SUMIFS('caseload data'!M:M,'caseload data'!$D:$D,"SPO",'caseload data'!$C:$C,'custody caseload'!$T$71,'caseload data'!$B:$B,"custody")</f>
        <v>0</v>
      </c>
      <c r="AD76" s="94">
        <f>SUMIFS('caseload data'!N:N,'caseload data'!$D:$D,"SPO",'caseload data'!$C:$C,'custody caseload'!$T$71,'caseload data'!$B:$B,"custody")</f>
        <v>0</v>
      </c>
      <c r="AE76" s="94">
        <f>SUMIFS('caseload data'!O:O,'caseload data'!$D:$D,"SPO",'caseload data'!$C:$C,'custody caseload'!$T$71,'caseload data'!$B:$B,"custody")</f>
        <v>0</v>
      </c>
      <c r="AF76" s="94">
        <f>SUMIFS('caseload data'!P:P,'caseload data'!$D:$D,"SPO",'caseload data'!$C:$C,'custody caseload'!$T$71,'caseload data'!$B:$B,"custody")</f>
        <v>0</v>
      </c>
      <c r="AG76" s="94">
        <f>SUMIFS('caseload data'!Q:Q,'caseload data'!$D:$D,"SPO",'caseload data'!$C:$C,'custody caseload'!$T$71,'caseload data'!$B:$B,"custody")</f>
        <v>0</v>
      </c>
      <c r="AH76" s="94">
        <f>SUMIFS('caseload data'!R:R,'caseload data'!$D:$D,"SPO",'caseload data'!$C:$C,'custody caseload'!$T$71,'caseload data'!$B:$B,"custody")</f>
        <v>0</v>
      </c>
      <c r="AI76" s="94">
        <f>SUMIFS('caseload data'!S:S,'caseload data'!$D:$D,"SPO",'caseload data'!$C:$C,'custody caseload'!$T$71,'caseload data'!$B:$B,"custody")</f>
        <v>0</v>
      </c>
      <c r="AJ76" s="94">
        <f>SUMIFS('caseload data'!T:T,'caseload data'!$D:$D,"SPO",'caseload data'!$C:$C,'custody caseload'!$T$71,'caseload data'!$B:$B,"custody")</f>
        <v>0</v>
      </c>
    </row>
    <row r="78" spans="2:36" ht="21.75" customHeight="1" x14ac:dyDescent="0.15">
      <c r="B78" s="142">
        <f>HLOOKUP($B$5,Region_Table,22,0)</f>
        <v>0</v>
      </c>
      <c r="C78" s="556" t="s">
        <v>1073</v>
      </c>
      <c r="D78" s="557"/>
      <c r="E78" s="557"/>
      <c r="F78" s="557"/>
      <c r="G78" s="557"/>
      <c r="H78" s="557"/>
      <c r="I78" s="557"/>
      <c r="J78" s="557"/>
      <c r="K78" s="557"/>
      <c r="L78" s="557"/>
      <c r="M78" s="566"/>
      <c r="N78" s="566"/>
      <c r="O78" s="567"/>
      <c r="P78" s="543">
        <f>SUMIFS('caseload data'!V:V,'caseload data'!B:B,"custody",'caseload data'!$C:$C,'custody caseload'!B78)</f>
        <v>0</v>
      </c>
      <c r="Q78" s="560"/>
      <c r="R78" s="561"/>
      <c r="T78" s="142">
        <f>HLOOKUP($B$5,Region_Table,23,0)</f>
        <v>0</v>
      </c>
      <c r="U78" s="556" t="s">
        <v>1073</v>
      </c>
      <c r="V78" s="557"/>
      <c r="W78" s="557"/>
      <c r="X78" s="557"/>
      <c r="Y78" s="557"/>
      <c r="Z78" s="557"/>
      <c r="AA78" s="557"/>
      <c r="AB78" s="557"/>
      <c r="AC78" s="557"/>
      <c r="AD78" s="557"/>
      <c r="AE78" s="566"/>
      <c r="AF78" s="566"/>
      <c r="AG78" s="567"/>
      <c r="AH78" s="543">
        <f>SUMIFS('caseload data'!V:V,'caseload data'!B:B,"custody",'caseload data'!$C:$C,'custody caseload'!T78)</f>
        <v>0</v>
      </c>
      <c r="AI78" s="560"/>
      <c r="AJ78" s="561"/>
    </row>
    <row r="79" spans="2:36" x14ac:dyDescent="0.15">
      <c r="B79" s="95" t="s">
        <v>951</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951</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94">
        <f>SUMIFS('caseload data'!E:E,'caseload data'!$D:$D,"PO",'caseload data'!$C:$C,'custody caseload'!$B$78,'caseload data'!$B:$B,"custody")</f>
        <v>0</v>
      </c>
      <c r="D80" s="94">
        <f>SUMIFS('caseload data'!F:F,'caseload data'!$D:$D,"PO",'caseload data'!$C:$C,'custody caseload'!$B$78,'caseload data'!$B:$B,"custody")</f>
        <v>0</v>
      </c>
      <c r="E80" s="94">
        <f>SUMIFS('caseload data'!G:G,'caseload data'!$D:$D,"PO",'caseload data'!$C:$C,'custody caseload'!$B$78,'caseload data'!$B:$B,"custody")</f>
        <v>0</v>
      </c>
      <c r="F80" s="94">
        <f>SUMIFS('caseload data'!H:H,'caseload data'!$D:$D,"PO",'caseload data'!$C:$C,'custody caseload'!$B$78,'caseload data'!$B:$B,"custody")</f>
        <v>0</v>
      </c>
      <c r="G80" s="94">
        <f>SUMIFS('caseload data'!I:I,'caseload data'!$D:$D,"PO",'caseload data'!$C:$C,'custody caseload'!$B$78,'caseload data'!$B:$B,"custody")</f>
        <v>0</v>
      </c>
      <c r="H80" s="94">
        <f>SUMIFS('caseload data'!J:J,'caseload data'!$D:$D,"PO",'caseload data'!$C:$C,'custody caseload'!$B$78,'caseload data'!$B:$B,"custody")</f>
        <v>0</v>
      </c>
      <c r="I80" s="94">
        <f>SUMIFS('caseload data'!K:K,'caseload data'!$D:$D,"PO",'caseload data'!$C:$C,'custody caseload'!$B$78,'caseload data'!$B:$B,"custody")</f>
        <v>0</v>
      </c>
      <c r="J80" s="94">
        <f>SUMIFS('caseload data'!L:L,'caseload data'!$D:$D,"PO",'caseload data'!$C:$C,'custody caseload'!$B$78,'caseload data'!$B:$B,"custody")</f>
        <v>0</v>
      </c>
      <c r="K80" s="94">
        <f>SUMIFS('caseload data'!M:M,'caseload data'!$D:$D,"PO",'caseload data'!$C:$C,'custody caseload'!$B$78,'caseload data'!$B:$B,"custody")</f>
        <v>0</v>
      </c>
      <c r="L80" s="94">
        <f>SUMIFS('caseload data'!N:N,'caseload data'!$D:$D,"PO",'caseload data'!$C:$C,'custody caseload'!$B$78,'caseload data'!$B:$B,"custody")</f>
        <v>0</v>
      </c>
      <c r="M80" s="94">
        <f>SUMIFS('caseload data'!O:O,'caseload data'!$D:$D,"PO",'caseload data'!$C:$C,'custody caseload'!$B$78,'caseload data'!$B:$B,"custody")</f>
        <v>0</v>
      </c>
      <c r="N80" s="94">
        <f>SUMIFS('caseload data'!P:P,'caseload data'!$D:$D,"PO",'caseload data'!$C:$C,'custody caseload'!$B$78,'caseload data'!$B:$B,"custody")</f>
        <v>0</v>
      </c>
      <c r="O80" s="94">
        <f>SUMIFS('caseload data'!Q:Q,'caseload data'!$D:$D,"PO",'caseload data'!$C:$C,'custody caseload'!$B$78,'caseload data'!$B:$B,"custody")</f>
        <v>0</v>
      </c>
      <c r="P80" s="94">
        <f>SUMIFS('caseload data'!R:R,'caseload data'!$D:$D,"PO",'caseload data'!$C:$C,'custody caseload'!$B$78,'caseload data'!$B:$B,"custody")</f>
        <v>0</v>
      </c>
      <c r="Q80" s="94">
        <f>SUMIFS('caseload data'!S:S,'caseload data'!$D:$D,"PO",'caseload data'!$C:$C,'custody caseload'!$B$78,'caseload data'!$B:$B,"custody")</f>
        <v>0</v>
      </c>
      <c r="R80" s="94">
        <f>SUMIFS('caseload data'!T:T,'caseload data'!$D:$D,"PO",'caseload data'!$C:$C,'custody caseload'!$B$78,'caseload data'!$B:$B,"custody")</f>
        <v>0</v>
      </c>
      <c r="T80" s="96" t="s">
        <v>947</v>
      </c>
      <c r="U80" s="94">
        <f>SUMIFS('caseload data'!E:E,'caseload data'!$D:$D,"PO",'caseload data'!$C:$C,'custody caseload'!$T$78,'caseload data'!$B:$B,"custody")</f>
        <v>0</v>
      </c>
      <c r="V80" s="94">
        <f>SUMIFS('caseload data'!F:F,'caseload data'!$D:$D,"PO",'caseload data'!$C:$C,'custody caseload'!$T$78,'caseload data'!$B:$B,"custody")</f>
        <v>0</v>
      </c>
      <c r="W80" s="94">
        <f>SUMIFS('caseload data'!G:G,'caseload data'!$D:$D,"PO",'caseload data'!$C:$C,'custody caseload'!$T$78,'caseload data'!$B:$B,"custody")</f>
        <v>0</v>
      </c>
      <c r="X80" s="94">
        <f>SUMIFS('caseload data'!H:H,'caseload data'!$D:$D,"PO",'caseload data'!$C:$C,'custody caseload'!$T$78,'caseload data'!$B:$B,"custody")</f>
        <v>0</v>
      </c>
      <c r="Y80" s="94">
        <f>SUMIFS('caseload data'!I:I,'caseload data'!$D:$D,"PO",'caseload data'!$C:$C,'custody caseload'!$T$78,'caseload data'!$B:$B,"custody")</f>
        <v>0</v>
      </c>
      <c r="Z80" s="94">
        <f>SUMIFS('caseload data'!J:J,'caseload data'!$D:$D,"PO",'caseload data'!$C:$C,'custody caseload'!$T$78,'caseload data'!$B:$B,"custody")</f>
        <v>0</v>
      </c>
      <c r="AA80" s="94">
        <f>SUMIFS('caseload data'!K:K,'caseload data'!$D:$D,"PO",'caseload data'!$C:$C,'custody caseload'!$T$78,'caseload data'!$B:$B,"custody")</f>
        <v>0</v>
      </c>
      <c r="AB80" s="94">
        <f>SUMIFS('caseload data'!L:L,'caseload data'!$D:$D,"PO",'caseload data'!$C:$C,'custody caseload'!$T$78,'caseload data'!$B:$B,"custody")</f>
        <v>0</v>
      </c>
      <c r="AC80" s="94">
        <f>SUMIFS('caseload data'!M:M,'caseload data'!$D:$D,"PO",'caseload data'!$C:$C,'custody caseload'!$T$78,'caseload data'!$B:$B,"custody")</f>
        <v>0</v>
      </c>
      <c r="AD80" s="94">
        <f>SUMIFS('caseload data'!N:N,'caseload data'!$D:$D,"PO",'caseload data'!$C:$C,'custody caseload'!$T$78,'caseload data'!$B:$B,"custody")</f>
        <v>0</v>
      </c>
      <c r="AE80" s="94">
        <f>SUMIFS('caseload data'!O:O,'caseload data'!$D:$D,"PO",'caseload data'!$C:$C,'custody caseload'!$T$78,'caseload data'!$B:$B,"custody")</f>
        <v>0</v>
      </c>
      <c r="AF80" s="94">
        <f>SUMIFS('caseload data'!P:P,'caseload data'!$D:$D,"PO",'caseload data'!$C:$C,'custody caseload'!$T$78,'caseload data'!$B:$B,"custody")</f>
        <v>0</v>
      </c>
      <c r="AG80" s="94">
        <f>SUMIFS('caseload data'!Q:Q,'caseload data'!$D:$D,"PO",'caseload data'!$C:$C,'custody caseload'!$T$78,'caseload data'!$B:$B,"custody")</f>
        <v>0</v>
      </c>
      <c r="AH80" s="94">
        <f>SUMIFS('caseload data'!R:R,'caseload data'!$D:$D,"PO",'caseload data'!$C:$C,'custody caseload'!$T$78,'caseload data'!$B:$B,"custody")</f>
        <v>0</v>
      </c>
      <c r="AI80" s="94">
        <f>SUMIFS('caseload data'!S:S,'caseload data'!$D:$D,"PO",'caseload data'!$C:$C,'custody caseload'!$T$78,'caseload data'!$B:$B,"custody")</f>
        <v>0</v>
      </c>
      <c r="AJ80" s="94">
        <f>SUMIFS('caseload data'!T:T,'caseload data'!$D:$D,"PO",'caseload data'!$C:$C,'custody caseload'!$T$78,'caseload data'!$B:$B,"custody")</f>
        <v>0</v>
      </c>
    </row>
    <row r="81" spans="2:36" ht="15" x14ac:dyDescent="0.2">
      <c r="B81" s="97" t="s">
        <v>952</v>
      </c>
      <c r="C81" s="145">
        <f>SUMIFS('caseload data'!E:E,'caseload data'!$D:$D,"PSO",'caseload data'!$C:$C,'custody caseload'!$B$78,'caseload data'!$B:$B,"custody")</f>
        <v>0</v>
      </c>
      <c r="D81" s="145">
        <f>SUMIFS('caseload data'!F:F,'caseload data'!$D:$D,"PSO",'caseload data'!$C:$C,'custody caseload'!$B$78,'caseload data'!$B:$B,"custody")</f>
        <v>0</v>
      </c>
      <c r="E81" s="145">
        <f>SUMIFS('caseload data'!G:G,'caseload data'!$D:$D,"PSO",'caseload data'!$C:$C,'custody caseload'!$B$78,'caseload data'!$B:$B,"custody")</f>
        <v>0</v>
      </c>
      <c r="F81" s="145">
        <f>SUMIFS('caseload data'!H:H,'caseload data'!$D:$D,"PSO",'caseload data'!$C:$C,'custody caseload'!$B$78,'caseload data'!$B:$B,"custody")</f>
        <v>0</v>
      </c>
      <c r="G81" s="145">
        <f>SUMIFS('caseload data'!I:I,'caseload data'!$D:$D,"PSO",'caseload data'!$C:$C,'custody caseload'!$B$78,'caseload data'!$B:$B,"custody")</f>
        <v>0</v>
      </c>
      <c r="H81" s="145">
        <f>SUMIFS('caseload data'!J:J,'caseload data'!$D:$D,"PSO",'caseload data'!$C:$C,'custody caseload'!$B$78,'caseload data'!$B:$B,"custody")</f>
        <v>0</v>
      </c>
      <c r="I81" s="145">
        <f>SUMIFS('caseload data'!K:K,'caseload data'!$D:$D,"PSO",'caseload data'!$C:$C,'custody caseload'!$B$78,'caseload data'!$B:$B,"custody")</f>
        <v>0</v>
      </c>
      <c r="J81" s="145">
        <f>SUMIFS('caseload data'!L:L,'caseload data'!$D:$D,"PSO",'caseload data'!$C:$C,'custody caseload'!$B$78,'caseload data'!$B:$B,"custody")</f>
        <v>0</v>
      </c>
      <c r="K81" s="94">
        <f>SUMIFS('caseload data'!M:M,'caseload data'!$D:$D,"PSO",'caseload data'!$C:$C,'custody caseload'!$B$78,'caseload data'!$B:$B,"custody")</f>
        <v>0</v>
      </c>
      <c r="L81" s="94">
        <f>SUMIFS('caseload data'!N:N,'caseload data'!$D:$D,"PSO",'caseload data'!$C:$C,'custody caseload'!$B$78,'caseload data'!$B:$B,"custody")</f>
        <v>0</v>
      </c>
      <c r="M81" s="94">
        <f>SUMIFS('caseload data'!O:O,'caseload data'!$D:$D,"PSO",'caseload data'!$C:$C,'custody caseload'!$B$78,'caseload data'!$B:$B,"custody")</f>
        <v>0</v>
      </c>
      <c r="N81" s="94">
        <f>SUMIFS('caseload data'!P:P,'caseload data'!$D:$D,"PSO",'caseload data'!$C:$C,'custody caseload'!$B$78,'caseload data'!$B:$B,"custody")</f>
        <v>0</v>
      </c>
      <c r="O81" s="94">
        <f>SUMIFS('caseload data'!Q:Q,'caseload data'!$D:$D,"PSO",'caseload data'!$C:$C,'custody caseload'!$B$78,'caseload data'!$B:$B,"custody")</f>
        <v>0</v>
      </c>
      <c r="P81" s="94">
        <f>SUMIFS('caseload data'!R:R,'caseload data'!$D:$D,"PSO",'caseload data'!$C:$C,'custody caseload'!$B$78,'caseload data'!$B:$B,"custody")</f>
        <v>0</v>
      </c>
      <c r="Q81" s="94">
        <f>SUMIFS('caseload data'!S:S,'caseload data'!$D:$D,"PSO",'caseload data'!$C:$C,'custody caseload'!$B$78,'caseload data'!$B:$B,"custody")</f>
        <v>0</v>
      </c>
      <c r="R81" s="94">
        <f>SUMIFS('caseload data'!T:T,'caseload data'!$D:$D,"PSO",'caseload data'!$C:$C,'custody caseload'!$B$78,'caseload data'!$B:$B,"custody")</f>
        <v>0</v>
      </c>
      <c r="T81" s="97" t="s">
        <v>952</v>
      </c>
      <c r="U81" s="145">
        <f>SUMIFS('caseload data'!E:E,'caseload data'!$D:$D,"PSO",'caseload data'!$C:$C,'custody caseload'!$T$78,'caseload data'!$B:$B,"custody")</f>
        <v>0</v>
      </c>
      <c r="V81" s="145">
        <f>SUMIFS('caseload data'!F:F,'caseload data'!$D:$D,"PSO",'caseload data'!$C:$C,'custody caseload'!$T$78,'caseload data'!$B:$B,"custody")</f>
        <v>0</v>
      </c>
      <c r="W81" s="145">
        <f>SUMIFS('caseload data'!G:G,'caseload data'!$D:$D,"PSO",'caseload data'!$C:$C,'custody caseload'!$T$78,'caseload data'!$B:$B,"custody")</f>
        <v>0</v>
      </c>
      <c r="X81" s="145">
        <f>SUMIFS('caseload data'!H:H,'caseload data'!$D:$D,"PSO",'caseload data'!$C:$C,'custody caseload'!$T$78,'caseload data'!$B:$B,"custody")</f>
        <v>0</v>
      </c>
      <c r="Y81" s="145">
        <f>SUMIFS('caseload data'!I:I,'caseload data'!$D:$D,"PSO",'caseload data'!$C:$C,'custody caseload'!$T$78,'caseload data'!$B:$B,"custody")</f>
        <v>0</v>
      </c>
      <c r="Z81" s="145">
        <f>SUMIFS('caseload data'!J:J,'caseload data'!$D:$D,"PSO",'caseload data'!$C:$C,'custody caseload'!$T$78,'caseload data'!$B:$B,"custody")</f>
        <v>0</v>
      </c>
      <c r="AA81" s="145">
        <f>SUMIFS('caseload data'!K:K,'caseload data'!$D:$D,"PSO",'caseload data'!$C:$C,'custody caseload'!$T$78,'caseload data'!$B:$B,"custody")</f>
        <v>0</v>
      </c>
      <c r="AB81" s="145">
        <f>SUMIFS('caseload data'!L:L,'caseload data'!$D:$D,"PSO",'caseload data'!$C:$C,'custody caseload'!$T$78,'caseload data'!$B:$B,"custody")</f>
        <v>0</v>
      </c>
      <c r="AC81" s="94">
        <f>SUMIFS('caseload data'!M:M,'caseload data'!$D:$D,"PSO",'caseload data'!$C:$C,'custody caseload'!$T$78,'caseload data'!$B:$B,"custody")</f>
        <v>0</v>
      </c>
      <c r="AD81" s="94">
        <f>SUMIFS('caseload data'!N:N,'caseload data'!$D:$D,"PSO",'caseload data'!$C:$C,'custody caseload'!$T$78,'caseload data'!$B:$B,"custody")</f>
        <v>0</v>
      </c>
      <c r="AE81" s="94">
        <f>SUMIFS('caseload data'!O:O,'caseload data'!$D:$D,"PSO",'caseload data'!$C:$C,'custody caseload'!$T$78,'caseload data'!$B:$B,"custody")</f>
        <v>0</v>
      </c>
      <c r="AF81" s="94">
        <f>SUMIFS('caseload data'!P:P,'caseload data'!$D:$D,"PSO",'caseload data'!$C:$C,'custody caseload'!$T$78,'caseload data'!$B:$B,"custody")</f>
        <v>0</v>
      </c>
      <c r="AG81" s="94">
        <f>SUMIFS('caseload data'!Q:Q,'caseload data'!$D:$D,"PSO",'caseload data'!$C:$C,'custody caseload'!$T$78,'caseload data'!$B:$B,"custody")</f>
        <v>0</v>
      </c>
      <c r="AH81" s="94">
        <f>SUMIFS('caseload data'!R:R,'caseload data'!$D:$D,"PSO",'caseload data'!$C:$C,'custody caseload'!$T$78,'caseload data'!$B:$B,"custody")</f>
        <v>0</v>
      </c>
      <c r="AI81" s="94">
        <f>SUMIFS('caseload data'!S:S,'caseload data'!$D:$D,"PSO",'caseload data'!$C:$C,'custody caseload'!$T$78,'caseload data'!$B:$B,"custody")</f>
        <v>0</v>
      </c>
      <c r="AJ81" s="94">
        <f>SUMIFS('caseload data'!T:T,'caseload data'!$D:$D,"PSO",'caseload data'!$C:$C,'custody caseload'!$T$78,'caseload data'!$B:$B,"custody")</f>
        <v>0</v>
      </c>
    </row>
    <row r="82" spans="2:36" ht="15" x14ac:dyDescent="0.2">
      <c r="B82" s="97" t="s">
        <v>953</v>
      </c>
      <c r="C82" s="145">
        <f>SUMIFS('caseload data'!E:E,'caseload data'!$D:$D,"TPO",'caseload data'!$C:$C,'custody caseload'!$B$78,'caseload data'!$B:$B,"custody")</f>
        <v>0</v>
      </c>
      <c r="D82" s="145">
        <f>SUMIFS('caseload data'!F:F,'caseload data'!$D:$D,"TPO",'caseload data'!$C:$C,'custody caseload'!$B$78,'caseload data'!$B:$B,"custody")</f>
        <v>0</v>
      </c>
      <c r="E82" s="145">
        <f>SUMIFS('caseload data'!G:G,'caseload data'!$D:$D,"TPO",'caseload data'!$C:$C,'custody caseload'!$B$78,'caseload data'!$B:$B,"custody")</f>
        <v>0</v>
      </c>
      <c r="F82" s="145">
        <f>SUMIFS('caseload data'!H:H,'caseload data'!$D:$D,"TPO",'caseload data'!$C:$C,'custody caseload'!$B$78,'caseload data'!$B:$B,"custody")</f>
        <v>0</v>
      </c>
      <c r="G82" s="145">
        <f>SUMIFS('caseload data'!I:I,'caseload data'!$D:$D,"TPO",'caseload data'!$C:$C,'custody caseload'!$B$78,'caseload data'!$B:$B,"custody")</f>
        <v>0</v>
      </c>
      <c r="H82" s="145">
        <f>SUMIFS('caseload data'!J:J,'caseload data'!$D:$D,"TPO",'caseload data'!$C:$C,'custody caseload'!$B$78,'caseload data'!$B:$B,"custody")</f>
        <v>0</v>
      </c>
      <c r="I82" s="145">
        <f>SUMIFS('caseload data'!K:K,'caseload data'!$D:$D,"TPO",'caseload data'!$C:$C,'custody caseload'!$B$78,'caseload data'!$B:$B,"custody")</f>
        <v>0</v>
      </c>
      <c r="J82" s="145">
        <f>SUMIFS('caseload data'!L:L,'caseload data'!$D:$D,"TPO",'caseload data'!$C:$C,'custody caseload'!$B$78,'caseload data'!$B:$B,"custody")</f>
        <v>0</v>
      </c>
      <c r="K82" s="94">
        <f>SUMIFS('caseload data'!M:M,'caseload data'!$D:$D,"TPO",'caseload data'!$C:$C,'custody caseload'!$B$78,'caseload data'!$B:$B,"custody")</f>
        <v>0</v>
      </c>
      <c r="L82" s="94">
        <f>SUMIFS('caseload data'!N:N,'caseload data'!$D:$D,"TPO",'caseload data'!$C:$C,'custody caseload'!$B$78,'caseload data'!$B:$B,"custody")</f>
        <v>0</v>
      </c>
      <c r="M82" s="94">
        <f>SUMIFS('caseload data'!O:O,'caseload data'!$D:$D,"TPO",'caseload data'!$C:$C,'custody caseload'!$B$78,'caseload data'!$B:$B,"custody")</f>
        <v>0</v>
      </c>
      <c r="N82" s="94">
        <f>SUMIFS('caseload data'!P:P,'caseload data'!$D:$D,"TPO",'caseload data'!$C:$C,'custody caseload'!$B$78,'caseload data'!$B:$B,"custody")</f>
        <v>0</v>
      </c>
      <c r="O82" s="94">
        <f>SUMIFS('caseload data'!Q:Q,'caseload data'!$D:$D,"TPO",'caseload data'!$C:$C,'custody caseload'!$B$78,'caseload data'!$B:$B,"custody")</f>
        <v>0</v>
      </c>
      <c r="P82" s="94">
        <f>SUMIFS('caseload data'!R:R,'caseload data'!$D:$D,"TPO",'caseload data'!$C:$C,'custody caseload'!$B$78,'caseload data'!$B:$B,"custody")</f>
        <v>0</v>
      </c>
      <c r="Q82" s="94">
        <f>SUMIFS('caseload data'!S:S,'caseload data'!$D:$D,"TPO",'caseload data'!$C:$C,'custody caseload'!$B$78,'caseload data'!$B:$B,"custody")</f>
        <v>0</v>
      </c>
      <c r="R82" s="94">
        <f>SUMIFS('caseload data'!T:T,'caseload data'!$D:$D,"TPO",'caseload data'!$C:$C,'custody caseload'!$B$78,'caseload data'!$B:$B,"custody")</f>
        <v>0</v>
      </c>
      <c r="T82" s="97" t="s">
        <v>953</v>
      </c>
      <c r="U82" s="145">
        <f>SUMIFS('caseload data'!E:E,'caseload data'!$D:$D,"TPO",'caseload data'!$C:$C,'custody caseload'!$T$78,'caseload data'!$B:$B,"custody")</f>
        <v>0</v>
      </c>
      <c r="V82" s="145">
        <f>SUMIFS('caseload data'!F:F,'caseload data'!$D:$D,"TPO",'caseload data'!$C:$C,'custody caseload'!$T$78,'caseload data'!$B:$B,"custody")</f>
        <v>0</v>
      </c>
      <c r="W82" s="145">
        <f>SUMIFS('caseload data'!G:G,'caseload data'!$D:$D,"TPO",'caseload data'!$C:$C,'custody caseload'!$T$78,'caseload data'!$B:$B,"custody")</f>
        <v>0</v>
      </c>
      <c r="X82" s="145">
        <f>SUMIFS('caseload data'!H:H,'caseload data'!$D:$D,"TPO",'caseload data'!$C:$C,'custody caseload'!$T$78,'caseload data'!$B:$B,"custody")</f>
        <v>0</v>
      </c>
      <c r="Y82" s="145">
        <f>SUMIFS('caseload data'!I:I,'caseload data'!$D:$D,"TPO",'caseload data'!$C:$C,'custody caseload'!$T$78,'caseload data'!$B:$B,"custody")</f>
        <v>0</v>
      </c>
      <c r="Z82" s="145">
        <f>SUMIFS('caseload data'!J:J,'caseload data'!$D:$D,"TPO",'caseload data'!$C:$C,'custody caseload'!$T$78,'caseload data'!$B:$B,"custody")</f>
        <v>0</v>
      </c>
      <c r="AA82" s="145">
        <f>SUMIFS('caseload data'!K:K,'caseload data'!$D:$D,"TPO",'caseload data'!$C:$C,'custody caseload'!$T$78,'caseload data'!$B:$B,"custody")</f>
        <v>0</v>
      </c>
      <c r="AB82" s="145">
        <f>SUMIFS('caseload data'!L:L,'caseload data'!$D:$D,"TPO",'caseload data'!$C:$C,'custody caseload'!$T$78,'caseload data'!$B:$B,"custody")</f>
        <v>0</v>
      </c>
      <c r="AC82" s="94">
        <f>SUMIFS('caseload data'!M:M,'caseload data'!$D:$D,"TPO",'caseload data'!$C:$C,'custody caseload'!$T$78,'caseload data'!$B:$B,"custody")</f>
        <v>0</v>
      </c>
      <c r="AD82" s="94">
        <f>SUMIFS('caseload data'!N:N,'caseload data'!$D:$D,"TPO",'caseload data'!$C:$C,'custody caseload'!$T$78,'caseload data'!$B:$B,"custody")</f>
        <v>0</v>
      </c>
      <c r="AE82" s="94">
        <f>SUMIFS('caseload data'!O:O,'caseload data'!$D:$D,"TPO",'caseload data'!$C:$C,'custody caseload'!$T$78,'caseload data'!$B:$B,"custody")</f>
        <v>0</v>
      </c>
      <c r="AF82" s="94">
        <f>SUMIFS('caseload data'!P:P,'caseload data'!$D:$D,"TPO",'caseload data'!$C:$C,'custody caseload'!$T$78,'caseload data'!$B:$B,"custody")</f>
        <v>0</v>
      </c>
      <c r="AG82" s="94">
        <f>SUMIFS('caseload data'!Q:Q,'caseload data'!$D:$D,"TPO",'caseload data'!$C:$C,'custody caseload'!$T$78,'caseload data'!$B:$B,"custody")</f>
        <v>0</v>
      </c>
      <c r="AH82" s="94">
        <f>SUMIFS('caseload data'!R:R,'caseload data'!$D:$D,"TPO",'caseload data'!$C:$C,'custody caseload'!$T$78,'caseload data'!$B:$B,"custody")</f>
        <v>0</v>
      </c>
      <c r="AI82" s="94">
        <f>SUMIFS('caseload data'!S:S,'caseload data'!$D:$D,"TPO",'caseload data'!$C:$C,'custody caseload'!$T$78,'caseload data'!$B:$B,"custody")</f>
        <v>0</v>
      </c>
      <c r="AJ82" s="94">
        <f>SUMIFS('caseload data'!T:T,'caseload data'!$D:$D,"TPO",'caseload data'!$C:$C,'custody caseload'!$T$78,'caseload data'!$B:$B,"custody")</f>
        <v>0</v>
      </c>
    </row>
    <row r="83" spans="2:36" x14ac:dyDescent="0.15">
      <c r="B83" s="98" t="s">
        <v>954</v>
      </c>
      <c r="C83" s="94">
        <f>SUMIFS('caseload data'!E:E,'caseload data'!$D:$D,"SPO",'caseload data'!$C:$C,'custody caseload'!$B$78,'caseload data'!$B:$B,"custody")</f>
        <v>0</v>
      </c>
      <c r="D83" s="94">
        <f>SUMIFS('caseload data'!F:F,'caseload data'!$D:$D,"SPO",'caseload data'!$C:$C,'custody caseload'!$B$78,'caseload data'!$B:$B,"custody")</f>
        <v>0</v>
      </c>
      <c r="E83" s="94">
        <f>SUMIFS('caseload data'!G:G,'caseload data'!$D:$D,"SPO",'caseload data'!$C:$C,'custody caseload'!$B$78,'caseload data'!$B:$B,"custody")</f>
        <v>0</v>
      </c>
      <c r="F83" s="94">
        <f>SUMIFS('caseload data'!H:H,'caseload data'!$D:$D,"SPO",'caseload data'!$C:$C,'custody caseload'!$B$78,'caseload data'!$B:$B,"custody")</f>
        <v>0</v>
      </c>
      <c r="G83" s="94">
        <f>SUMIFS('caseload data'!I:I,'caseload data'!$D:$D,"SPO",'caseload data'!$C:$C,'custody caseload'!$B$78,'caseload data'!$B:$B,"custody")</f>
        <v>0</v>
      </c>
      <c r="H83" s="94">
        <f>SUMIFS('caseload data'!J:J,'caseload data'!$D:$D,"SPO",'caseload data'!$C:$C,'custody caseload'!$B$78,'caseload data'!$B:$B,"custody")</f>
        <v>0</v>
      </c>
      <c r="I83" s="94">
        <f>SUMIFS('caseload data'!K:K,'caseload data'!$D:$D,"SPO",'caseload data'!$C:$C,'custody caseload'!$B$78,'caseload data'!$B:$B,"custody")</f>
        <v>0</v>
      </c>
      <c r="J83" s="94">
        <f>SUMIFS('caseload data'!L:L,'caseload data'!$D:$D,"SPO",'caseload data'!$C:$C,'custody caseload'!$B$78,'caseload data'!$B:$B,"custody")</f>
        <v>0</v>
      </c>
      <c r="K83" s="94">
        <f>SUMIFS('caseload data'!M:M,'caseload data'!$D:$D,"SPO",'caseload data'!$C:$C,'custody caseload'!$B$78,'caseload data'!$B:$B,"custody")</f>
        <v>0</v>
      </c>
      <c r="L83" s="94">
        <f>SUMIFS('caseload data'!N:N,'caseload data'!$D:$D,"SPO",'caseload data'!$C:$C,'custody caseload'!$B$78,'caseload data'!$B:$B,"custody")</f>
        <v>0</v>
      </c>
      <c r="M83" s="94">
        <f>SUMIFS('caseload data'!O:O,'caseload data'!$D:$D,"SPO",'caseload data'!$C:$C,'custody caseload'!$B$78,'caseload data'!$B:$B,"custody")</f>
        <v>0</v>
      </c>
      <c r="N83" s="94">
        <f>SUMIFS('caseload data'!P:P,'caseload data'!$D:$D,"SPO",'caseload data'!$C:$C,'custody caseload'!$B$78,'caseload data'!$B:$B,"custody")</f>
        <v>0</v>
      </c>
      <c r="O83" s="94">
        <f>SUMIFS('caseload data'!Q:Q,'caseload data'!$D:$D,"SPO",'caseload data'!$C:$C,'custody caseload'!$B$78,'caseload data'!$B:$B,"custody")</f>
        <v>0</v>
      </c>
      <c r="P83" s="94">
        <f>SUMIFS('caseload data'!R:R,'caseload data'!$D:$D,"SPO",'caseload data'!$C:$C,'custody caseload'!$B$78,'caseload data'!$B:$B,"custody")</f>
        <v>0</v>
      </c>
      <c r="Q83" s="94">
        <f>SUMIFS('caseload data'!S:S,'caseload data'!$D:$D,"SPO",'caseload data'!$C:$C,'custody caseload'!$B$78,'caseload data'!$B:$B,"custody")</f>
        <v>0</v>
      </c>
      <c r="R83" s="94">
        <f>SUMIFS('caseload data'!T:T,'caseload data'!$D:$D,"SPO",'caseload data'!$C:$C,'custody caseload'!$B$78,'caseload data'!$B:$B,"custody")</f>
        <v>0</v>
      </c>
      <c r="T83" s="98" t="s">
        <v>954</v>
      </c>
      <c r="U83" s="94">
        <f>SUMIFS('caseload data'!E:E,'caseload data'!$D:$D,"SPO",'caseload data'!$C:$C,'custody caseload'!$T$78,'caseload data'!$B:$B,"custody")</f>
        <v>0</v>
      </c>
      <c r="V83" s="94">
        <f>SUMIFS('caseload data'!F:F,'caseload data'!$D:$D,"SPO",'caseload data'!$C:$C,'custody caseload'!$T$78,'caseload data'!$B:$B,"custody")</f>
        <v>0</v>
      </c>
      <c r="W83" s="94">
        <f>SUMIFS('caseload data'!G:G,'caseload data'!$D:$D,"SPO",'caseload data'!$C:$C,'custody caseload'!$T$78,'caseload data'!$B:$B,"custody")</f>
        <v>0</v>
      </c>
      <c r="X83" s="94">
        <f>SUMIFS('caseload data'!H:H,'caseload data'!$D:$D,"SPO",'caseload data'!$C:$C,'custody caseload'!$T$78,'caseload data'!$B:$B,"custody")</f>
        <v>0</v>
      </c>
      <c r="Y83" s="94">
        <f>SUMIFS('caseload data'!I:I,'caseload data'!$D:$D,"SPO",'caseload data'!$C:$C,'custody caseload'!$T$78,'caseload data'!$B:$B,"custody")</f>
        <v>0</v>
      </c>
      <c r="Z83" s="94">
        <f>SUMIFS('caseload data'!J:J,'caseload data'!$D:$D,"SPO",'caseload data'!$C:$C,'custody caseload'!$T$78,'caseload data'!$B:$B,"custody")</f>
        <v>0</v>
      </c>
      <c r="AA83" s="94">
        <f>SUMIFS('caseload data'!K:K,'caseload data'!$D:$D,"SPO",'caseload data'!$C:$C,'custody caseload'!$T$78,'caseload data'!$B:$B,"custody")</f>
        <v>0</v>
      </c>
      <c r="AB83" s="94">
        <f>SUMIFS('caseload data'!L:L,'caseload data'!$D:$D,"SPO",'caseload data'!$C:$C,'custody caseload'!$T$78,'caseload data'!$B:$B,"custody")</f>
        <v>0</v>
      </c>
      <c r="AC83" s="94">
        <f>SUMIFS('caseload data'!M:M,'caseload data'!$D:$D,"SPO",'caseload data'!$C:$C,'custody caseload'!$T$78,'caseload data'!$B:$B,"custody")</f>
        <v>0</v>
      </c>
      <c r="AD83" s="94">
        <f>SUMIFS('caseload data'!N:N,'caseload data'!$D:$D,"SPO",'caseload data'!$C:$C,'custody caseload'!$T$78,'caseload data'!$B:$B,"custody")</f>
        <v>0</v>
      </c>
      <c r="AE83" s="94">
        <f>SUMIFS('caseload data'!O:O,'caseload data'!$D:$D,"SPO",'caseload data'!$C:$C,'custody caseload'!$T$78,'caseload data'!$B:$B,"custody")</f>
        <v>0</v>
      </c>
      <c r="AF83" s="94">
        <f>SUMIFS('caseload data'!P:P,'caseload data'!$D:$D,"SPO",'caseload data'!$C:$C,'custody caseload'!$T$78,'caseload data'!$B:$B,"custody")</f>
        <v>0</v>
      </c>
      <c r="AG83" s="94">
        <f>SUMIFS('caseload data'!Q:Q,'caseload data'!$D:$D,"SPO",'caseload data'!$C:$C,'custody caseload'!$T$78,'caseload data'!$B:$B,"custody")</f>
        <v>0</v>
      </c>
      <c r="AH83" s="94">
        <f>SUMIFS('caseload data'!R:R,'caseload data'!$D:$D,"SPO",'caseload data'!$C:$C,'custody caseload'!$T$78,'caseload data'!$B:$B,"custody")</f>
        <v>0</v>
      </c>
      <c r="AI83" s="94">
        <f>SUMIFS('caseload data'!S:S,'caseload data'!$D:$D,"SPO",'caseload data'!$C:$C,'custody caseload'!$T$78,'caseload data'!$B:$B,"custody")</f>
        <v>0</v>
      </c>
      <c r="AJ83" s="94">
        <f>SUMIFS('caseload data'!T:T,'caseload data'!$D:$D,"SPO",'caseload data'!$C:$C,'custody caseload'!$T$78,'caseload data'!$B:$B,"custody")</f>
        <v>0</v>
      </c>
    </row>
    <row r="85" spans="2:36" ht="21.75" customHeight="1" x14ac:dyDescent="0.15">
      <c r="B85" s="142">
        <f>HLOOKUP($B$5,Region_Table,24,0)</f>
        <v>0</v>
      </c>
      <c r="C85" s="556" t="s">
        <v>1073</v>
      </c>
      <c r="D85" s="557"/>
      <c r="E85" s="557"/>
      <c r="F85" s="557"/>
      <c r="G85" s="557"/>
      <c r="H85" s="557"/>
      <c r="I85" s="557"/>
      <c r="J85" s="557"/>
      <c r="K85" s="557"/>
      <c r="L85" s="557"/>
      <c r="M85" s="566"/>
      <c r="N85" s="566"/>
      <c r="O85" s="567"/>
      <c r="P85" s="543">
        <f>SUMIFS('caseload data'!V:V,'caseload data'!B:B,"custody",'caseload data'!$C:$C,'custody caseload'!B85)</f>
        <v>0</v>
      </c>
      <c r="Q85" s="560"/>
      <c r="R85" s="561"/>
      <c r="T85" s="142">
        <f>HLOOKUP($B$5,Region_Table,25,0)</f>
        <v>0</v>
      </c>
      <c r="U85" s="556" t="s">
        <v>1073</v>
      </c>
      <c r="V85" s="557"/>
      <c r="W85" s="557"/>
      <c r="X85" s="557"/>
      <c r="Y85" s="557"/>
      <c r="Z85" s="557"/>
      <c r="AA85" s="557"/>
      <c r="AB85" s="557"/>
      <c r="AC85" s="557"/>
      <c r="AD85" s="557"/>
      <c r="AE85" s="566"/>
      <c r="AF85" s="566"/>
      <c r="AG85" s="567"/>
      <c r="AH85" s="543">
        <f>SUMIFS('caseload data'!V:V,'caseload data'!B:B,"custody",'caseload data'!$C:$C,'custody caseload'!T85)</f>
        <v>0</v>
      </c>
      <c r="AI85" s="560"/>
      <c r="AJ85" s="561"/>
    </row>
    <row r="86" spans="2:36" x14ac:dyDescent="0.15">
      <c r="B86" s="95" t="s">
        <v>951</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951</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94">
        <f>SUMIFS('caseload data'!E:E,'caseload data'!$D:$D,"PO",'caseload data'!$C:$C,'custody caseload'!$B$85,'caseload data'!$B:$B,"custody")</f>
        <v>0</v>
      </c>
      <c r="D87" s="94">
        <f>SUMIFS('caseload data'!F:F,'caseload data'!$D:$D,"PO",'caseload data'!$C:$C,'custody caseload'!$B$85,'caseload data'!$B:$B,"custody")</f>
        <v>0</v>
      </c>
      <c r="E87" s="94">
        <f>SUMIFS('caseload data'!G:G,'caseload data'!$D:$D,"PO",'caseload data'!$C:$C,'custody caseload'!$B$85,'caseload data'!$B:$B,"custody")</f>
        <v>0</v>
      </c>
      <c r="F87" s="94">
        <f>SUMIFS('caseload data'!H:H,'caseload data'!$D:$D,"PO",'caseload data'!$C:$C,'custody caseload'!$B$85,'caseload data'!$B:$B,"custody")</f>
        <v>0</v>
      </c>
      <c r="G87" s="94">
        <f>SUMIFS('caseload data'!I:I,'caseload data'!$D:$D,"PO",'caseload data'!$C:$C,'custody caseload'!$B$85,'caseload data'!$B:$B,"custody")</f>
        <v>0</v>
      </c>
      <c r="H87" s="94">
        <f>SUMIFS('caseload data'!J:J,'caseload data'!$D:$D,"PO",'caseload data'!$C:$C,'custody caseload'!$B$85,'caseload data'!$B:$B,"custody")</f>
        <v>0</v>
      </c>
      <c r="I87" s="94">
        <f>SUMIFS('caseload data'!K:K,'caseload data'!$D:$D,"PO",'caseload data'!$C:$C,'custody caseload'!$B$85,'caseload data'!$B:$B,"custody")</f>
        <v>0</v>
      </c>
      <c r="J87" s="94">
        <f>SUMIFS('caseload data'!L:L,'caseload data'!$D:$D,"PO",'caseload data'!$C:$C,'custody caseload'!$B$85,'caseload data'!$B:$B,"custody")</f>
        <v>0</v>
      </c>
      <c r="K87" s="94">
        <f>SUMIFS('caseload data'!M:M,'caseload data'!$D:$D,"PO",'caseload data'!$C:$C,'custody caseload'!$B$85,'caseload data'!$B:$B,"custody")</f>
        <v>0</v>
      </c>
      <c r="L87" s="94">
        <f>SUMIFS('caseload data'!N:N,'caseload data'!$D:$D,"PO",'caseload data'!$C:$C,'custody caseload'!$B$85,'caseload data'!$B:$B,"custody")</f>
        <v>0</v>
      </c>
      <c r="M87" s="94">
        <f>SUMIFS('caseload data'!O:O,'caseload data'!$D:$D,"PO",'caseload data'!$C:$C,'custody caseload'!$B$85,'caseload data'!$B:$B,"custody")</f>
        <v>0</v>
      </c>
      <c r="N87" s="94">
        <f>SUMIFS('caseload data'!P:P,'caseload data'!$D:$D,"PO",'caseload data'!$C:$C,'custody caseload'!$B$85,'caseload data'!$B:$B,"custody")</f>
        <v>0</v>
      </c>
      <c r="O87" s="94">
        <f>SUMIFS('caseload data'!Q:Q,'caseload data'!$D:$D,"PO",'caseload data'!$C:$C,'custody caseload'!$B$85,'caseload data'!$B:$B,"custody")</f>
        <v>0</v>
      </c>
      <c r="P87" s="94">
        <f>SUMIFS('caseload data'!R:R,'caseload data'!$D:$D,"PO",'caseload data'!$C:$C,'custody caseload'!$B$85,'caseload data'!$B:$B,"custody")</f>
        <v>0</v>
      </c>
      <c r="Q87" s="94">
        <f>SUMIFS('caseload data'!S:S,'caseload data'!$D:$D,"PO",'caseload data'!$C:$C,'custody caseload'!$B$85,'caseload data'!$B:$B,"custody")</f>
        <v>0</v>
      </c>
      <c r="R87" s="94">
        <f>SUMIFS('caseload data'!T:T,'caseload data'!$D:$D,"PO",'caseload data'!$C:$C,'custody caseload'!$B$85,'caseload data'!$B:$B,"custody")</f>
        <v>0</v>
      </c>
      <c r="T87" s="96" t="s">
        <v>947</v>
      </c>
      <c r="U87" s="94">
        <f>SUMIFS('caseload data'!E:E,'caseload data'!$D:$D,"PO",'caseload data'!$C:$C,'custody caseload'!$T$85,'caseload data'!$B:$B,"custody")</f>
        <v>0</v>
      </c>
      <c r="V87" s="94">
        <f>SUMIFS('caseload data'!F:F,'caseload data'!$D:$D,"PO",'caseload data'!$C:$C,'custody caseload'!$T$85,'caseload data'!$B:$B,"custody")</f>
        <v>0</v>
      </c>
      <c r="W87" s="94">
        <f>SUMIFS('caseload data'!G:G,'caseload data'!$D:$D,"PO",'caseload data'!$C:$C,'custody caseload'!$T$85,'caseload data'!$B:$B,"custody")</f>
        <v>0</v>
      </c>
      <c r="X87" s="94">
        <f>SUMIFS('caseload data'!H:H,'caseload data'!$D:$D,"PO",'caseload data'!$C:$C,'custody caseload'!$T$85,'caseload data'!$B:$B,"custody")</f>
        <v>0</v>
      </c>
      <c r="Y87" s="94">
        <f>SUMIFS('caseload data'!I:I,'caseload data'!$D:$D,"PO",'caseload data'!$C:$C,'custody caseload'!$T$85,'caseload data'!$B:$B,"custody")</f>
        <v>0</v>
      </c>
      <c r="Z87" s="94">
        <f>SUMIFS('caseload data'!J:J,'caseload data'!$D:$D,"PO",'caseload data'!$C:$C,'custody caseload'!$T$85,'caseload data'!$B:$B,"custody")</f>
        <v>0</v>
      </c>
      <c r="AA87" s="94">
        <f>SUMIFS('caseload data'!K:K,'caseload data'!$D:$D,"PO",'caseload data'!$C:$C,'custody caseload'!$T$85,'caseload data'!$B:$B,"custody")</f>
        <v>0</v>
      </c>
      <c r="AB87" s="94">
        <f>SUMIFS('caseload data'!L:L,'caseload data'!$D:$D,"PO",'caseload data'!$C:$C,'custody caseload'!$T$85,'caseload data'!$B:$B,"custody")</f>
        <v>0</v>
      </c>
      <c r="AC87" s="94">
        <f>SUMIFS('caseload data'!M:M,'caseload data'!$D:$D,"PO",'caseload data'!$C:$C,'custody caseload'!$T$85,'caseload data'!$B:$B,"custody")</f>
        <v>0</v>
      </c>
      <c r="AD87" s="94">
        <f>SUMIFS('caseload data'!N:N,'caseload data'!$D:$D,"PO",'caseload data'!$C:$C,'custody caseload'!$T$85,'caseload data'!$B:$B,"custody")</f>
        <v>0</v>
      </c>
      <c r="AE87" s="94">
        <f>SUMIFS('caseload data'!O:O,'caseload data'!$D:$D,"PO",'caseload data'!$C:$C,'custody caseload'!$T$85,'caseload data'!$B:$B,"custody")</f>
        <v>0</v>
      </c>
      <c r="AF87" s="94">
        <f>SUMIFS('caseload data'!P:P,'caseload data'!$D:$D,"PO",'caseload data'!$C:$C,'custody caseload'!$T$85,'caseload data'!$B:$B,"custody")</f>
        <v>0</v>
      </c>
      <c r="AG87" s="94">
        <f>SUMIFS('caseload data'!Q:Q,'caseload data'!$D:$D,"PO",'caseload data'!$C:$C,'custody caseload'!$T$85,'caseload data'!$B:$B,"custody")</f>
        <v>0</v>
      </c>
      <c r="AH87" s="94">
        <f>SUMIFS('caseload data'!R:R,'caseload data'!$D:$D,"PO",'caseload data'!$C:$C,'custody caseload'!$T$85,'caseload data'!$B:$B,"custody")</f>
        <v>0</v>
      </c>
      <c r="AI87" s="94">
        <f>SUMIFS('caseload data'!S:S,'caseload data'!$D:$D,"PO",'caseload data'!$C:$C,'custody caseload'!$T$85,'caseload data'!$B:$B,"custody")</f>
        <v>0</v>
      </c>
      <c r="AJ87" s="94">
        <f>SUMIFS('caseload data'!T:T,'caseload data'!$D:$D,"PO",'caseload data'!$C:$C,'custody caseload'!$T$85,'caseload data'!$B:$B,"custody")</f>
        <v>0</v>
      </c>
    </row>
    <row r="88" spans="2:36" ht="15" x14ac:dyDescent="0.2">
      <c r="B88" s="97" t="s">
        <v>952</v>
      </c>
      <c r="C88" s="145">
        <f>SUMIFS('caseload data'!E:E,'caseload data'!$D:$D,"PSO",'caseload data'!$C:$C,'custody caseload'!$B$85,'caseload data'!$B:$B,"custody")</f>
        <v>0</v>
      </c>
      <c r="D88" s="145">
        <f>SUMIFS('caseload data'!F:F,'caseload data'!$D:$D,"PSO",'caseload data'!$C:$C,'custody caseload'!$B$85,'caseload data'!$B:$B,"custody")</f>
        <v>0</v>
      </c>
      <c r="E88" s="145">
        <f>SUMIFS('caseload data'!G:G,'caseload data'!$D:$D,"PSO",'caseload data'!$C:$C,'custody caseload'!$B$85,'caseload data'!$B:$B,"custody")</f>
        <v>0</v>
      </c>
      <c r="F88" s="145">
        <f>SUMIFS('caseload data'!H:H,'caseload data'!$D:$D,"PSO",'caseload data'!$C:$C,'custody caseload'!$B$85,'caseload data'!$B:$B,"custody")</f>
        <v>0</v>
      </c>
      <c r="G88" s="145">
        <f>SUMIFS('caseload data'!I:I,'caseload data'!$D:$D,"PSO",'caseload data'!$C:$C,'custody caseload'!$B$85,'caseload data'!$B:$B,"custody")</f>
        <v>0</v>
      </c>
      <c r="H88" s="145">
        <f>SUMIFS('caseload data'!J:J,'caseload data'!$D:$D,"PSO",'caseload data'!$C:$C,'custody caseload'!$B$85,'caseload data'!$B:$B,"custody")</f>
        <v>0</v>
      </c>
      <c r="I88" s="145">
        <f>SUMIFS('caseload data'!K:K,'caseload data'!$D:$D,"PSO",'caseload data'!$C:$C,'custody caseload'!$B$85,'caseload data'!$B:$B,"custody")</f>
        <v>0</v>
      </c>
      <c r="J88" s="145">
        <f>SUMIFS('caseload data'!L:L,'caseload data'!$D:$D,"PSO",'caseload data'!$C:$C,'custody caseload'!$B$85,'caseload data'!$B:$B,"custody")</f>
        <v>0</v>
      </c>
      <c r="K88" s="94">
        <f>SUMIFS('caseload data'!M:M,'caseload data'!$D:$D,"PSO",'caseload data'!$C:$C,'custody caseload'!$B$85,'caseload data'!$B:$B,"custody")</f>
        <v>0</v>
      </c>
      <c r="L88" s="94">
        <f>SUMIFS('caseload data'!N:N,'caseload data'!$D:$D,"PSO",'caseload data'!$C:$C,'custody caseload'!$B$85,'caseload data'!$B:$B,"custody")</f>
        <v>0</v>
      </c>
      <c r="M88" s="94">
        <f>SUMIFS('caseload data'!O:O,'caseload data'!$D:$D,"PSO",'caseload data'!$C:$C,'custody caseload'!$B$85,'caseload data'!$B:$B,"custody")</f>
        <v>0</v>
      </c>
      <c r="N88" s="94">
        <f>SUMIFS('caseload data'!P:P,'caseload data'!$D:$D,"PSO",'caseload data'!$C:$C,'custody caseload'!$B$85,'caseload data'!$B:$B,"custody")</f>
        <v>0</v>
      </c>
      <c r="O88" s="94">
        <f>SUMIFS('caseload data'!Q:Q,'caseload data'!$D:$D,"PSO",'caseload data'!$C:$C,'custody caseload'!$B$85,'caseload data'!$B:$B,"custody")</f>
        <v>0</v>
      </c>
      <c r="P88" s="94">
        <f>SUMIFS('caseload data'!R:R,'caseload data'!$D:$D,"PSO",'caseload data'!$C:$C,'custody caseload'!$B$85,'caseload data'!$B:$B,"custody")</f>
        <v>0</v>
      </c>
      <c r="Q88" s="94">
        <f>SUMIFS('caseload data'!S:S,'caseload data'!$D:$D,"PSO",'caseload data'!$C:$C,'custody caseload'!$B$85,'caseload data'!$B:$B,"custody")</f>
        <v>0</v>
      </c>
      <c r="R88" s="94">
        <f>SUMIFS('caseload data'!T:T,'caseload data'!$D:$D,"PSO",'caseload data'!$C:$C,'custody caseload'!$B$85,'caseload data'!$B:$B,"custody")</f>
        <v>0</v>
      </c>
      <c r="T88" s="97" t="s">
        <v>952</v>
      </c>
      <c r="U88" s="145">
        <f>SUMIFS('caseload data'!E:E,'caseload data'!$D:$D,"PSO",'caseload data'!$C:$C,'custody caseload'!$T$85,'caseload data'!$B:$B,"custody")</f>
        <v>0</v>
      </c>
      <c r="V88" s="145">
        <f>SUMIFS('caseload data'!F:F,'caseload data'!$D:$D,"PSO",'caseload data'!$C:$C,'custody caseload'!$T$85,'caseload data'!$B:$B,"custody")</f>
        <v>0</v>
      </c>
      <c r="W88" s="145">
        <f>SUMIFS('caseload data'!G:G,'caseload data'!$D:$D,"PSO",'caseload data'!$C:$C,'custody caseload'!$T$85,'caseload data'!$B:$B,"custody")</f>
        <v>0</v>
      </c>
      <c r="X88" s="145">
        <f>SUMIFS('caseload data'!H:H,'caseload data'!$D:$D,"PSO",'caseload data'!$C:$C,'custody caseload'!$T$85,'caseload data'!$B:$B,"custody")</f>
        <v>0</v>
      </c>
      <c r="Y88" s="145">
        <f>SUMIFS('caseload data'!I:I,'caseload data'!$D:$D,"PSO",'caseload data'!$C:$C,'custody caseload'!$T$85,'caseload data'!$B:$B,"custody")</f>
        <v>0</v>
      </c>
      <c r="Z88" s="145">
        <f>SUMIFS('caseload data'!J:J,'caseload data'!$D:$D,"PSO",'caseload data'!$C:$C,'custody caseload'!$T$85,'caseload data'!$B:$B,"custody")</f>
        <v>0</v>
      </c>
      <c r="AA88" s="145">
        <f>SUMIFS('caseload data'!K:K,'caseload data'!$D:$D,"PSO",'caseload data'!$C:$C,'custody caseload'!$T$85,'caseload data'!$B:$B,"custody")</f>
        <v>0</v>
      </c>
      <c r="AB88" s="145">
        <f>SUMIFS('caseload data'!L:L,'caseload data'!$D:$D,"PSO",'caseload data'!$C:$C,'custody caseload'!$T$85,'caseload data'!$B:$B,"custody")</f>
        <v>0</v>
      </c>
      <c r="AC88" s="94">
        <f>SUMIFS('caseload data'!M:M,'caseload data'!$D:$D,"PSO",'caseload data'!$C:$C,'custody caseload'!$T$85,'caseload data'!$B:$B,"custody")</f>
        <v>0</v>
      </c>
      <c r="AD88" s="94">
        <f>SUMIFS('caseload data'!N:N,'caseload data'!$D:$D,"PSO",'caseload data'!$C:$C,'custody caseload'!$T$85,'caseload data'!$B:$B,"custody")</f>
        <v>0</v>
      </c>
      <c r="AE88" s="94">
        <f>SUMIFS('caseload data'!O:O,'caseload data'!$D:$D,"PSO",'caseload data'!$C:$C,'custody caseload'!$T$85,'caseload data'!$B:$B,"custody")</f>
        <v>0</v>
      </c>
      <c r="AF88" s="94">
        <f>SUMIFS('caseload data'!P:P,'caseload data'!$D:$D,"PSO",'caseload data'!$C:$C,'custody caseload'!$T$85,'caseload data'!$B:$B,"custody")</f>
        <v>0</v>
      </c>
      <c r="AG88" s="94">
        <f>SUMIFS('caseload data'!Q:Q,'caseload data'!$D:$D,"PSO",'caseload data'!$C:$C,'custody caseload'!$T$85,'caseload data'!$B:$B,"custody")</f>
        <v>0</v>
      </c>
      <c r="AH88" s="94">
        <f>SUMIFS('caseload data'!R:R,'caseload data'!$D:$D,"PSO",'caseload data'!$C:$C,'custody caseload'!$T$85,'caseload data'!$B:$B,"custody")</f>
        <v>0</v>
      </c>
      <c r="AI88" s="94">
        <f>SUMIFS('caseload data'!S:S,'caseload data'!$D:$D,"PSO",'caseload data'!$C:$C,'custody caseload'!$T$85,'caseload data'!$B:$B,"custody")</f>
        <v>0</v>
      </c>
      <c r="AJ88" s="94">
        <f>SUMIFS('caseload data'!T:T,'caseload data'!$D:$D,"PSO",'caseload data'!$C:$C,'custody caseload'!$T$85,'caseload data'!$B:$B,"custody")</f>
        <v>0</v>
      </c>
    </row>
    <row r="89" spans="2:36" ht="15" x14ac:dyDescent="0.2">
      <c r="B89" s="97" t="s">
        <v>953</v>
      </c>
      <c r="C89" s="145">
        <f>SUMIFS('caseload data'!E:E,'caseload data'!$D:$D,"TPO",'caseload data'!$C:$C,'custody caseload'!$B$85,'caseload data'!$B:$B,"custody")</f>
        <v>0</v>
      </c>
      <c r="D89" s="145">
        <f>SUMIFS('caseload data'!F:F,'caseload data'!$D:$D,"TPO",'caseload data'!$C:$C,'custody caseload'!$B$85,'caseload data'!$B:$B,"custody")</f>
        <v>0</v>
      </c>
      <c r="E89" s="145">
        <f>SUMIFS('caseload data'!G:G,'caseload data'!$D:$D,"TPO",'caseload data'!$C:$C,'custody caseload'!$B$85,'caseload data'!$B:$B,"custody")</f>
        <v>0</v>
      </c>
      <c r="F89" s="145">
        <f>SUMIFS('caseload data'!H:H,'caseload data'!$D:$D,"TPO",'caseload data'!$C:$C,'custody caseload'!$B$85,'caseload data'!$B:$B,"custody")</f>
        <v>0</v>
      </c>
      <c r="G89" s="145">
        <f>SUMIFS('caseload data'!I:I,'caseload data'!$D:$D,"TPO",'caseload data'!$C:$C,'custody caseload'!$B$85,'caseload data'!$B:$B,"custody")</f>
        <v>0</v>
      </c>
      <c r="H89" s="145">
        <f>SUMIFS('caseload data'!J:J,'caseload data'!$D:$D,"TPO",'caseload data'!$C:$C,'custody caseload'!$B$85,'caseload data'!$B:$B,"custody")</f>
        <v>0</v>
      </c>
      <c r="I89" s="145">
        <f>SUMIFS('caseload data'!K:K,'caseload data'!$D:$D,"TPO",'caseload data'!$C:$C,'custody caseload'!$B$85,'caseload data'!$B:$B,"custody")</f>
        <v>0</v>
      </c>
      <c r="J89" s="145">
        <f>SUMIFS('caseload data'!L:L,'caseload data'!$D:$D,"TPO",'caseload data'!$C:$C,'custody caseload'!$B$85,'caseload data'!$B:$B,"custody")</f>
        <v>0</v>
      </c>
      <c r="K89" s="94">
        <f>SUMIFS('caseload data'!M:M,'caseload data'!$D:$D,"TPO",'caseload data'!$C:$C,'custody caseload'!$B$85,'caseload data'!$B:$B,"custody")</f>
        <v>0</v>
      </c>
      <c r="L89" s="94">
        <f>SUMIFS('caseload data'!N:N,'caseload data'!$D:$D,"TPO",'caseload data'!$C:$C,'custody caseload'!$B$85,'caseload data'!$B:$B,"custody")</f>
        <v>0</v>
      </c>
      <c r="M89" s="94">
        <f>SUMIFS('caseload data'!O:O,'caseload data'!$D:$D,"TPO",'caseload data'!$C:$C,'custody caseload'!$B$85,'caseload data'!$B:$B,"custody")</f>
        <v>0</v>
      </c>
      <c r="N89" s="94">
        <f>SUMIFS('caseload data'!P:P,'caseload data'!$D:$D,"TPO",'caseload data'!$C:$C,'custody caseload'!$B$85,'caseload data'!$B:$B,"custody")</f>
        <v>0</v>
      </c>
      <c r="O89" s="94">
        <f>SUMIFS('caseload data'!Q:Q,'caseload data'!$D:$D,"TPO",'caseload data'!$C:$C,'custody caseload'!$B$85,'caseload data'!$B:$B,"custody")</f>
        <v>0</v>
      </c>
      <c r="P89" s="94">
        <f>SUMIFS('caseload data'!R:R,'caseload data'!$D:$D,"TPO",'caseload data'!$C:$C,'custody caseload'!$B$85,'caseload data'!$B:$B,"custody")</f>
        <v>0</v>
      </c>
      <c r="Q89" s="94">
        <f>SUMIFS('caseload data'!S:S,'caseload data'!$D:$D,"TPO",'caseload data'!$C:$C,'custody caseload'!$B$85,'caseload data'!$B:$B,"custody")</f>
        <v>0</v>
      </c>
      <c r="R89" s="94">
        <f>SUMIFS('caseload data'!T:T,'caseload data'!$D:$D,"TPO",'caseload data'!$C:$C,'custody caseload'!$B$85,'caseload data'!$B:$B,"custody")</f>
        <v>0</v>
      </c>
      <c r="T89" s="97" t="s">
        <v>953</v>
      </c>
      <c r="U89" s="145">
        <f>SUMIFS('caseload data'!E:E,'caseload data'!$D:$D,"TPO",'caseload data'!$C:$C,'custody caseload'!$T$85,'caseload data'!$B:$B,"custody")</f>
        <v>0</v>
      </c>
      <c r="V89" s="145">
        <f>SUMIFS('caseload data'!F:F,'caseload data'!$D:$D,"TPO",'caseload data'!$C:$C,'custody caseload'!$T$85,'caseload data'!$B:$B,"custody")</f>
        <v>0</v>
      </c>
      <c r="W89" s="145">
        <f>SUMIFS('caseload data'!G:G,'caseload data'!$D:$D,"TPO",'caseload data'!$C:$C,'custody caseload'!$T$85,'caseload data'!$B:$B,"custody")</f>
        <v>0</v>
      </c>
      <c r="X89" s="145">
        <f>SUMIFS('caseload data'!H:H,'caseload data'!$D:$D,"TPO",'caseload data'!$C:$C,'custody caseload'!$T$85,'caseload data'!$B:$B,"custody")</f>
        <v>0</v>
      </c>
      <c r="Y89" s="145">
        <f>SUMIFS('caseload data'!I:I,'caseload data'!$D:$D,"TPO",'caseload data'!$C:$C,'custody caseload'!$T$85,'caseload data'!$B:$B,"custody")</f>
        <v>0</v>
      </c>
      <c r="Z89" s="145">
        <f>SUMIFS('caseload data'!J:J,'caseload data'!$D:$D,"TPO",'caseload data'!$C:$C,'custody caseload'!$T$85,'caseload data'!$B:$B,"custody")</f>
        <v>0</v>
      </c>
      <c r="AA89" s="145">
        <f>SUMIFS('caseload data'!K:K,'caseload data'!$D:$D,"TPO",'caseload data'!$C:$C,'custody caseload'!$T$85,'caseload data'!$B:$B,"custody")</f>
        <v>0</v>
      </c>
      <c r="AB89" s="145">
        <f>SUMIFS('caseload data'!L:L,'caseload data'!$D:$D,"TPO",'caseload data'!$C:$C,'custody caseload'!$T$85,'caseload data'!$B:$B,"custody")</f>
        <v>0</v>
      </c>
      <c r="AC89" s="94">
        <f>SUMIFS('caseload data'!M:M,'caseload data'!$D:$D,"TPO",'caseload data'!$C:$C,'custody caseload'!$T$85,'caseload data'!$B:$B,"custody")</f>
        <v>0</v>
      </c>
      <c r="AD89" s="94">
        <f>SUMIFS('caseload data'!N:N,'caseload data'!$D:$D,"TPO",'caseload data'!$C:$C,'custody caseload'!$T$85,'caseload data'!$B:$B,"custody")</f>
        <v>0</v>
      </c>
      <c r="AE89" s="94">
        <f>SUMIFS('caseload data'!O:O,'caseload data'!$D:$D,"TPO",'caseload data'!$C:$C,'custody caseload'!$T$85,'caseload data'!$B:$B,"custody")</f>
        <v>0</v>
      </c>
      <c r="AF89" s="94">
        <f>SUMIFS('caseload data'!P:P,'caseload data'!$D:$D,"TPO",'caseload data'!$C:$C,'custody caseload'!$T$85,'caseload data'!$B:$B,"custody")</f>
        <v>0</v>
      </c>
      <c r="AG89" s="94">
        <f>SUMIFS('caseload data'!Q:Q,'caseload data'!$D:$D,"TPO",'caseload data'!$C:$C,'custody caseload'!$T$85,'caseload data'!$B:$B,"custody")</f>
        <v>0</v>
      </c>
      <c r="AH89" s="94">
        <f>SUMIFS('caseload data'!R:R,'caseload data'!$D:$D,"TPO",'caseload data'!$C:$C,'custody caseload'!$T$85,'caseload data'!$B:$B,"custody")</f>
        <v>0</v>
      </c>
      <c r="AI89" s="94">
        <f>SUMIFS('caseload data'!S:S,'caseload data'!$D:$D,"TPO",'caseload data'!$C:$C,'custody caseload'!$T$85,'caseload data'!$B:$B,"custody")</f>
        <v>0</v>
      </c>
      <c r="AJ89" s="94">
        <f>SUMIFS('caseload data'!T:T,'caseload data'!$D:$D,"TPO",'caseload data'!$C:$C,'custody caseload'!$T$85,'caseload data'!$B:$B,"custody")</f>
        <v>0</v>
      </c>
    </row>
    <row r="90" spans="2:36" x14ac:dyDescent="0.15">
      <c r="B90" s="98" t="s">
        <v>954</v>
      </c>
      <c r="C90" s="94">
        <f>SUMIFS('caseload data'!E:E,'caseload data'!$D:$D,"SPO",'caseload data'!$C:$C,'custody caseload'!$B$85,'caseload data'!$B:$B,"custody")</f>
        <v>0</v>
      </c>
      <c r="D90" s="94">
        <f>SUMIFS('caseload data'!F:F,'caseload data'!$D:$D,"SPO",'caseload data'!$C:$C,'custody caseload'!$B$85,'caseload data'!$B:$B,"custody")</f>
        <v>0</v>
      </c>
      <c r="E90" s="94">
        <f>SUMIFS('caseload data'!G:G,'caseload data'!$D:$D,"SPO",'caseload data'!$C:$C,'custody caseload'!$B$85,'caseload data'!$B:$B,"custody")</f>
        <v>0</v>
      </c>
      <c r="F90" s="94">
        <f>SUMIFS('caseload data'!H:H,'caseload data'!$D:$D,"SPO",'caseload data'!$C:$C,'custody caseload'!$B$85,'caseload data'!$B:$B,"custody")</f>
        <v>0</v>
      </c>
      <c r="G90" s="94">
        <f>SUMIFS('caseload data'!I:I,'caseload data'!$D:$D,"SPO",'caseload data'!$C:$C,'custody caseload'!$B$85,'caseload data'!$B:$B,"custody")</f>
        <v>0</v>
      </c>
      <c r="H90" s="94">
        <f>SUMIFS('caseload data'!J:J,'caseload data'!$D:$D,"SPO",'caseload data'!$C:$C,'custody caseload'!$B$85,'caseload data'!$B:$B,"custody")</f>
        <v>0</v>
      </c>
      <c r="I90" s="94">
        <f>SUMIFS('caseload data'!K:K,'caseload data'!$D:$D,"SPO",'caseload data'!$C:$C,'custody caseload'!$B$85,'caseload data'!$B:$B,"custody")</f>
        <v>0</v>
      </c>
      <c r="J90" s="94">
        <f>SUMIFS('caseload data'!L:L,'caseload data'!$D:$D,"SPO",'caseload data'!$C:$C,'custody caseload'!$B$85,'caseload data'!$B:$B,"custody")</f>
        <v>0</v>
      </c>
      <c r="K90" s="94">
        <f>SUMIFS('caseload data'!M:M,'caseload data'!$D:$D,"SPO",'caseload data'!$C:$C,'custody caseload'!$B$85,'caseload data'!$B:$B,"custody")</f>
        <v>0</v>
      </c>
      <c r="L90" s="94">
        <f>SUMIFS('caseload data'!N:N,'caseload data'!$D:$D,"SPO",'caseload data'!$C:$C,'custody caseload'!$B$85,'caseload data'!$B:$B,"custody")</f>
        <v>0</v>
      </c>
      <c r="M90" s="94">
        <f>SUMIFS('caseload data'!O:O,'caseload data'!$D:$D,"SPO",'caseload data'!$C:$C,'custody caseload'!$B$85,'caseload data'!$B:$B,"custody")</f>
        <v>0</v>
      </c>
      <c r="N90" s="94">
        <f>SUMIFS('caseload data'!P:P,'caseload data'!$D:$D,"SPO",'caseload data'!$C:$C,'custody caseload'!$B$85,'caseload data'!$B:$B,"custody")</f>
        <v>0</v>
      </c>
      <c r="O90" s="94">
        <f>SUMIFS('caseload data'!Q:Q,'caseload data'!$D:$D,"SPO",'caseload data'!$C:$C,'custody caseload'!$B$85,'caseload data'!$B:$B,"custody")</f>
        <v>0</v>
      </c>
      <c r="P90" s="94">
        <f>SUMIFS('caseload data'!R:R,'caseload data'!$D:$D,"SPO",'caseload data'!$C:$C,'custody caseload'!$B$85,'caseload data'!$B:$B,"custody")</f>
        <v>0</v>
      </c>
      <c r="Q90" s="94">
        <f>SUMIFS('caseload data'!S:S,'caseload data'!$D:$D,"SPO",'caseload data'!$C:$C,'custody caseload'!$B$85,'caseload data'!$B:$B,"custody")</f>
        <v>0</v>
      </c>
      <c r="R90" s="94">
        <f>SUMIFS('caseload data'!T:T,'caseload data'!$D:$D,"SPO",'caseload data'!$C:$C,'custody caseload'!$B$85,'caseload data'!$B:$B,"custody")</f>
        <v>0</v>
      </c>
      <c r="T90" s="98" t="s">
        <v>954</v>
      </c>
      <c r="U90" s="94">
        <f>SUMIFS('caseload data'!E:E,'caseload data'!$D:$D,"SPO",'caseload data'!$C:$C,'custody caseload'!$T$85,'caseload data'!$B:$B,"custody")</f>
        <v>0</v>
      </c>
      <c r="V90" s="94">
        <f>SUMIFS('caseload data'!F:F,'caseload data'!$D:$D,"SPO",'caseload data'!$C:$C,'custody caseload'!$T$85,'caseload data'!$B:$B,"custody")</f>
        <v>0</v>
      </c>
      <c r="W90" s="94">
        <f>SUMIFS('caseload data'!G:G,'caseload data'!$D:$D,"SPO",'caseload data'!$C:$C,'custody caseload'!$T$85,'caseload data'!$B:$B,"custody")</f>
        <v>0</v>
      </c>
      <c r="X90" s="94">
        <f>SUMIFS('caseload data'!H:H,'caseload data'!$D:$D,"SPO",'caseload data'!$C:$C,'custody caseload'!$T$85,'caseload data'!$B:$B,"custody")</f>
        <v>0</v>
      </c>
      <c r="Y90" s="94">
        <f>SUMIFS('caseload data'!I:I,'caseload data'!$D:$D,"SPO",'caseload data'!$C:$C,'custody caseload'!$T$85,'caseload data'!$B:$B,"custody")</f>
        <v>0</v>
      </c>
      <c r="Z90" s="94">
        <f>SUMIFS('caseload data'!J:J,'caseload data'!$D:$D,"SPO",'caseload data'!$C:$C,'custody caseload'!$T$85,'caseload data'!$B:$B,"custody")</f>
        <v>0</v>
      </c>
      <c r="AA90" s="94">
        <f>SUMIFS('caseload data'!K:K,'caseload data'!$D:$D,"SPO",'caseload data'!$C:$C,'custody caseload'!$T$85,'caseload data'!$B:$B,"custody")</f>
        <v>0</v>
      </c>
      <c r="AB90" s="94">
        <f>SUMIFS('caseload data'!L:L,'caseload data'!$D:$D,"SPO",'caseload data'!$C:$C,'custody caseload'!$T$85,'caseload data'!$B:$B,"custody")</f>
        <v>0</v>
      </c>
      <c r="AC90" s="94">
        <f>SUMIFS('caseload data'!M:M,'caseload data'!$D:$D,"SPO",'caseload data'!$C:$C,'custody caseload'!$T$85,'caseload data'!$B:$B,"custody")</f>
        <v>0</v>
      </c>
      <c r="AD90" s="94">
        <f>SUMIFS('caseload data'!N:N,'caseload data'!$D:$D,"SPO",'caseload data'!$C:$C,'custody caseload'!$T$85,'caseload data'!$B:$B,"custody")</f>
        <v>0</v>
      </c>
      <c r="AE90" s="94">
        <f>SUMIFS('caseload data'!O:O,'caseload data'!$D:$D,"SPO",'caseload data'!$C:$C,'custody caseload'!$T$85,'caseload data'!$B:$B,"custody")</f>
        <v>0</v>
      </c>
      <c r="AF90" s="94">
        <f>SUMIFS('caseload data'!P:P,'caseload data'!$D:$D,"SPO",'caseload data'!$C:$C,'custody caseload'!$T$85,'caseload data'!$B:$B,"custody")</f>
        <v>0</v>
      </c>
      <c r="AG90" s="94">
        <f>SUMIFS('caseload data'!Q:Q,'caseload data'!$D:$D,"SPO",'caseload data'!$C:$C,'custody caseload'!$T$85,'caseload data'!$B:$B,"custody")</f>
        <v>0</v>
      </c>
      <c r="AH90" s="94">
        <f>SUMIFS('caseload data'!R:R,'caseload data'!$D:$D,"SPO",'caseload data'!$C:$C,'custody caseload'!$T$85,'caseload data'!$B:$B,"custody")</f>
        <v>0</v>
      </c>
      <c r="AI90" s="94">
        <f>SUMIFS('caseload data'!S:S,'caseload data'!$D:$D,"SPO",'caseload data'!$C:$C,'custody caseload'!$T$85,'caseload data'!$B:$B,"custody")</f>
        <v>0</v>
      </c>
      <c r="AJ90" s="94">
        <f>SUMIFS('caseload data'!T:T,'caseload data'!$D:$D,"SPO",'caseload data'!$C:$C,'custody caseload'!$T$85,'caseload data'!$B:$B,"custody")</f>
        <v>0</v>
      </c>
    </row>
    <row r="92" spans="2:36" ht="21" customHeight="1" x14ac:dyDescent="0.15">
      <c r="B92" s="142">
        <f>HLOOKUP($B$5,Region_Table,26,0)</f>
        <v>0</v>
      </c>
      <c r="C92" s="556" t="s">
        <v>1073</v>
      </c>
      <c r="D92" s="557"/>
      <c r="E92" s="557"/>
      <c r="F92" s="557"/>
      <c r="G92" s="557"/>
      <c r="H92" s="557"/>
      <c r="I92" s="557"/>
      <c r="J92" s="557"/>
      <c r="K92" s="557"/>
      <c r="L92" s="557"/>
      <c r="M92" s="566"/>
      <c r="N92" s="566"/>
      <c r="O92" s="567"/>
      <c r="P92" s="543">
        <f>SUMIFS('caseload data'!V:V,'caseload data'!B:B,"custody",'caseload data'!$C:$C,'custody caseload'!B92)</f>
        <v>0</v>
      </c>
      <c r="Q92" s="560"/>
      <c r="R92" s="561"/>
      <c r="T92" s="142">
        <f>HLOOKUP($B$5,Region_Table,27,0)</f>
        <v>0</v>
      </c>
      <c r="U92" s="556" t="s">
        <v>1073</v>
      </c>
      <c r="V92" s="557"/>
      <c r="W92" s="557"/>
      <c r="X92" s="557"/>
      <c r="Y92" s="557"/>
      <c r="Z92" s="557"/>
      <c r="AA92" s="557"/>
      <c r="AB92" s="557"/>
      <c r="AC92" s="557"/>
      <c r="AD92" s="557"/>
      <c r="AE92" s="566"/>
      <c r="AF92" s="566"/>
      <c r="AG92" s="567"/>
      <c r="AH92" s="543">
        <f>SUMIFS('caseload data'!V:V,'caseload data'!B:B,"custody",'caseload data'!$C:$C,'custody caseload'!T92)</f>
        <v>0</v>
      </c>
      <c r="AI92" s="560"/>
      <c r="AJ92" s="561"/>
    </row>
    <row r="93" spans="2:36" x14ac:dyDescent="0.15">
      <c r="B93" s="95" t="s">
        <v>951</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951</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94">
        <f>SUMIFS('caseload data'!E:E,'caseload data'!$D:$D,"PO",'caseload data'!$C:$C,'custody caseload'!$B$92,'caseload data'!$B:$B,"custody")</f>
        <v>0</v>
      </c>
      <c r="D94" s="94">
        <f>SUMIFS('caseload data'!F:F,'caseload data'!$D:$D,"PO",'caseload data'!$C:$C,'custody caseload'!$B$92,'caseload data'!$B:$B,"custody")</f>
        <v>0</v>
      </c>
      <c r="E94" s="94">
        <f>SUMIFS('caseload data'!G:G,'caseload data'!$D:$D,"PO",'caseload data'!$C:$C,'custody caseload'!$B$92,'caseload data'!$B:$B,"custody")</f>
        <v>0</v>
      </c>
      <c r="F94" s="94">
        <f>SUMIFS('caseload data'!H:H,'caseload data'!$D:$D,"PO",'caseload data'!$C:$C,'custody caseload'!$B$92,'caseload data'!$B:$B,"custody")</f>
        <v>0</v>
      </c>
      <c r="G94" s="94">
        <f>SUMIFS('caseload data'!I:I,'caseload data'!$D:$D,"PO",'caseload data'!$C:$C,'custody caseload'!$B$92,'caseload data'!$B:$B,"custody")</f>
        <v>0</v>
      </c>
      <c r="H94" s="94">
        <f>SUMIFS('caseload data'!J:J,'caseload data'!$D:$D,"PO",'caseload data'!$C:$C,'custody caseload'!$B$92,'caseload data'!$B:$B,"custody")</f>
        <v>0</v>
      </c>
      <c r="I94" s="94">
        <f>SUMIFS('caseload data'!K:K,'caseload data'!$D:$D,"PO",'caseload data'!$C:$C,'custody caseload'!$B$92,'caseload data'!$B:$B,"custody")</f>
        <v>0</v>
      </c>
      <c r="J94" s="94">
        <f>SUMIFS('caseload data'!L:L,'caseload data'!$D:$D,"PO",'caseload data'!$C:$C,'custody caseload'!$B$92,'caseload data'!$B:$B,"custody")</f>
        <v>0</v>
      </c>
      <c r="K94" s="94">
        <f>SUMIFS('caseload data'!M:M,'caseload data'!$D:$D,"PO",'caseload data'!$C:$C,'custody caseload'!$B$92,'caseload data'!$B:$B,"custody")</f>
        <v>0</v>
      </c>
      <c r="L94" s="94">
        <f>SUMIFS('caseload data'!N:N,'caseload data'!$D:$D,"PO",'caseload data'!$C:$C,'custody caseload'!$B$92,'caseload data'!$B:$B,"custody")</f>
        <v>0</v>
      </c>
      <c r="M94" s="94">
        <f>SUMIFS('caseload data'!O:O,'caseload data'!$D:$D,"PO",'caseload data'!$C:$C,'custody caseload'!$B$92,'caseload data'!$B:$B,"custody")</f>
        <v>0</v>
      </c>
      <c r="N94" s="94">
        <f>SUMIFS('caseload data'!P:P,'caseload data'!$D:$D,"PO",'caseload data'!$C:$C,'custody caseload'!$B$92,'caseload data'!$B:$B,"custody")</f>
        <v>0</v>
      </c>
      <c r="O94" s="94">
        <f>SUMIFS('caseload data'!Q:Q,'caseload data'!$D:$D,"PO",'caseload data'!$C:$C,'custody caseload'!$B$92,'caseload data'!$B:$B,"custody")</f>
        <v>0</v>
      </c>
      <c r="P94" s="94">
        <f>SUMIFS('caseload data'!R:R,'caseload data'!$D:$D,"PO",'caseload data'!$C:$C,'custody caseload'!$B$92,'caseload data'!$B:$B,"custody")</f>
        <v>0</v>
      </c>
      <c r="Q94" s="94">
        <f>SUMIFS('caseload data'!S:S,'caseload data'!$D:$D,"PO",'caseload data'!$C:$C,'custody caseload'!$B$92,'caseload data'!$B:$B,"custody")</f>
        <v>0</v>
      </c>
      <c r="R94" s="94">
        <f>SUMIFS('caseload data'!T:T,'caseload data'!$D:$D,"PO",'caseload data'!$C:$C,'custody caseload'!$B$92,'caseload data'!$B:$B,"custody")</f>
        <v>0</v>
      </c>
      <c r="T94" s="96" t="s">
        <v>947</v>
      </c>
      <c r="U94" s="94">
        <f>SUMIFS('caseload data'!E:E,'caseload data'!$D:$D,"PO",'caseload data'!$C:$C,'custody caseload'!$T$92,'caseload data'!$B:$B,"custody")</f>
        <v>0</v>
      </c>
      <c r="V94" s="94">
        <f>SUMIFS('caseload data'!F:F,'caseload data'!$D:$D,"PO",'caseload data'!$C:$C,'custody caseload'!$T$92,'caseload data'!$B:$B,"custody")</f>
        <v>0</v>
      </c>
      <c r="W94" s="94">
        <f>SUMIFS('caseload data'!G:G,'caseload data'!$D:$D,"PO",'caseload data'!$C:$C,'custody caseload'!$T$92,'caseload data'!$B:$B,"custody")</f>
        <v>0</v>
      </c>
      <c r="X94" s="94">
        <f>SUMIFS('caseload data'!H:H,'caseload data'!$D:$D,"PO",'caseload data'!$C:$C,'custody caseload'!$T$92,'caseload data'!$B:$B,"custody")</f>
        <v>0</v>
      </c>
      <c r="Y94" s="94">
        <f>SUMIFS('caseload data'!I:I,'caseload data'!$D:$D,"PO",'caseload data'!$C:$C,'custody caseload'!$T$92,'caseload data'!$B:$B,"custody")</f>
        <v>0</v>
      </c>
      <c r="Z94" s="94">
        <f>SUMIFS('caseload data'!J:J,'caseload data'!$D:$D,"PO",'caseload data'!$C:$C,'custody caseload'!$T$92,'caseload data'!$B:$B,"custody")</f>
        <v>0</v>
      </c>
      <c r="AA94" s="94">
        <f>SUMIFS('caseload data'!K:K,'caseload data'!$D:$D,"PO",'caseload data'!$C:$C,'custody caseload'!$T$92,'caseload data'!$B:$B,"custody")</f>
        <v>0</v>
      </c>
      <c r="AB94" s="94">
        <f>SUMIFS('caseload data'!L:L,'caseload data'!$D:$D,"PO",'caseload data'!$C:$C,'custody caseload'!$T$92,'caseload data'!$B:$B,"custody")</f>
        <v>0</v>
      </c>
      <c r="AC94" s="94">
        <f>SUMIFS('caseload data'!M:M,'caseload data'!$D:$D,"PO",'caseload data'!$C:$C,'custody caseload'!$T$92,'caseload data'!$B:$B,"custody")</f>
        <v>0</v>
      </c>
      <c r="AD94" s="94">
        <f>SUMIFS('caseload data'!N:N,'caseload data'!$D:$D,"PO",'caseload data'!$C:$C,'custody caseload'!$T$92,'caseload data'!$B:$B,"custody")</f>
        <v>0</v>
      </c>
      <c r="AE94" s="94">
        <f>SUMIFS('caseload data'!O:O,'caseload data'!$D:$D,"PO",'caseload data'!$C:$C,'custody caseload'!$T$92,'caseload data'!$B:$B,"custody")</f>
        <v>0</v>
      </c>
      <c r="AF94" s="94">
        <f>SUMIFS('caseload data'!P:P,'caseload data'!$D:$D,"PO",'caseload data'!$C:$C,'custody caseload'!$T$92,'caseload data'!$B:$B,"custody")</f>
        <v>0</v>
      </c>
      <c r="AG94" s="94">
        <f>SUMIFS('caseload data'!Q:Q,'caseload data'!$D:$D,"PO",'caseload data'!$C:$C,'custody caseload'!$T$92,'caseload data'!$B:$B,"custody")</f>
        <v>0</v>
      </c>
      <c r="AH94" s="94">
        <f>SUMIFS('caseload data'!R:R,'caseload data'!$D:$D,"PO",'caseload data'!$C:$C,'custody caseload'!$T$92,'caseload data'!$B:$B,"custody")</f>
        <v>0</v>
      </c>
      <c r="AI94" s="94">
        <f>SUMIFS('caseload data'!S:S,'caseload data'!$D:$D,"PO",'caseload data'!$C:$C,'custody caseload'!$T$92,'caseload data'!$B:$B,"custody")</f>
        <v>0</v>
      </c>
      <c r="AJ94" s="94">
        <f>SUMIFS('caseload data'!T:T,'caseload data'!$D:$D,"PO",'caseload data'!$C:$C,'custody caseload'!$T$92,'caseload data'!$B:$B,"custody")</f>
        <v>0</v>
      </c>
    </row>
    <row r="95" spans="2:36" ht="15" x14ac:dyDescent="0.2">
      <c r="B95" s="97" t="s">
        <v>952</v>
      </c>
      <c r="C95" s="145">
        <f>SUMIFS('caseload data'!E:E,'caseload data'!$D:$D,"PSO",'caseload data'!$C:$C,'custody caseload'!$B$92,'caseload data'!$B:$B,"custody")</f>
        <v>0</v>
      </c>
      <c r="D95" s="145">
        <f>SUMIFS('caseload data'!F:F,'caseload data'!$D:$D,"PSO",'caseload data'!$C:$C,'custody caseload'!$B$92,'caseload data'!$B:$B,"custody")</f>
        <v>0</v>
      </c>
      <c r="E95" s="145">
        <f>SUMIFS('caseload data'!G:G,'caseload data'!$D:$D,"PSO",'caseload data'!$C:$C,'custody caseload'!$B$92,'caseload data'!$B:$B,"custody")</f>
        <v>0</v>
      </c>
      <c r="F95" s="145">
        <f>SUMIFS('caseload data'!H:H,'caseload data'!$D:$D,"PSO",'caseload data'!$C:$C,'custody caseload'!$B$92,'caseload data'!$B:$B,"custody")</f>
        <v>0</v>
      </c>
      <c r="G95" s="145">
        <f>SUMIFS('caseload data'!I:I,'caseload data'!$D:$D,"PSO",'caseload data'!$C:$C,'custody caseload'!$B$92,'caseload data'!$B:$B,"custody")</f>
        <v>0</v>
      </c>
      <c r="H95" s="145">
        <f>SUMIFS('caseload data'!J:J,'caseload data'!$D:$D,"PSO",'caseload data'!$C:$C,'custody caseload'!$B$92,'caseload data'!$B:$B,"custody")</f>
        <v>0</v>
      </c>
      <c r="I95" s="145">
        <f>SUMIFS('caseload data'!K:K,'caseload data'!$D:$D,"PSO",'caseload data'!$C:$C,'custody caseload'!$B$92,'caseload data'!$B:$B,"custody")</f>
        <v>0</v>
      </c>
      <c r="J95" s="145">
        <f>SUMIFS('caseload data'!L:L,'caseload data'!$D:$D,"PSO",'caseload data'!$C:$C,'custody caseload'!$B$92,'caseload data'!$B:$B,"custody")</f>
        <v>0</v>
      </c>
      <c r="K95" s="94">
        <f>SUMIFS('caseload data'!M:M,'caseload data'!$D:$D,"PSO",'caseload data'!$C:$C,'custody caseload'!$B$92,'caseload data'!$B:$B,"custody")</f>
        <v>0</v>
      </c>
      <c r="L95" s="94">
        <f>SUMIFS('caseload data'!N:N,'caseload data'!$D:$D,"PSO",'caseload data'!$C:$C,'custody caseload'!$B$92,'caseload data'!$B:$B,"custody")</f>
        <v>0</v>
      </c>
      <c r="M95" s="94">
        <f>SUMIFS('caseload data'!O:O,'caseload data'!$D:$D,"PSO",'caseload data'!$C:$C,'custody caseload'!$B$92,'caseload data'!$B:$B,"custody")</f>
        <v>0</v>
      </c>
      <c r="N95" s="94">
        <f>SUMIFS('caseload data'!P:P,'caseload data'!$D:$D,"PSO",'caseload data'!$C:$C,'custody caseload'!$B$92,'caseload data'!$B:$B,"custody")</f>
        <v>0</v>
      </c>
      <c r="O95" s="94">
        <f>SUMIFS('caseload data'!Q:Q,'caseload data'!$D:$D,"PSO",'caseload data'!$C:$C,'custody caseload'!$B$92,'caseload data'!$B:$B,"custody")</f>
        <v>0</v>
      </c>
      <c r="P95" s="94">
        <f>SUMIFS('caseload data'!R:R,'caseload data'!$D:$D,"PSO",'caseload data'!$C:$C,'custody caseload'!$B$92,'caseload data'!$B:$B,"custody")</f>
        <v>0</v>
      </c>
      <c r="Q95" s="94">
        <f>SUMIFS('caseload data'!S:S,'caseload data'!$D:$D,"PSO",'caseload data'!$C:$C,'custody caseload'!$B$92,'caseload data'!$B:$B,"custody")</f>
        <v>0</v>
      </c>
      <c r="R95" s="94">
        <f>SUMIFS('caseload data'!T:T,'caseload data'!$D:$D,"PSO",'caseload data'!$C:$C,'custody caseload'!$B$92,'caseload data'!$B:$B,"custody")</f>
        <v>0</v>
      </c>
      <c r="T95" s="97" t="s">
        <v>952</v>
      </c>
      <c r="U95" s="145">
        <f>SUMIFS('caseload data'!E:E,'caseload data'!$D:$D,"PSO",'caseload data'!$C:$C,'custody caseload'!$T$92,'caseload data'!$B:$B,"custody")</f>
        <v>0</v>
      </c>
      <c r="V95" s="145">
        <f>SUMIFS('caseload data'!F:F,'caseload data'!$D:$D,"PSO",'caseload data'!$C:$C,'custody caseload'!$T$92,'caseload data'!$B:$B,"custody")</f>
        <v>0</v>
      </c>
      <c r="W95" s="145">
        <f>SUMIFS('caseload data'!G:G,'caseload data'!$D:$D,"PSO",'caseload data'!$C:$C,'custody caseload'!$T$92,'caseload data'!$B:$B,"custody")</f>
        <v>0</v>
      </c>
      <c r="X95" s="145">
        <f>SUMIFS('caseload data'!H:H,'caseload data'!$D:$D,"PSO",'caseload data'!$C:$C,'custody caseload'!$T$92,'caseload data'!$B:$B,"custody")</f>
        <v>0</v>
      </c>
      <c r="Y95" s="145">
        <f>SUMIFS('caseload data'!I:I,'caseload data'!$D:$D,"PSO",'caseload data'!$C:$C,'custody caseload'!$T$92,'caseload data'!$B:$B,"custody")</f>
        <v>0</v>
      </c>
      <c r="Z95" s="145">
        <f>SUMIFS('caseload data'!J:J,'caseload data'!$D:$D,"PSO",'caseload data'!$C:$C,'custody caseload'!$T$92,'caseload data'!$B:$B,"custody")</f>
        <v>0</v>
      </c>
      <c r="AA95" s="145">
        <f>SUMIFS('caseload data'!K:K,'caseload data'!$D:$D,"PSO",'caseload data'!$C:$C,'custody caseload'!$T$92,'caseload data'!$B:$B,"custody")</f>
        <v>0</v>
      </c>
      <c r="AB95" s="145">
        <f>SUMIFS('caseload data'!L:L,'caseload data'!$D:$D,"PSO",'caseload data'!$C:$C,'custody caseload'!$T$92,'caseload data'!$B:$B,"custody")</f>
        <v>0</v>
      </c>
      <c r="AC95" s="94">
        <f>SUMIFS('caseload data'!M:M,'caseload data'!$D:$D,"PSO",'caseload data'!$C:$C,'custody caseload'!$T$92,'caseload data'!$B:$B,"custody")</f>
        <v>0</v>
      </c>
      <c r="AD95" s="94">
        <f>SUMIFS('caseload data'!N:N,'caseload data'!$D:$D,"PSO",'caseload data'!$C:$C,'custody caseload'!$T$92,'caseload data'!$B:$B,"custody")</f>
        <v>0</v>
      </c>
      <c r="AE95" s="94">
        <f>SUMIFS('caseload data'!O:O,'caseload data'!$D:$D,"PSO",'caseload data'!$C:$C,'custody caseload'!$T$92,'caseload data'!$B:$B,"custody")</f>
        <v>0</v>
      </c>
      <c r="AF95" s="94">
        <f>SUMIFS('caseload data'!P:P,'caseload data'!$D:$D,"PSO",'caseload data'!$C:$C,'custody caseload'!$T$92,'caseload data'!$B:$B,"custody")</f>
        <v>0</v>
      </c>
      <c r="AG95" s="94">
        <f>SUMIFS('caseload data'!Q:Q,'caseload data'!$D:$D,"PSO",'caseload data'!$C:$C,'custody caseload'!$T$92,'caseload data'!$B:$B,"custody")</f>
        <v>0</v>
      </c>
      <c r="AH95" s="94">
        <f>SUMIFS('caseload data'!R:R,'caseload data'!$D:$D,"PSO",'caseload data'!$C:$C,'custody caseload'!$T$92,'caseload data'!$B:$B,"custody")</f>
        <v>0</v>
      </c>
      <c r="AI95" s="94">
        <f>SUMIFS('caseload data'!S:S,'caseload data'!$D:$D,"PSO",'caseload data'!$C:$C,'custody caseload'!$T$92,'caseload data'!$B:$B,"custody")</f>
        <v>0</v>
      </c>
      <c r="AJ95" s="94">
        <f>SUMIFS('caseload data'!T:T,'caseload data'!$D:$D,"PSO",'caseload data'!$C:$C,'custody caseload'!$T$92,'caseload data'!$B:$B,"custody")</f>
        <v>0</v>
      </c>
    </row>
    <row r="96" spans="2:36" ht="15" x14ac:dyDescent="0.2">
      <c r="B96" s="97" t="s">
        <v>953</v>
      </c>
      <c r="C96" s="145">
        <f>SUMIFS('caseload data'!E:E,'caseload data'!$D:$D,"TPO",'caseload data'!$C:$C,'custody caseload'!$B$92,'caseload data'!$B:$B,"custody")</f>
        <v>0</v>
      </c>
      <c r="D96" s="145">
        <f>SUMIFS('caseload data'!F:F,'caseload data'!$D:$D,"TPO",'caseload data'!$C:$C,'custody caseload'!$B$92,'caseload data'!$B:$B,"custody")</f>
        <v>0</v>
      </c>
      <c r="E96" s="145">
        <f>SUMIFS('caseload data'!G:G,'caseload data'!$D:$D,"TPO",'caseload data'!$C:$C,'custody caseload'!$B$92,'caseload data'!$B:$B,"custody")</f>
        <v>0</v>
      </c>
      <c r="F96" s="145">
        <f>SUMIFS('caseload data'!H:H,'caseload data'!$D:$D,"TPO",'caseload data'!$C:$C,'custody caseload'!$B$92,'caseload data'!$B:$B,"custody")</f>
        <v>0</v>
      </c>
      <c r="G96" s="145">
        <f>SUMIFS('caseload data'!I:I,'caseload data'!$D:$D,"TPO",'caseload data'!$C:$C,'custody caseload'!$B$92,'caseload data'!$B:$B,"custody")</f>
        <v>0</v>
      </c>
      <c r="H96" s="145">
        <f>SUMIFS('caseload data'!J:J,'caseload data'!$D:$D,"TPO",'caseload data'!$C:$C,'custody caseload'!$B$92,'caseload data'!$B:$B,"custody")</f>
        <v>0</v>
      </c>
      <c r="I96" s="145">
        <f>SUMIFS('caseload data'!K:K,'caseload data'!$D:$D,"TPO",'caseload data'!$C:$C,'custody caseload'!$B$92,'caseload data'!$B:$B,"custody")</f>
        <v>0</v>
      </c>
      <c r="J96" s="145">
        <f>SUMIFS('caseload data'!L:L,'caseload data'!$D:$D,"TPO",'caseload data'!$C:$C,'custody caseload'!$B$92,'caseload data'!$B:$B,"custody")</f>
        <v>0</v>
      </c>
      <c r="K96" s="94">
        <f>SUMIFS('caseload data'!M:M,'caseload data'!$D:$D,"TPO",'caseload data'!$C:$C,'custody caseload'!$B$92,'caseload data'!$B:$B,"custody")</f>
        <v>0</v>
      </c>
      <c r="L96" s="94">
        <f>SUMIFS('caseload data'!N:N,'caseload data'!$D:$D,"TPO",'caseload data'!$C:$C,'custody caseload'!$B$92,'caseload data'!$B:$B,"custody")</f>
        <v>0</v>
      </c>
      <c r="M96" s="94">
        <f>SUMIFS('caseload data'!O:O,'caseload data'!$D:$D,"TPO",'caseload data'!$C:$C,'custody caseload'!$B$92,'caseload data'!$B:$B,"custody")</f>
        <v>0</v>
      </c>
      <c r="N96" s="94">
        <f>SUMIFS('caseload data'!P:P,'caseload data'!$D:$D,"TPO",'caseload data'!$C:$C,'custody caseload'!$B$92,'caseload data'!$B:$B,"custody")</f>
        <v>0</v>
      </c>
      <c r="O96" s="94">
        <f>SUMIFS('caseload data'!Q:Q,'caseload data'!$D:$D,"TPO",'caseload data'!$C:$C,'custody caseload'!$B$92,'caseload data'!$B:$B,"custody")</f>
        <v>0</v>
      </c>
      <c r="P96" s="94">
        <f>SUMIFS('caseload data'!R:R,'caseload data'!$D:$D,"TPO",'caseload data'!$C:$C,'custody caseload'!$B$92,'caseload data'!$B:$B,"custody")</f>
        <v>0</v>
      </c>
      <c r="Q96" s="94">
        <f>SUMIFS('caseload data'!S:S,'caseload data'!$D:$D,"TPO",'caseload data'!$C:$C,'custody caseload'!$B$92,'caseload data'!$B:$B,"custody")</f>
        <v>0</v>
      </c>
      <c r="R96" s="94">
        <f>SUMIFS('caseload data'!T:T,'caseload data'!$D:$D,"TPO",'caseload data'!$C:$C,'custody caseload'!$B$92,'caseload data'!$B:$B,"custody")</f>
        <v>0</v>
      </c>
      <c r="T96" s="97" t="s">
        <v>953</v>
      </c>
      <c r="U96" s="145">
        <f>SUMIFS('caseload data'!E:E,'caseload data'!$D:$D,"TPO",'caseload data'!$C:$C,'custody caseload'!$T$92,'caseload data'!$B:$B,"custody")</f>
        <v>0</v>
      </c>
      <c r="V96" s="145">
        <f>SUMIFS('caseload data'!F:F,'caseload data'!$D:$D,"TPO",'caseload data'!$C:$C,'custody caseload'!$T$92,'caseload data'!$B:$B,"custody")</f>
        <v>0</v>
      </c>
      <c r="W96" s="145">
        <f>SUMIFS('caseload data'!G:G,'caseload data'!$D:$D,"TPO",'caseload data'!$C:$C,'custody caseload'!$T$92,'caseload data'!$B:$B,"custody")</f>
        <v>0</v>
      </c>
      <c r="X96" s="145">
        <f>SUMIFS('caseload data'!H:H,'caseload data'!$D:$D,"TPO",'caseload data'!$C:$C,'custody caseload'!$T$92,'caseload data'!$B:$B,"custody")</f>
        <v>0</v>
      </c>
      <c r="Y96" s="145">
        <f>SUMIFS('caseload data'!I:I,'caseload data'!$D:$D,"TPO",'caseload data'!$C:$C,'custody caseload'!$T$92,'caseload data'!$B:$B,"custody")</f>
        <v>0</v>
      </c>
      <c r="Z96" s="145">
        <f>SUMIFS('caseload data'!J:J,'caseload data'!$D:$D,"TPO",'caseload data'!$C:$C,'custody caseload'!$T$92,'caseload data'!$B:$B,"custody")</f>
        <v>0</v>
      </c>
      <c r="AA96" s="145">
        <f>SUMIFS('caseload data'!K:K,'caseload data'!$D:$D,"TPO",'caseload data'!$C:$C,'custody caseload'!$T$92,'caseload data'!$B:$B,"custody")</f>
        <v>0</v>
      </c>
      <c r="AB96" s="145">
        <f>SUMIFS('caseload data'!L:L,'caseload data'!$D:$D,"TPO",'caseload data'!$C:$C,'custody caseload'!$T$92,'caseload data'!$B:$B,"custody")</f>
        <v>0</v>
      </c>
      <c r="AC96" s="94">
        <f>SUMIFS('caseload data'!M:M,'caseload data'!$D:$D,"TPO",'caseload data'!$C:$C,'custody caseload'!$T$92,'caseload data'!$B:$B,"custody")</f>
        <v>0</v>
      </c>
      <c r="AD96" s="94">
        <f>SUMIFS('caseload data'!N:N,'caseload data'!$D:$D,"TPO",'caseload data'!$C:$C,'custody caseload'!$T$92,'caseload data'!$B:$B,"custody")</f>
        <v>0</v>
      </c>
      <c r="AE96" s="94">
        <f>SUMIFS('caseload data'!O:O,'caseload data'!$D:$D,"TPO",'caseload data'!$C:$C,'custody caseload'!$T$92,'caseload data'!$B:$B,"custody")</f>
        <v>0</v>
      </c>
      <c r="AF96" s="94">
        <f>SUMIFS('caseload data'!P:P,'caseload data'!$D:$D,"TPO",'caseload data'!$C:$C,'custody caseload'!$T$92,'caseload data'!$B:$B,"custody")</f>
        <v>0</v>
      </c>
      <c r="AG96" s="94">
        <f>SUMIFS('caseload data'!Q:Q,'caseload data'!$D:$D,"TPO",'caseload data'!$C:$C,'custody caseload'!$T$92,'caseload data'!$B:$B,"custody")</f>
        <v>0</v>
      </c>
      <c r="AH96" s="94">
        <f>SUMIFS('caseload data'!R:R,'caseload data'!$D:$D,"TPO",'caseload data'!$C:$C,'custody caseload'!$T$92,'caseload data'!$B:$B,"custody")</f>
        <v>0</v>
      </c>
      <c r="AI96" s="94">
        <f>SUMIFS('caseload data'!S:S,'caseload data'!$D:$D,"TPO",'caseload data'!$C:$C,'custody caseload'!$T$92,'caseload data'!$B:$B,"custody")</f>
        <v>0</v>
      </c>
      <c r="AJ96" s="94">
        <f>SUMIFS('caseload data'!T:T,'caseload data'!$D:$D,"TPO",'caseload data'!$C:$C,'custody caseload'!$T$92,'caseload data'!$B:$B,"custody")</f>
        <v>0</v>
      </c>
    </row>
    <row r="97" spans="2:36" x14ac:dyDescent="0.15">
      <c r="B97" s="98" t="s">
        <v>954</v>
      </c>
      <c r="C97" s="94">
        <f>SUMIFS('caseload data'!E:E,'caseload data'!$D:$D,"SPO",'caseload data'!$C:$C,'custody caseload'!$B$92,'caseload data'!$B:$B,"custody")</f>
        <v>0</v>
      </c>
      <c r="D97" s="94">
        <f>SUMIFS('caseload data'!F:F,'caseload data'!$D:$D,"SPO",'caseload data'!$C:$C,'custody caseload'!$B$92,'caseload data'!$B:$B,"custody")</f>
        <v>0</v>
      </c>
      <c r="E97" s="94">
        <f>SUMIFS('caseload data'!G:G,'caseload data'!$D:$D,"SPO",'caseload data'!$C:$C,'custody caseload'!$B$92,'caseload data'!$B:$B,"custody")</f>
        <v>0</v>
      </c>
      <c r="F97" s="94">
        <f>SUMIFS('caseload data'!H:H,'caseload data'!$D:$D,"SPO",'caseload data'!$C:$C,'custody caseload'!$B$92,'caseload data'!$B:$B,"custody")</f>
        <v>0</v>
      </c>
      <c r="G97" s="94">
        <f>SUMIFS('caseload data'!I:I,'caseload data'!$D:$D,"SPO",'caseload data'!$C:$C,'custody caseload'!$B$92,'caseload data'!$B:$B,"custody")</f>
        <v>0</v>
      </c>
      <c r="H97" s="94">
        <f>SUMIFS('caseload data'!J:J,'caseload data'!$D:$D,"SPO",'caseload data'!$C:$C,'custody caseload'!$B$92,'caseload data'!$B:$B,"custody")</f>
        <v>0</v>
      </c>
      <c r="I97" s="94">
        <f>SUMIFS('caseload data'!K:K,'caseload data'!$D:$D,"SPO",'caseload data'!$C:$C,'custody caseload'!$B$92,'caseload data'!$B:$B,"custody")</f>
        <v>0</v>
      </c>
      <c r="J97" s="94">
        <f>SUMIFS('caseload data'!L:L,'caseload data'!$D:$D,"SPO",'caseload data'!$C:$C,'custody caseload'!$B$92,'caseload data'!$B:$B,"custody")</f>
        <v>0</v>
      </c>
      <c r="K97" s="94">
        <f>SUMIFS('caseload data'!M:M,'caseload data'!$D:$D,"SPO",'caseload data'!$C:$C,'custody caseload'!$B$92,'caseload data'!$B:$B,"custody")</f>
        <v>0</v>
      </c>
      <c r="L97" s="94">
        <f>SUMIFS('caseload data'!N:N,'caseload data'!$D:$D,"SPO",'caseload data'!$C:$C,'custody caseload'!$B$92,'caseload data'!$B:$B,"custody")</f>
        <v>0</v>
      </c>
      <c r="M97" s="94">
        <f>SUMIFS('caseload data'!O:O,'caseload data'!$D:$D,"SPO",'caseload data'!$C:$C,'custody caseload'!$B$92,'caseload data'!$B:$B,"custody")</f>
        <v>0</v>
      </c>
      <c r="N97" s="94">
        <f>SUMIFS('caseload data'!P:P,'caseload data'!$D:$D,"SPO",'caseload data'!$C:$C,'custody caseload'!$B$92,'caseload data'!$B:$B,"custody")</f>
        <v>0</v>
      </c>
      <c r="O97" s="94">
        <f>SUMIFS('caseload data'!Q:Q,'caseload data'!$D:$D,"SPO",'caseload data'!$C:$C,'custody caseload'!$B$92,'caseload data'!$B:$B,"custody")</f>
        <v>0</v>
      </c>
      <c r="P97" s="94">
        <f>SUMIFS('caseload data'!R:R,'caseload data'!$D:$D,"SPO",'caseload data'!$C:$C,'custody caseload'!$B$92,'caseload data'!$B:$B,"custody")</f>
        <v>0</v>
      </c>
      <c r="Q97" s="94">
        <f>SUMIFS('caseload data'!S:S,'caseload data'!$D:$D,"SPO",'caseload data'!$C:$C,'custody caseload'!$B$92,'caseload data'!$B:$B,"custody")</f>
        <v>0</v>
      </c>
      <c r="R97" s="94">
        <f>SUMIFS('caseload data'!T:T,'caseload data'!$D:$D,"SPO",'caseload data'!$C:$C,'custody caseload'!$B$92,'caseload data'!$B:$B,"custody")</f>
        <v>0</v>
      </c>
      <c r="T97" s="98" t="s">
        <v>954</v>
      </c>
      <c r="U97" s="94">
        <f>SUMIFS('caseload data'!E:E,'caseload data'!$D:$D,"SPO",'caseload data'!$C:$C,'custody caseload'!$T$92,'caseload data'!$B:$B,"custody")</f>
        <v>0</v>
      </c>
      <c r="V97" s="94">
        <f>SUMIFS('caseload data'!F:F,'caseload data'!$D:$D,"SPO",'caseload data'!$C:$C,'custody caseload'!$T$92,'caseload data'!$B:$B,"custody")</f>
        <v>0</v>
      </c>
      <c r="W97" s="94">
        <f>SUMIFS('caseload data'!G:G,'caseload data'!$D:$D,"SPO",'caseload data'!$C:$C,'custody caseload'!$T$92,'caseload data'!$B:$B,"custody")</f>
        <v>0</v>
      </c>
      <c r="X97" s="94">
        <f>SUMIFS('caseload data'!H:H,'caseload data'!$D:$D,"SPO",'caseload data'!$C:$C,'custody caseload'!$T$92,'caseload data'!$B:$B,"custody")</f>
        <v>0</v>
      </c>
      <c r="Y97" s="94">
        <f>SUMIFS('caseload data'!I:I,'caseload data'!$D:$D,"SPO",'caseload data'!$C:$C,'custody caseload'!$T$92,'caseload data'!$B:$B,"custody")</f>
        <v>0</v>
      </c>
      <c r="Z97" s="94">
        <f>SUMIFS('caseload data'!J:J,'caseload data'!$D:$D,"SPO",'caseload data'!$C:$C,'custody caseload'!$T$92,'caseload data'!$B:$B,"custody")</f>
        <v>0</v>
      </c>
      <c r="AA97" s="94">
        <f>SUMIFS('caseload data'!K:K,'caseload data'!$D:$D,"SPO",'caseload data'!$C:$C,'custody caseload'!$T$92,'caseload data'!$B:$B,"custody")</f>
        <v>0</v>
      </c>
      <c r="AB97" s="94">
        <f>SUMIFS('caseload data'!L:L,'caseload data'!$D:$D,"SPO",'caseload data'!$C:$C,'custody caseload'!$T$92,'caseload data'!$B:$B,"custody")</f>
        <v>0</v>
      </c>
      <c r="AC97" s="94">
        <f>SUMIFS('caseload data'!M:M,'caseload data'!$D:$D,"SPO",'caseload data'!$C:$C,'custody caseload'!$T$92,'caseload data'!$B:$B,"custody")</f>
        <v>0</v>
      </c>
      <c r="AD97" s="94">
        <f>SUMIFS('caseload data'!N:N,'caseload data'!$D:$D,"SPO",'caseload data'!$C:$C,'custody caseload'!$T$92,'caseload data'!$B:$B,"custody")</f>
        <v>0</v>
      </c>
      <c r="AE97" s="94">
        <f>SUMIFS('caseload data'!O:O,'caseload data'!$D:$D,"SPO",'caseload data'!$C:$C,'custody caseload'!$T$92,'caseload data'!$B:$B,"custody")</f>
        <v>0</v>
      </c>
      <c r="AF97" s="94">
        <f>SUMIFS('caseload data'!P:P,'caseload data'!$D:$D,"SPO",'caseload data'!$C:$C,'custody caseload'!$T$92,'caseload data'!$B:$B,"custody")</f>
        <v>0</v>
      </c>
      <c r="AG97" s="94">
        <f>SUMIFS('caseload data'!Q:Q,'caseload data'!$D:$D,"SPO",'caseload data'!$C:$C,'custody caseload'!$T$92,'caseload data'!$B:$B,"custody")</f>
        <v>0</v>
      </c>
      <c r="AH97" s="94">
        <f>SUMIFS('caseload data'!R:R,'caseload data'!$D:$D,"SPO",'caseload data'!$C:$C,'custody caseload'!$T$92,'caseload data'!$B:$B,"custody")</f>
        <v>0</v>
      </c>
      <c r="AI97" s="94">
        <f>SUMIFS('caseload data'!S:S,'caseload data'!$D:$D,"SPO",'caseload data'!$C:$C,'custody caseload'!$T$92,'caseload data'!$B:$B,"custody")</f>
        <v>0</v>
      </c>
      <c r="AJ97" s="94">
        <f>SUMIFS('caseload data'!T:T,'caseload data'!$D:$D,"SPO",'caseload data'!$C:$C,'custody caseload'!$T$92,'caseload data'!$B:$B,"custody")</f>
        <v>0</v>
      </c>
    </row>
    <row r="99" spans="2:36" ht="21.75" customHeight="1" x14ac:dyDescent="0.15">
      <c r="B99" s="142">
        <f>HLOOKUP($B$5,Region_Table,28,0)</f>
        <v>0</v>
      </c>
      <c r="C99" s="556" t="s">
        <v>1073</v>
      </c>
      <c r="D99" s="557"/>
      <c r="E99" s="557"/>
      <c r="F99" s="557"/>
      <c r="G99" s="557"/>
      <c r="H99" s="557"/>
      <c r="I99" s="557"/>
      <c r="J99" s="557"/>
      <c r="K99" s="557"/>
      <c r="L99" s="557"/>
      <c r="M99" s="566"/>
      <c r="N99" s="566"/>
      <c r="O99" s="567"/>
      <c r="P99" s="543">
        <f>SUMIFS('caseload data'!V:V,'caseload data'!B:B,"custody",'caseload data'!$C:$C,'custody caseload'!B99)</f>
        <v>0</v>
      </c>
      <c r="Q99" s="560"/>
      <c r="R99" s="561"/>
      <c r="T99" s="142">
        <f>HLOOKUP($B$5,Region_Table,29,0)</f>
        <v>0</v>
      </c>
      <c r="U99" s="556" t="s">
        <v>1073</v>
      </c>
      <c r="V99" s="557"/>
      <c r="W99" s="557"/>
      <c r="X99" s="557"/>
      <c r="Y99" s="557"/>
      <c r="Z99" s="557"/>
      <c r="AA99" s="557"/>
      <c r="AB99" s="557"/>
      <c r="AC99" s="557"/>
      <c r="AD99" s="557"/>
      <c r="AE99" s="566"/>
      <c r="AF99" s="566"/>
      <c r="AG99" s="567"/>
      <c r="AH99" s="543">
        <f>SUMIFS('caseload data'!V:V,'caseload data'!B:B,"custody",'caseload data'!$C:$C,'custody caseload'!T99)</f>
        <v>0</v>
      </c>
      <c r="AI99" s="560"/>
      <c r="AJ99" s="561"/>
    </row>
    <row r="100" spans="2:36" x14ac:dyDescent="0.15">
      <c r="B100" s="95" t="s">
        <v>951</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5" t="s">
        <v>951</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94">
        <f>SUMIFS('caseload data'!E:E,'caseload data'!$D:$D,"PO",'caseload data'!$C:$C,'custody caseload'!$B$99,'caseload data'!$B:$B,"custody")</f>
        <v>0</v>
      </c>
      <c r="D101" s="94">
        <f>SUMIFS('caseload data'!F:F,'caseload data'!$D:$D,"PO",'caseload data'!$C:$C,'custody caseload'!$B$99,'caseload data'!$B:$B,"custody")</f>
        <v>0</v>
      </c>
      <c r="E101" s="94">
        <f>SUMIFS('caseload data'!G:G,'caseload data'!$D:$D,"PO",'caseload data'!$C:$C,'custody caseload'!$B$99,'caseload data'!$B:$B,"custody")</f>
        <v>0</v>
      </c>
      <c r="F101" s="94">
        <f>SUMIFS('caseload data'!H:H,'caseload data'!$D:$D,"PO",'caseload data'!$C:$C,'custody caseload'!$B$99,'caseload data'!$B:$B,"custody")</f>
        <v>0</v>
      </c>
      <c r="G101" s="94">
        <f>SUMIFS('caseload data'!I:I,'caseload data'!$D:$D,"PO",'caseload data'!$C:$C,'custody caseload'!$B$99,'caseload data'!$B:$B,"custody")</f>
        <v>0</v>
      </c>
      <c r="H101" s="94">
        <f>SUMIFS('caseload data'!J:J,'caseload data'!$D:$D,"PO",'caseload data'!$C:$C,'custody caseload'!$B$99,'caseload data'!$B:$B,"custody")</f>
        <v>0</v>
      </c>
      <c r="I101" s="94">
        <f>SUMIFS('caseload data'!K:K,'caseload data'!$D:$D,"PO",'caseload data'!$C:$C,'custody caseload'!$B$99,'caseload data'!$B:$B,"custody")</f>
        <v>0</v>
      </c>
      <c r="J101" s="94">
        <f>SUMIFS('caseload data'!L:L,'caseload data'!$D:$D,"PO",'caseload data'!$C:$C,'custody caseload'!$B$99,'caseload data'!$B:$B,"custody")</f>
        <v>0</v>
      </c>
      <c r="K101" s="94">
        <f>SUMIFS('caseload data'!M:M,'caseload data'!$D:$D,"PO",'caseload data'!$C:$C,'custody caseload'!$B$99,'caseload data'!$B:$B,"custody")</f>
        <v>0</v>
      </c>
      <c r="L101" s="94">
        <f>SUMIFS('caseload data'!N:N,'caseload data'!$D:$D,"PO",'caseload data'!$C:$C,'custody caseload'!$B$99,'caseload data'!$B:$B,"custody")</f>
        <v>0</v>
      </c>
      <c r="M101" s="94">
        <f>SUMIFS('caseload data'!O:O,'caseload data'!$D:$D,"PO",'caseload data'!$C:$C,'custody caseload'!$B$99,'caseload data'!$B:$B,"custody")</f>
        <v>0</v>
      </c>
      <c r="N101" s="94">
        <f>SUMIFS('caseload data'!P:P,'caseload data'!$D:$D,"PO",'caseload data'!$C:$C,'custody caseload'!$B$99,'caseload data'!$B:$B,"custody")</f>
        <v>0</v>
      </c>
      <c r="O101" s="94">
        <f>SUMIFS('caseload data'!Q:Q,'caseload data'!$D:$D,"PO",'caseload data'!$C:$C,'custody caseload'!$B$99,'caseload data'!$B:$B,"custody")</f>
        <v>0</v>
      </c>
      <c r="P101" s="94">
        <f>SUMIFS('caseload data'!R:R,'caseload data'!$D:$D,"PO",'caseload data'!$C:$C,'custody caseload'!$B$99,'caseload data'!$B:$B,"custody")</f>
        <v>0</v>
      </c>
      <c r="Q101" s="94">
        <f>SUMIFS('caseload data'!S:S,'caseload data'!$D:$D,"PO",'caseload data'!$C:$C,'custody caseload'!$B$99,'caseload data'!$B:$B,"custody")</f>
        <v>0</v>
      </c>
      <c r="R101" s="94">
        <f>SUMIFS('caseload data'!T:T,'caseload data'!$D:$D,"PO",'caseload data'!$C:$C,'custody caseload'!$B$99,'caseload data'!$B:$B,"custody")</f>
        <v>0</v>
      </c>
      <c r="T101" s="96" t="s">
        <v>947</v>
      </c>
      <c r="U101" s="94">
        <f>SUMIFS('caseload data'!E:E,'caseload data'!$D:$D,"PO",'caseload data'!$C:$C,'custody caseload'!$T$99,'caseload data'!$B:$B,"custody")</f>
        <v>0</v>
      </c>
      <c r="V101" s="94">
        <f>SUMIFS('caseload data'!F:F,'caseload data'!$D:$D,"PO",'caseload data'!$C:$C,'custody caseload'!$T$99,'caseload data'!$B:$B,"custody")</f>
        <v>0</v>
      </c>
      <c r="W101" s="94">
        <f>SUMIFS('caseload data'!G:G,'caseload data'!$D:$D,"PO",'caseload data'!$C:$C,'custody caseload'!$T$99,'caseload data'!$B:$B,"custody")</f>
        <v>0</v>
      </c>
      <c r="X101" s="94">
        <f>SUMIFS('caseload data'!H:H,'caseload data'!$D:$D,"PO",'caseload data'!$C:$C,'custody caseload'!$T$99,'caseload data'!$B:$B,"custody")</f>
        <v>0</v>
      </c>
      <c r="Y101" s="94">
        <f>SUMIFS('caseload data'!I:I,'caseload data'!$D:$D,"PO",'caseload data'!$C:$C,'custody caseload'!$T$99,'caseload data'!$B:$B,"custody")</f>
        <v>0</v>
      </c>
      <c r="Z101" s="94">
        <f>SUMIFS('caseload data'!J:J,'caseload data'!$D:$D,"PO",'caseload data'!$C:$C,'custody caseload'!$T$99,'caseload data'!$B:$B,"custody")</f>
        <v>0</v>
      </c>
      <c r="AA101" s="94">
        <f>SUMIFS('caseload data'!K:K,'caseload data'!$D:$D,"PO",'caseload data'!$C:$C,'custody caseload'!$T$99,'caseload data'!$B:$B,"custody")</f>
        <v>0</v>
      </c>
      <c r="AB101" s="94">
        <f>SUMIFS('caseload data'!L:L,'caseload data'!$D:$D,"PO",'caseload data'!$C:$C,'custody caseload'!$T$99,'caseload data'!$B:$B,"custody")</f>
        <v>0</v>
      </c>
      <c r="AC101" s="94">
        <f>SUMIFS('caseload data'!M:M,'caseload data'!$D:$D,"PO",'caseload data'!$C:$C,'custody caseload'!$T$99,'caseload data'!$B:$B,"custody")</f>
        <v>0</v>
      </c>
      <c r="AD101" s="94">
        <f>SUMIFS('caseload data'!N:N,'caseload data'!$D:$D,"PO",'caseload data'!$C:$C,'custody caseload'!$T$99,'caseload data'!$B:$B,"custody")</f>
        <v>0</v>
      </c>
      <c r="AE101" s="94">
        <f>SUMIFS('caseload data'!O:O,'caseload data'!$D:$D,"PO",'caseload data'!$C:$C,'custody caseload'!$T$99,'caseload data'!$B:$B,"custody")</f>
        <v>0</v>
      </c>
      <c r="AF101" s="94">
        <f>SUMIFS('caseload data'!P:P,'caseload data'!$D:$D,"PO",'caseload data'!$C:$C,'custody caseload'!$T$99,'caseload data'!$B:$B,"custody")</f>
        <v>0</v>
      </c>
      <c r="AG101" s="94">
        <f>SUMIFS('caseload data'!Q:Q,'caseload data'!$D:$D,"PO",'caseload data'!$C:$C,'custody caseload'!$T$99,'caseload data'!$B:$B,"custody")</f>
        <v>0</v>
      </c>
      <c r="AH101" s="94">
        <f>SUMIFS('caseload data'!R:R,'caseload data'!$D:$D,"PO",'caseload data'!$C:$C,'custody caseload'!$T$99,'caseload data'!$B:$B,"custody")</f>
        <v>0</v>
      </c>
      <c r="AI101" s="94">
        <f>SUMIFS('caseload data'!S:S,'caseload data'!$D:$D,"PO",'caseload data'!$C:$C,'custody caseload'!$T$99,'caseload data'!$B:$B,"custody")</f>
        <v>0</v>
      </c>
      <c r="AJ101" s="94">
        <f>SUMIFS('caseload data'!T:T,'caseload data'!$D:$D,"PO",'caseload data'!$C:$C,'custody caseload'!$T$99,'caseload data'!$B:$B,"custody")</f>
        <v>0</v>
      </c>
    </row>
    <row r="102" spans="2:36" ht="15" x14ac:dyDescent="0.2">
      <c r="B102" s="97" t="s">
        <v>952</v>
      </c>
      <c r="C102" s="145">
        <f>SUMIFS('caseload data'!E:E,'caseload data'!$D:$D,"PSO",'caseload data'!$C:$C,'custody caseload'!$B$99,'caseload data'!$B:$B,"custody")</f>
        <v>0</v>
      </c>
      <c r="D102" s="145">
        <f>SUMIFS('caseload data'!F:F,'caseload data'!$D:$D,"PSO",'caseload data'!$C:$C,'custody caseload'!$B$99,'caseload data'!$B:$B,"custody")</f>
        <v>0</v>
      </c>
      <c r="E102" s="145">
        <f>SUMIFS('caseload data'!G:G,'caseload data'!$D:$D,"PSO",'caseload data'!$C:$C,'custody caseload'!$B$99,'caseload data'!$B:$B,"custody")</f>
        <v>0</v>
      </c>
      <c r="F102" s="145">
        <f>SUMIFS('caseload data'!H:H,'caseload data'!$D:$D,"PSO",'caseload data'!$C:$C,'custody caseload'!$B$99,'caseload data'!$B:$B,"custody")</f>
        <v>0</v>
      </c>
      <c r="G102" s="145">
        <f>SUMIFS('caseload data'!I:I,'caseload data'!$D:$D,"PSO",'caseload data'!$C:$C,'custody caseload'!$B$99,'caseload data'!$B:$B,"custody")</f>
        <v>0</v>
      </c>
      <c r="H102" s="145">
        <f>SUMIFS('caseload data'!J:J,'caseload data'!$D:$D,"PSO",'caseload data'!$C:$C,'custody caseload'!$B$99,'caseload data'!$B:$B,"custody")</f>
        <v>0</v>
      </c>
      <c r="I102" s="145">
        <f>SUMIFS('caseload data'!K:K,'caseload data'!$D:$D,"PSO",'caseload data'!$C:$C,'custody caseload'!$B$99,'caseload data'!$B:$B,"custody")</f>
        <v>0</v>
      </c>
      <c r="J102" s="145">
        <f>SUMIFS('caseload data'!L:L,'caseload data'!$D:$D,"PSO",'caseload data'!$C:$C,'custody caseload'!$B$99,'caseload data'!$B:$B,"custody")</f>
        <v>0</v>
      </c>
      <c r="K102" s="94">
        <f>SUMIFS('caseload data'!M:M,'caseload data'!$D:$D,"PSO",'caseload data'!$C:$C,'custody caseload'!$B$99,'caseload data'!$B:$B,"custody")</f>
        <v>0</v>
      </c>
      <c r="L102" s="94">
        <f>SUMIFS('caseload data'!N:N,'caseload data'!$D:$D,"PSO",'caseload data'!$C:$C,'custody caseload'!$B$99,'caseload data'!$B:$B,"custody")</f>
        <v>0</v>
      </c>
      <c r="M102" s="94">
        <f>SUMIFS('caseload data'!O:O,'caseload data'!$D:$D,"PSO",'caseload data'!$C:$C,'custody caseload'!$B$99,'caseload data'!$B:$B,"custody")</f>
        <v>0</v>
      </c>
      <c r="N102" s="94">
        <f>SUMIFS('caseload data'!P:P,'caseload data'!$D:$D,"PSO",'caseload data'!$C:$C,'custody caseload'!$B$99,'caseload data'!$B:$B,"custody")</f>
        <v>0</v>
      </c>
      <c r="O102" s="94">
        <f>SUMIFS('caseload data'!Q:Q,'caseload data'!$D:$D,"PSO",'caseload data'!$C:$C,'custody caseload'!$B$99,'caseload data'!$B:$B,"custody")</f>
        <v>0</v>
      </c>
      <c r="P102" s="94">
        <f>SUMIFS('caseload data'!R:R,'caseload data'!$D:$D,"PSO",'caseload data'!$C:$C,'custody caseload'!$B$99,'caseload data'!$B:$B,"custody")</f>
        <v>0</v>
      </c>
      <c r="Q102" s="94">
        <f>SUMIFS('caseload data'!S:S,'caseload data'!$D:$D,"PSO",'caseload data'!$C:$C,'custody caseload'!$B$99,'caseload data'!$B:$B,"custody")</f>
        <v>0</v>
      </c>
      <c r="R102" s="94">
        <f>SUMIFS('caseload data'!T:T,'caseload data'!$D:$D,"PSO",'caseload data'!$C:$C,'custody caseload'!$B$99,'caseload data'!$B:$B,"custody")</f>
        <v>0</v>
      </c>
      <c r="T102" s="97" t="s">
        <v>952</v>
      </c>
      <c r="U102" s="145">
        <f>SUMIFS('caseload data'!E:E,'caseload data'!$D:$D,"PSO",'caseload data'!$C:$C,'custody caseload'!$T$99,'caseload data'!$B:$B,"custody")</f>
        <v>0</v>
      </c>
      <c r="V102" s="145">
        <f>SUMIFS('caseload data'!F:F,'caseload data'!$D:$D,"PSO",'caseload data'!$C:$C,'custody caseload'!$T$99,'caseload data'!$B:$B,"custody")</f>
        <v>0</v>
      </c>
      <c r="W102" s="145">
        <f>SUMIFS('caseload data'!G:G,'caseload data'!$D:$D,"PSO",'caseload data'!$C:$C,'custody caseload'!$T$99,'caseload data'!$B:$B,"custody")</f>
        <v>0</v>
      </c>
      <c r="X102" s="145">
        <f>SUMIFS('caseload data'!H:H,'caseload data'!$D:$D,"PSO",'caseload data'!$C:$C,'custody caseload'!$T$99,'caseload data'!$B:$B,"custody")</f>
        <v>0</v>
      </c>
      <c r="Y102" s="145">
        <f>SUMIFS('caseload data'!I:I,'caseload data'!$D:$D,"PSO",'caseload data'!$C:$C,'custody caseload'!$T$99,'caseload data'!$B:$B,"custody")</f>
        <v>0</v>
      </c>
      <c r="Z102" s="145">
        <f>SUMIFS('caseload data'!J:J,'caseload data'!$D:$D,"PSO",'caseload data'!$C:$C,'custody caseload'!$T$99,'caseload data'!$B:$B,"custody")</f>
        <v>0</v>
      </c>
      <c r="AA102" s="145">
        <f>SUMIFS('caseload data'!K:K,'caseload data'!$D:$D,"PSO",'caseload data'!$C:$C,'custody caseload'!$T$99,'caseload data'!$B:$B,"custody")</f>
        <v>0</v>
      </c>
      <c r="AB102" s="145">
        <f>SUMIFS('caseload data'!L:L,'caseload data'!$D:$D,"PSO",'caseload data'!$C:$C,'custody caseload'!$T$99,'caseload data'!$B:$B,"custody")</f>
        <v>0</v>
      </c>
      <c r="AC102" s="94">
        <f>SUMIFS('caseload data'!M:M,'caseload data'!$D:$D,"PSO",'caseload data'!$C:$C,'custody caseload'!$T$99,'caseload data'!$B:$B,"custody")</f>
        <v>0</v>
      </c>
      <c r="AD102" s="94">
        <f>SUMIFS('caseload data'!N:N,'caseload data'!$D:$D,"PSO",'caseload data'!$C:$C,'custody caseload'!$T$99,'caseload data'!$B:$B,"custody")</f>
        <v>0</v>
      </c>
      <c r="AE102" s="94">
        <f>SUMIFS('caseload data'!O:O,'caseload data'!$D:$D,"PSO",'caseload data'!$C:$C,'custody caseload'!$T$99,'caseload data'!$B:$B,"custody")</f>
        <v>0</v>
      </c>
      <c r="AF102" s="94">
        <f>SUMIFS('caseload data'!P:P,'caseload data'!$D:$D,"PSO",'caseload data'!$C:$C,'custody caseload'!$T$99,'caseload data'!$B:$B,"custody")</f>
        <v>0</v>
      </c>
      <c r="AG102" s="94">
        <f>SUMIFS('caseload data'!Q:Q,'caseload data'!$D:$D,"PSO",'caseload data'!$C:$C,'custody caseload'!$T$99,'caseload data'!$B:$B,"custody")</f>
        <v>0</v>
      </c>
      <c r="AH102" s="94">
        <f>SUMIFS('caseload data'!R:R,'caseload data'!$D:$D,"PSO",'caseload data'!$C:$C,'custody caseload'!$T$99,'caseload data'!$B:$B,"custody")</f>
        <v>0</v>
      </c>
      <c r="AI102" s="94">
        <f>SUMIFS('caseload data'!S:S,'caseload data'!$D:$D,"PSO",'caseload data'!$C:$C,'custody caseload'!$T$99,'caseload data'!$B:$B,"custody")</f>
        <v>0</v>
      </c>
      <c r="AJ102" s="94">
        <f>SUMIFS('caseload data'!T:T,'caseload data'!$D:$D,"PSO",'caseload data'!$C:$C,'custody caseload'!$T$99,'caseload data'!$B:$B,"custody")</f>
        <v>0</v>
      </c>
    </row>
    <row r="103" spans="2:36" ht="15" x14ac:dyDescent="0.2">
      <c r="B103" s="97" t="s">
        <v>953</v>
      </c>
      <c r="C103" s="145">
        <f>SUMIFS('caseload data'!E:E,'caseload data'!$D:$D,"TPO",'caseload data'!$C:$C,'custody caseload'!$B$99,'caseload data'!$B:$B,"custody")</f>
        <v>0</v>
      </c>
      <c r="D103" s="145">
        <f>SUMIFS('caseload data'!F:F,'caseload data'!$D:$D,"TPO",'caseload data'!$C:$C,'custody caseload'!$B$99,'caseload data'!$B:$B,"custody")</f>
        <v>0</v>
      </c>
      <c r="E103" s="145">
        <f>SUMIFS('caseload data'!G:G,'caseload data'!$D:$D,"TPO",'caseload data'!$C:$C,'custody caseload'!$B$99,'caseload data'!$B:$B,"custody")</f>
        <v>0</v>
      </c>
      <c r="F103" s="145">
        <f>SUMIFS('caseload data'!H:H,'caseload data'!$D:$D,"TPO",'caseload data'!$C:$C,'custody caseload'!$B$99,'caseload data'!$B:$B,"custody")</f>
        <v>0</v>
      </c>
      <c r="G103" s="145">
        <f>SUMIFS('caseload data'!I:I,'caseload data'!$D:$D,"TPO",'caseload data'!$C:$C,'custody caseload'!$B$99,'caseload data'!$B:$B,"custody")</f>
        <v>0</v>
      </c>
      <c r="H103" s="145">
        <f>SUMIFS('caseload data'!J:J,'caseload data'!$D:$D,"TPO",'caseload data'!$C:$C,'custody caseload'!$B$99,'caseload data'!$B:$B,"custody")</f>
        <v>0</v>
      </c>
      <c r="I103" s="145">
        <f>SUMIFS('caseload data'!K:K,'caseload data'!$D:$D,"TPO",'caseload data'!$C:$C,'custody caseload'!$B$99,'caseload data'!$B:$B,"custody")</f>
        <v>0</v>
      </c>
      <c r="J103" s="145">
        <f>SUMIFS('caseload data'!L:L,'caseload data'!$D:$D,"TPO",'caseload data'!$C:$C,'custody caseload'!$B$99,'caseload data'!$B:$B,"custody")</f>
        <v>0</v>
      </c>
      <c r="K103" s="94">
        <f>SUMIFS('caseload data'!M:M,'caseload data'!$D:$D,"TPO",'caseload data'!$C:$C,'custody caseload'!$B$99,'caseload data'!$B:$B,"custody")</f>
        <v>0</v>
      </c>
      <c r="L103" s="94">
        <f>SUMIFS('caseload data'!N:N,'caseload data'!$D:$D,"TPO",'caseload data'!$C:$C,'custody caseload'!$B$99,'caseload data'!$B:$B,"custody")</f>
        <v>0</v>
      </c>
      <c r="M103" s="94">
        <f>SUMIFS('caseload data'!O:O,'caseload data'!$D:$D,"TPO",'caseload data'!$C:$C,'custody caseload'!$B$99,'caseload data'!$B:$B,"custody")</f>
        <v>0</v>
      </c>
      <c r="N103" s="94">
        <f>SUMIFS('caseload data'!P:P,'caseload data'!$D:$D,"TPO",'caseload data'!$C:$C,'custody caseload'!$B$99,'caseload data'!$B:$B,"custody")</f>
        <v>0</v>
      </c>
      <c r="O103" s="94">
        <f>SUMIFS('caseload data'!Q:Q,'caseload data'!$D:$D,"TPO",'caseload data'!$C:$C,'custody caseload'!$B$99,'caseload data'!$B:$B,"custody")</f>
        <v>0</v>
      </c>
      <c r="P103" s="94">
        <f>SUMIFS('caseload data'!R:R,'caseload data'!$D:$D,"TPO",'caseload data'!$C:$C,'custody caseload'!$B$99,'caseload data'!$B:$B,"custody")</f>
        <v>0</v>
      </c>
      <c r="Q103" s="94">
        <f>SUMIFS('caseload data'!S:S,'caseload data'!$D:$D,"TPO",'caseload data'!$C:$C,'custody caseload'!$B$99,'caseload data'!$B:$B,"custody")</f>
        <v>0</v>
      </c>
      <c r="R103" s="94">
        <f>SUMIFS('caseload data'!T:T,'caseload data'!$D:$D,"TPO",'caseload data'!$C:$C,'custody caseload'!$B$99,'caseload data'!$B:$B,"custody")</f>
        <v>0</v>
      </c>
      <c r="T103" s="97" t="s">
        <v>953</v>
      </c>
      <c r="U103" s="145">
        <f>SUMIFS('caseload data'!E:E,'caseload data'!$D:$D,"TPO",'caseload data'!$C:$C,'custody caseload'!$T$99,'caseload data'!$B:$B,"custody")</f>
        <v>0</v>
      </c>
      <c r="V103" s="145">
        <f>SUMIFS('caseload data'!F:F,'caseload data'!$D:$D,"TPO",'caseload data'!$C:$C,'custody caseload'!$T$99,'caseload data'!$B:$B,"custody")</f>
        <v>0</v>
      </c>
      <c r="W103" s="145">
        <f>SUMIFS('caseload data'!G:G,'caseload data'!$D:$D,"TPO",'caseload data'!$C:$C,'custody caseload'!$T$99,'caseload data'!$B:$B,"custody")</f>
        <v>0</v>
      </c>
      <c r="X103" s="145">
        <f>SUMIFS('caseload data'!H:H,'caseload data'!$D:$D,"TPO",'caseload data'!$C:$C,'custody caseload'!$T$99,'caseload data'!$B:$B,"custody")</f>
        <v>0</v>
      </c>
      <c r="Y103" s="145">
        <f>SUMIFS('caseload data'!I:I,'caseload data'!$D:$D,"TPO",'caseload data'!$C:$C,'custody caseload'!$T$99,'caseload data'!$B:$B,"custody")</f>
        <v>0</v>
      </c>
      <c r="Z103" s="145">
        <f>SUMIFS('caseload data'!J:J,'caseload data'!$D:$D,"TPO",'caseload data'!$C:$C,'custody caseload'!$T$99,'caseload data'!$B:$B,"custody")</f>
        <v>0</v>
      </c>
      <c r="AA103" s="145">
        <f>SUMIFS('caseload data'!K:K,'caseload data'!$D:$D,"TPO",'caseload data'!$C:$C,'custody caseload'!$T$99,'caseload data'!$B:$B,"custody")</f>
        <v>0</v>
      </c>
      <c r="AB103" s="145">
        <f>SUMIFS('caseload data'!L:L,'caseload data'!$D:$D,"TPO",'caseload data'!$C:$C,'custody caseload'!$T$99,'caseload data'!$B:$B,"custody")</f>
        <v>0</v>
      </c>
      <c r="AC103" s="94">
        <f>SUMIFS('caseload data'!M:M,'caseload data'!$D:$D,"TPO",'caseload data'!$C:$C,'custody caseload'!$T$99,'caseload data'!$B:$B,"custody")</f>
        <v>0</v>
      </c>
      <c r="AD103" s="94">
        <f>SUMIFS('caseload data'!N:N,'caseload data'!$D:$D,"TPO",'caseload data'!$C:$C,'custody caseload'!$T$99,'caseload data'!$B:$B,"custody")</f>
        <v>0</v>
      </c>
      <c r="AE103" s="94">
        <f>SUMIFS('caseload data'!O:O,'caseload data'!$D:$D,"TPO",'caseload data'!$C:$C,'custody caseload'!$T$99,'caseload data'!$B:$B,"custody")</f>
        <v>0</v>
      </c>
      <c r="AF103" s="94">
        <f>SUMIFS('caseload data'!P:P,'caseload data'!$D:$D,"TPO",'caseload data'!$C:$C,'custody caseload'!$T$99,'caseload data'!$B:$B,"custody")</f>
        <v>0</v>
      </c>
      <c r="AG103" s="94">
        <f>SUMIFS('caseload data'!Q:Q,'caseload data'!$D:$D,"TPO",'caseload data'!$C:$C,'custody caseload'!$T$99,'caseload data'!$B:$B,"custody")</f>
        <v>0</v>
      </c>
      <c r="AH103" s="94">
        <f>SUMIFS('caseload data'!R:R,'caseload data'!$D:$D,"TPO",'caseload data'!$C:$C,'custody caseload'!$T$99,'caseload data'!$B:$B,"custody")</f>
        <v>0</v>
      </c>
      <c r="AI103" s="94">
        <f>SUMIFS('caseload data'!S:S,'caseload data'!$D:$D,"TPO",'caseload data'!$C:$C,'custody caseload'!$T$99,'caseload data'!$B:$B,"custody")</f>
        <v>0</v>
      </c>
      <c r="AJ103" s="94">
        <f>SUMIFS('caseload data'!T:T,'caseload data'!$D:$D,"TPO",'caseload data'!$C:$C,'custody caseload'!$T$99,'caseload data'!$B:$B,"custody")</f>
        <v>0</v>
      </c>
    </row>
    <row r="104" spans="2:36" x14ac:dyDescent="0.15">
      <c r="B104" s="98" t="s">
        <v>954</v>
      </c>
      <c r="C104" s="94">
        <f>SUMIFS('caseload data'!E:E,'caseload data'!$D:$D,"SPO",'caseload data'!$C:$C,'custody caseload'!$B$99,'caseload data'!$B:$B,"custody")</f>
        <v>0</v>
      </c>
      <c r="D104" s="94">
        <f>SUMIFS('caseload data'!F:F,'caseload data'!$D:$D,"SPO",'caseload data'!$C:$C,'custody caseload'!$B$99,'caseload data'!$B:$B,"custody")</f>
        <v>0</v>
      </c>
      <c r="E104" s="94">
        <f>SUMIFS('caseload data'!G:G,'caseload data'!$D:$D,"SPO",'caseload data'!$C:$C,'custody caseload'!$B$99,'caseload data'!$B:$B,"custody")</f>
        <v>0</v>
      </c>
      <c r="F104" s="94">
        <f>SUMIFS('caseload data'!H:H,'caseload data'!$D:$D,"SPO",'caseload data'!$C:$C,'custody caseload'!$B$99,'caseload data'!$B:$B,"custody")</f>
        <v>0</v>
      </c>
      <c r="G104" s="94">
        <f>SUMIFS('caseload data'!I:I,'caseload data'!$D:$D,"SPO",'caseload data'!$C:$C,'custody caseload'!$B$99,'caseload data'!$B:$B,"custody")</f>
        <v>0</v>
      </c>
      <c r="H104" s="94">
        <f>SUMIFS('caseload data'!J:J,'caseload data'!$D:$D,"SPO",'caseload data'!$C:$C,'custody caseload'!$B$99,'caseload data'!$B:$B,"custody")</f>
        <v>0</v>
      </c>
      <c r="I104" s="94">
        <f>SUMIFS('caseload data'!K:K,'caseload data'!$D:$D,"SPO",'caseload data'!$C:$C,'custody caseload'!$B$99,'caseload data'!$B:$B,"custody")</f>
        <v>0</v>
      </c>
      <c r="J104" s="94">
        <f>SUMIFS('caseload data'!L:L,'caseload data'!$D:$D,"SPO",'caseload data'!$C:$C,'custody caseload'!$B$99,'caseload data'!$B:$B,"custody")</f>
        <v>0</v>
      </c>
      <c r="K104" s="94">
        <f>SUMIFS('caseload data'!M:M,'caseload data'!$D:$D,"SPO",'caseload data'!$C:$C,'custody caseload'!$B$99,'caseload data'!$B:$B,"custody")</f>
        <v>0</v>
      </c>
      <c r="L104" s="94">
        <f>SUMIFS('caseload data'!N:N,'caseload data'!$D:$D,"SPO",'caseload data'!$C:$C,'custody caseload'!$B$99,'caseload data'!$B:$B,"custody")</f>
        <v>0</v>
      </c>
      <c r="M104" s="94">
        <f>SUMIFS('caseload data'!O:O,'caseload data'!$D:$D,"SPO",'caseload data'!$C:$C,'custody caseload'!$B$99,'caseload data'!$B:$B,"custody")</f>
        <v>0</v>
      </c>
      <c r="N104" s="94">
        <f>SUMIFS('caseload data'!P:P,'caseload data'!$D:$D,"SPO",'caseload data'!$C:$C,'custody caseload'!$B$99,'caseload data'!$B:$B,"custody")</f>
        <v>0</v>
      </c>
      <c r="O104" s="94">
        <f>SUMIFS('caseload data'!Q:Q,'caseload data'!$D:$D,"SPO",'caseload data'!$C:$C,'custody caseload'!$B$99,'caseload data'!$B:$B,"custody")</f>
        <v>0</v>
      </c>
      <c r="P104" s="94">
        <f>SUMIFS('caseload data'!R:R,'caseload data'!$D:$D,"SPO",'caseload data'!$C:$C,'custody caseload'!$B$99,'caseload data'!$B:$B,"custody")</f>
        <v>0</v>
      </c>
      <c r="Q104" s="94">
        <f>SUMIFS('caseload data'!S:S,'caseload data'!$D:$D,"SPO",'caseload data'!$C:$C,'custody caseload'!$B$99,'caseload data'!$B:$B,"custody")</f>
        <v>0</v>
      </c>
      <c r="R104" s="94">
        <f>SUMIFS('caseload data'!T:T,'caseload data'!$D:$D,"SPO",'caseload data'!$C:$C,'custody caseload'!$B$99,'caseload data'!$B:$B,"custody")</f>
        <v>0</v>
      </c>
      <c r="T104" s="98" t="s">
        <v>954</v>
      </c>
      <c r="U104" s="94">
        <f>SUMIFS('caseload data'!E:E,'caseload data'!$D:$D,"SPO",'caseload data'!$C:$C,'custody caseload'!$T$99,'caseload data'!$B:$B,"custody")</f>
        <v>0</v>
      </c>
      <c r="V104" s="94">
        <f>SUMIFS('caseload data'!F:F,'caseload data'!$D:$D,"SPO",'caseload data'!$C:$C,'custody caseload'!$T$99,'caseload data'!$B:$B,"custody")</f>
        <v>0</v>
      </c>
      <c r="W104" s="94">
        <f>SUMIFS('caseload data'!G:G,'caseload data'!$D:$D,"SPO",'caseload data'!$C:$C,'custody caseload'!$T$99,'caseload data'!$B:$B,"custody")</f>
        <v>0</v>
      </c>
      <c r="X104" s="94">
        <f>SUMIFS('caseload data'!H:H,'caseload data'!$D:$D,"SPO",'caseload data'!$C:$C,'custody caseload'!$T$99,'caseload data'!$B:$B,"custody")</f>
        <v>0</v>
      </c>
      <c r="Y104" s="94">
        <f>SUMIFS('caseload data'!I:I,'caseload data'!$D:$D,"SPO",'caseload data'!$C:$C,'custody caseload'!$T$99,'caseload data'!$B:$B,"custody")</f>
        <v>0</v>
      </c>
      <c r="Z104" s="94">
        <f>SUMIFS('caseload data'!J:J,'caseload data'!$D:$D,"SPO",'caseload data'!$C:$C,'custody caseload'!$T$99,'caseload data'!$B:$B,"custody")</f>
        <v>0</v>
      </c>
      <c r="AA104" s="94">
        <f>SUMIFS('caseload data'!K:K,'caseload data'!$D:$D,"SPO",'caseload data'!$C:$C,'custody caseload'!$T$99,'caseload data'!$B:$B,"custody")</f>
        <v>0</v>
      </c>
      <c r="AB104" s="94">
        <f>SUMIFS('caseload data'!L:L,'caseload data'!$D:$D,"SPO",'caseload data'!$C:$C,'custody caseload'!$T$99,'caseload data'!$B:$B,"custody")</f>
        <v>0</v>
      </c>
      <c r="AC104" s="94">
        <f>SUMIFS('caseload data'!M:M,'caseload data'!$D:$D,"SPO",'caseload data'!$C:$C,'custody caseload'!$T$99,'caseload data'!$B:$B,"custody")</f>
        <v>0</v>
      </c>
      <c r="AD104" s="94">
        <f>SUMIFS('caseload data'!N:N,'caseload data'!$D:$D,"SPO",'caseload data'!$C:$C,'custody caseload'!$T$99,'caseload data'!$B:$B,"custody")</f>
        <v>0</v>
      </c>
      <c r="AE104" s="94">
        <f>SUMIFS('caseload data'!O:O,'caseload data'!$D:$D,"SPO",'caseload data'!$C:$C,'custody caseload'!$T$99,'caseload data'!$B:$B,"custody")</f>
        <v>0</v>
      </c>
      <c r="AF104" s="94">
        <f>SUMIFS('caseload data'!P:P,'caseload data'!$D:$D,"SPO",'caseload data'!$C:$C,'custody caseload'!$T$99,'caseload data'!$B:$B,"custody")</f>
        <v>0</v>
      </c>
      <c r="AG104" s="94">
        <f>SUMIFS('caseload data'!Q:Q,'caseload data'!$D:$D,"SPO",'caseload data'!$C:$C,'custody caseload'!$T$99,'caseload data'!$B:$B,"custody")</f>
        <v>0</v>
      </c>
      <c r="AH104" s="94">
        <f>SUMIFS('caseload data'!R:R,'caseload data'!$D:$D,"SPO",'caseload data'!$C:$C,'custody caseload'!$T$99,'caseload data'!$B:$B,"custody")</f>
        <v>0</v>
      </c>
      <c r="AI104" s="94">
        <f>SUMIFS('caseload data'!S:S,'caseload data'!$D:$D,"SPO",'caseload data'!$C:$C,'custody caseload'!$T$99,'caseload data'!$B:$B,"custody")</f>
        <v>0</v>
      </c>
      <c r="AJ104" s="94">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J1"/>
    <mergeCell ref="B2:AJ2"/>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A3" sqref="A3"/>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564" t="s">
        <v>1075</v>
      </c>
      <c r="B1" s="564"/>
      <c r="C1" s="564"/>
      <c r="D1" s="564"/>
      <c r="E1" s="564"/>
      <c r="F1" s="564"/>
      <c r="G1" s="564"/>
      <c r="H1" s="564"/>
      <c r="I1" s="564"/>
      <c r="J1" s="564"/>
      <c r="K1" s="564"/>
      <c r="L1" s="564"/>
      <c r="M1" s="564"/>
      <c r="N1" s="564"/>
      <c r="O1" s="564"/>
      <c r="P1" s="564"/>
      <c r="Q1" s="564"/>
      <c r="R1" s="564"/>
      <c r="S1" s="564"/>
      <c r="T1" s="564"/>
      <c r="U1" s="564"/>
      <c r="V1" s="564"/>
      <c r="W1" s="564"/>
      <c r="X1" s="564"/>
      <c r="Y1" s="564"/>
      <c r="Z1" s="564"/>
      <c r="AA1" s="564"/>
      <c r="AB1" s="564"/>
      <c r="AC1" s="564"/>
      <c r="AD1" s="564"/>
      <c r="AE1" s="564"/>
      <c r="AF1" s="564"/>
      <c r="AG1" s="564"/>
      <c r="AH1" s="564"/>
      <c r="AI1" s="564"/>
      <c r="AJ1" s="564"/>
      <c r="AK1" s="260"/>
      <c r="AL1" s="260"/>
      <c r="AM1" s="260"/>
      <c r="AN1" s="260"/>
      <c r="AO1" s="260"/>
      <c r="AP1" s="260"/>
      <c r="AQ1" s="260"/>
      <c r="AR1" s="260"/>
      <c r="AS1" s="260"/>
      <c r="AT1" s="260"/>
      <c r="AU1" s="260"/>
      <c r="AV1" s="260"/>
      <c r="AW1" s="260"/>
    </row>
    <row r="2" spans="1:49" ht="59.25" customHeight="1" x14ac:dyDescent="0.15">
      <c r="A2" s="460" t="s">
        <v>1362</v>
      </c>
      <c r="B2" s="460"/>
      <c r="C2" s="460"/>
      <c r="D2" s="460"/>
      <c r="E2" s="460"/>
      <c r="F2" s="460"/>
      <c r="G2" s="460"/>
      <c r="H2" s="460"/>
      <c r="I2" s="460"/>
      <c r="J2" s="460"/>
      <c r="K2" s="460"/>
      <c r="L2" s="460"/>
      <c r="M2" s="460"/>
      <c r="N2" s="460"/>
      <c r="O2" s="460"/>
      <c r="P2" s="460"/>
      <c r="Q2" s="460"/>
      <c r="R2" s="460"/>
      <c r="S2" s="460"/>
      <c r="T2" s="460"/>
      <c r="U2" s="460"/>
      <c r="V2" s="460"/>
      <c r="W2" s="460"/>
      <c r="X2" s="460"/>
      <c r="Y2" s="460"/>
      <c r="Z2" s="460"/>
      <c r="AA2" s="460"/>
      <c r="AB2" s="460"/>
      <c r="AC2" s="460"/>
      <c r="AD2" s="460"/>
      <c r="AE2" s="460"/>
      <c r="AF2" s="460"/>
      <c r="AG2" s="460"/>
      <c r="AH2" s="460"/>
      <c r="AI2" s="460"/>
      <c r="AJ2" s="460"/>
      <c r="AK2" s="262"/>
      <c r="AL2" s="262"/>
      <c r="AM2" s="262"/>
      <c r="AN2" s="262"/>
      <c r="AO2" s="262"/>
      <c r="AP2" s="262"/>
      <c r="AQ2" s="262"/>
      <c r="AR2" s="262"/>
      <c r="AS2" s="262"/>
      <c r="AT2" s="262"/>
      <c r="AU2" s="262"/>
      <c r="AV2" s="262"/>
    </row>
    <row r="3" spans="1:49"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row>
    <row r="4" spans="1:49" ht="30" x14ac:dyDescent="0.15">
      <c r="B4" s="36" t="s">
        <v>885</v>
      </c>
    </row>
    <row r="5" spans="1:49" ht="23.25" customHeight="1" x14ac:dyDescent="0.15">
      <c r="B5" s="242" t="s">
        <v>17</v>
      </c>
      <c r="P5" s="40"/>
    </row>
    <row r="6" spans="1:49" x14ac:dyDescent="0.15">
      <c r="B6" s="46"/>
    </row>
    <row r="8" spans="1:49" ht="28.5" customHeight="1" x14ac:dyDescent="0.15">
      <c r="B8" s="288" t="str">
        <f>HLOOKUP($B$5,Region_Table,2,0)</f>
        <v>All East Midlands Region</v>
      </c>
      <c r="C8" s="548" t="s">
        <v>1073</v>
      </c>
      <c r="D8" s="549"/>
      <c r="E8" s="549"/>
      <c r="F8" s="549"/>
      <c r="G8" s="549"/>
      <c r="H8" s="549"/>
      <c r="I8" s="549"/>
      <c r="J8" s="549"/>
      <c r="K8" s="549"/>
      <c r="L8" s="549"/>
      <c r="M8" s="568"/>
      <c r="N8" s="568"/>
      <c r="O8" s="569"/>
      <c r="P8" s="543">
        <f>SUMIF('caseload data'!C:C,'custody %'!B8,'caseload data'!V:V)</f>
        <v>0</v>
      </c>
      <c r="Q8" s="560"/>
      <c r="R8" s="561"/>
      <c r="S8" s="64"/>
      <c r="T8" s="288" t="str">
        <f>HLOOKUP($B$5,Region_Table,3,0)</f>
        <v>Derby City - N53</v>
      </c>
      <c r="U8" s="548" t="s">
        <v>1073</v>
      </c>
      <c r="V8" s="549"/>
      <c r="W8" s="549"/>
      <c r="X8" s="549"/>
      <c r="Y8" s="549"/>
      <c r="Z8" s="549"/>
      <c r="AA8" s="549"/>
      <c r="AB8" s="549"/>
      <c r="AC8" s="568"/>
      <c r="AD8" s="568"/>
      <c r="AE8" s="569"/>
      <c r="AF8" s="543">
        <f>SUMIF('caseload data'!C:C,'custody %'!T8,'caseload data'!V:V)</f>
        <v>0</v>
      </c>
      <c r="AG8" s="560"/>
      <c r="AH8" s="561"/>
    </row>
    <row r="9" spans="1:49"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49" x14ac:dyDescent="0.15">
      <c r="B10" s="96" t="s">
        <v>947</v>
      </c>
      <c r="C10" s="167" t="str">
        <f>IFERROR(SUMIFS('caseload data'!E:E,'caseload data'!$C:$C,'custody %'!$B$8,'caseload data'!$D:$D,"PO",'caseload data'!$B:$B,"custody")/SUMIFS('caseload data'!E:E,'caseload data'!$B:$B,"custody",'caseload data'!$C:$C,'custody %'!$B$8),"")</f>
        <v/>
      </c>
      <c r="D10" s="167" t="str">
        <f>IFERROR(SUMIFS('caseload data'!F:F,'caseload data'!$C:$C,'custody %'!$B$8,'caseload data'!$D:$D,"PO",'caseload data'!$B:$B,"custody")/SUMIFS('caseload data'!F:F,'caseload data'!$B:$B,"custody",'caseload data'!$C:$C,'custody %'!$B$8),"")</f>
        <v/>
      </c>
      <c r="E10" s="167" t="str">
        <f>IFERROR(SUMIFS('caseload data'!G:G,'caseload data'!$C:$C,'custody %'!$B$8,'caseload data'!$D:$D,"PO",'caseload data'!$B:$B,"custody")/SUMIFS('caseload data'!G:G,'caseload data'!$B:$B,"custody",'caseload data'!$C:$C,'custody %'!$B$8),"")</f>
        <v/>
      </c>
      <c r="F10" s="167" t="str">
        <f>IFERROR(SUMIFS('caseload data'!H:H,'caseload data'!$C:$C,'custody %'!$B$8,'caseload data'!$D:$D,"PO",'caseload data'!$B:$B,"custody")/SUMIFS('caseload data'!H:H,'caseload data'!$B:$B,"custody",'caseload data'!$C:$C,'custody %'!$B$8),"")</f>
        <v/>
      </c>
      <c r="G10" s="167" t="str">
        <f>IFERROR(SUMIFS('caseload data'!I:I,'caseload data'!$C:$C,'custody %'!$B$8,'caseload data'!$D:$D,"PO",'caseload data'!$B:$B,"custody")/SUMIFS('caseload data'!I:I,'caseload data'!$B:$B,"custody",'caseload data'!$C:$C,'custody %'!$B$8),"")</f>
        <v/>
      </c>
      <c r="H10" s="167" t="str">
        <f>IFERROR(SUMIFS('caseload data'!J:J,'caseload data'!$C:$C,'custody %'!$B$8,'caseload data'!$D:$D,"PO",'caseload data'!$B:$B,"custody")/SUMIFS('caseload data'!J:J,'caseload data'!$B:$B,"custody",'caseload data'!$C:$C,'custody %'!$B$8),"")</f>
        <v/>
      </c>
      <c r="I10" s="167" t="str">
        <f>IFERROR(SUMIFS('caseload data'!K:K,'caseload data'!$C:$C,'custody %'!$B$8,'caseload data'!$D:$D,"PO",'caseload data'!$B:$B,"custody")/SUMIFS('caseload data'!K:K,'caseload data'!$B:$B,"custody",'caseload data'!$C:$C,'custody %'!$B$8),"")</f>
        <v/>
      </c>
      <c r="J10" s="167" t="str">
        <f>IFERROR(SUMIFS('caseload data'!L:L,'caseload data'!$C:$C,'custody %'!$B$8,'caseload data'!$D:$D,"PO",'caseload data'!$B:$B,"custody")/SUMIFS('caseload data'!L:L,'caseload data'!$B:$B,"custody",'caseload data'!$C:$C,'custody %'!$B$8),"")</f>
        <v/>
      </c>
      <c r="K10" s="167" t="str">
        <f>IFERROR(SUMIFS('caseload data'!M:M,'caseload data'!$C:$C,'custody %'!$B$8,'caseload data'!$D:$D,"PO",'caseload data'!$B:$B,"custody")/SUMIFS('caseload data'!M:M,'caseload data'!$B:$B,"custody",'caseload data'!$C:$C,'custody %'!$B$8),"")</f>
        <v/>
      </c>
      <c r="L10" s="167" t="str">
        <f>IFERROR(SUMIFS('caseload data'!N:N,'caseload data'!$C:$C,'custody %'!$B$8,'caseload data'!$D:$D,"PO",'caseload data'!$B:$B,"custody")/SUMIFS('caseload data'!N:N,'caseload data'!$B:$B,"custody",'caseload data'!$C:$C,'custody %'!$B$8),"")</f>
        <v/>
      </c>
      <c r="M10" s="167" t="str">
        <f>IFERROR(SUMIFS('caseload data'!O:O,'caseload data'!$C:$C,'custody %'!$B$8,'caseload data'!$D:$D,"PO",'caseload data'!$B:$B,"custody")/SUMIFS('caseload data'!O:O,'caseload data'!$B:$B,"custody",'caseload data'!$C:$C,'custody %'!$B$8),"")</f>
        <v/>
      </c>
      <c r="N10" s="167" t="str">
        <f>IFERROR(SUMIFS('caseload data'!P:P,'caseload data'!$C:$C,'custody %'!$B$8,'caseload data'!$D:$D,"PO",'caseload data'!$B:$B,"custody")/SUMIFS('caseload data'!P:P,'caseload data'!$B:$B,"custody",'caseload data'!$C:$C,'custody %'!$B$8),"")</f>
        <v/>
      </c>
      <c r="O10" s="167" t="str">
        <f>IFERROR(SUMIFS('caseload data'!Q:Q,'caseload data'!$C:$C,'custody %'!$B$8,'caseload data'!$D:$D,"PO",'caseload data'!$B:$B,"custody")/SUMIFS('caseload data'!Q:Q,'caseload data'!$B:$B,"custody",'caseload data'!$C:$C,'custody %'!$B$8),"")</f>
        <v/>
      </c>
      <c r="P10" s="167" t="str">
        <f>IFERROR(SUMIFS('caseload data'!R:R,'caseload data'!$C:$C,'custody %'!$B$8,'caseload data'!$D:$D,"PO",'caseload data'!$B:$B,"custody")/SUMIFS('caseload data'!R:R,'caseload data'!$B:$B,"custody",'caseload data'!$C:$C,'custody %'!$B$8),"")</f>
        <v/>
      </c>
      <c r="Q10" s="167" t="str">
        <f>IFERROR(SUMIFS('caseload data'!S:S,'caseload data'!$C:$C,'custody %'!$B$8,'caseload data'!$D:$D,"PO",'caseload data'!$B:$B,"custody")/SUMIFS('caseload data'!S:S,'caseload data'!$B:$B,"custody",'caseload data'!$C:$C,'custody %'!$B$8),"")</f>
        <v/>
      </c>
      <c r="R10" s="167" t="str">
        <f>IFERROR(SUMIFS('caseload data'!T:T,'caseload data'!$C:$C,'custody %'!$B$8,'caseload data'!$D:$D,"PO",'caseload data'!$B:$B,"custody")/SUMIFS('caseload data'!T:T,'caseload data'!$B:$B,"custody",'caseload data'!$C:$C,'custody %'!$B$8),"")</f>
        <v/>
      </c>
      <c r="S10" s="64"/>
      <c r="T10" s="96" t="s">
        <v>947</v>
      </c>
      <c r="U10" s="167" t="str">
        <f>IFERROR(SUMIFS('caseload data'!E:E,'caseload data'!$C:$C,'custody %'!$T$8,'caseload data'!$D:$D,"PO",'caseload data'!$B:$B,"custody")/SUMIFS('caseload data'!E:E,'caseload data'!$B:$B,"custody",'caseload data'!$C:$C,'custody %'!$T$8),"")</f>
        <v/>
      </c>
      <c r="V10" s="167" t="str">
        <f>IFERROR(SUMIFS('caseload data'!F:F,'caseload data'!$C:$C,'custody %'!$T$8,'caseload data'!$D:$D,"PO",'caseload data'!$B:$B,"custody")/SUMIFS('caseload data'!F:F,'caseload data'!$B:$B,"custody",'caseload data'!$C:$C,'custody %'!$T$8),"")</f>
        <v/>
      </c>
      <c r="W10" s="167" t="str">
        <f>IFERROR(SUMIFS('caseload data'!G:G,'caseload data'!$C:$C,'custody %'!$T$8,'caseload data'!$D:$D,"PO",'caseload data'!$B:$B,"custody")/SUMIFS('caseload data'!G:G,'caseload data'!$B:$B,"custody",'caseload data'!$C:$C,'custody %'!$T$8),"")</f>
        <v/>
      </c>
      <c r="X10" s="167" t="str">
        <f>IFERROR(SUMIFS('caseload data'!H:H,'caseload data'!$C:$C,'custody %'!$T$8,'caseload data'!$D:$D,"PO",'caseload data'!$B:$B,"custody")/SUMIFS('caseload data'!H:H,'caseload data'!$B:$B,"custody",'caseload data'!$C:$C,'custody %'!$T$8),"")</f>
        <v/>
      </c>
      <c r="Y10" s="167" t="str">
        <f>IFERROR(SUMIFS('caseload data'!I:I,'caseload data'!$C:$C,'custody %'!$T$8,'caseload data'!$D:$D,"PO",'caseload data'!$B:$B,"custody")/SUMIFS('caseload data'!I:I,'caseload data'!$B:$B,"custody",'caseload data'!$C:$C,'custody %'!$T$8),"")</f>
        <v/>
      </c>
      <c r="Z10" s="167" t="str">
        <f>IFERROR(SUMIFS('caseload data'!J:J,'caseload data'!$C:$C,'custody %'!$T$8,'caseload data'!$D:$D,"PO",'caseload data'!$B:$B,"custody")/SUMIFS('caseload data'!J:J,'caseload data'!$B:$B,"custody",'caseload data'!$C:$C,'custody %'!$T$8),"")</f>
        <v/>
      </c>
      <c r="AA10" s="167" t="str">
        <f>IFERROR(SUMIFS('caseload data'!K:K,'caseload data'!$C:$C,'custody %'!$T$8,'caseload data'!$D:$D,"PO",'caseload data'!$B:$B,"custody")/SUMIFS('caseload data'!K:K,'caseload data'!$B:$B,"custody",'caseload data'!$C:$C,'custody %'!$T$8),"")</f>
        <v/>
      </c>
      <c r="AB10" s="167" t="str">
        <f>IFERROR(SUMIFS('caseload data'!L:L,'caseload data'!$C:$C,'custody %'!$T$8,'caseload data'!$D:$D,"PO",'caseload data'!$B:$B,"custody")/SUMIFS('caseload data'!L:L,'caseload data'!$B:$B,"custody",'caseload data'!$C:$C,'custody %'!$T$8),"")</f>
        <v/>
      </c>
      <c r="AC10" s="167" t="str">
        <f>IFERROR(SUMIFS('caseload data'!M:M,'caseload data'!$C:$C,'custody %'!$T$8,'caseload data'!$D:$D,"PO",'caseload data'!$B:$B,"custody")/SUMIFS('caseload data'!M:M,'caseload data'!$B:$B,"custody",'caseload data'!$C:$C,'custody %'!$T$8),"")</f>
        <v/>
      </c>
      <c r="AD10" s="167" t="str">
        <f>IFERROR(SUMIFS('caseload data'!N:N,'caseload data'!$C:$C,'custody %'!$T$8,'caseload data'!$D:$D,"PO",'caseload data'!$B:$B,"custody")/SUMIFS('caseload data'!N:N,'caseload data'!$B:$B,"custody",'caseload data'!$C:$C,'custody %'!$T$8),"")</f>
        <v/>
      </c>
      <c r="AE10" s="167" t="str">
        <f>IFERROR(SUMIFS('caseload data'!O:O,'caseload data'!$C:$C,'custody %'!$T$8,'caseload data'!$D:$D,"PO",'caseload data'!$B:$B,"custody")/SUMIFS('caseload data'!O:O,'caseload data'!$B:$B,"custody",'caseload data'!$C:$C,'custody %'!$T$8),"")</f>
        <v/>
      </c>
      <c r="AF10" s="167" t="str">
        <f>IFERROR(SUMIFS('caseload data'!P:P,'caseload data'!$C:$C,'custody %'!$T$8,'caseload data'!$D:$D,"PO",'caseload data'!$B:$B,"custody")/SUMIFS('caseload data'!P:P,'caseload data'!$B:$B,"custody",'caseload data'!$C:$C,'custody %'!$T$8),"")</f>
        <v/>
      </c>
      <c r="AG10" s="167" t="str">
        <f>IFERROR(SUMIFS('caseload data'!Q:Q,'caseload data'!$C:$C,'custody %'!$T$8,'caseload data'!$D:$D,"PO",'caseload data'!$B:$B,"custody")/SUMIFS('caseload data'!Q:Q,'caseload data'!$B:$B,"custody",'caseload data'!$C:$C,'custody %'!$T$8),"")</f>
        <v/>
      </c>
      <c r="AH10" s="167" t="str">
        <f>IFERROR(SUMIFS('caseload data'!R:R,'caseload data'!$C:$C,'custody %'!$T$8,'caseload data'!$D:$D,"PO",'caseload data'!$B:$B,"custody")/SUMIFS('caseload data'!R:R,'caseload data'!$B:$B,"custody",'caseload data'!$C:$C,'custody %'!$T$8),"")</f>
        <v/>
      </c>
      <c r="AI10" s="167"/>
      <c r="AJ10" s="167"/>
    </row>
    <row r="11" spans="1:49" x14ac:dyDescent="0.15">
      <c r="B11" s="97" t="s">
        <v>952</v>
      </c>
      <c r="C11" s="167" t="str">
        <f>IFERROR(SUMIFS('caseload data'!E:E,'caseload data'!$C:$C,'custody %'!$B$8,'caseload data'!$D:$D,"PSO",'caseload data'!$B:$B,"custody")/SUMIFS('caseload data'!E:E,'caseload data'!$B:$B,"custody",'caseload data'!$C:$C,'custody %'!$B$8),"")</f>
        <v/>
      </c>
      <c r="D11" s="167" t="str">
        <f>IFERROR(SUMIFS('caseload data'!F:F,'caseload data'!$C:$C,'custody %'!$B$8,'caseload data'!$D:$D,"PSO",'caseload data'!$B:$B,"custody")/SUMIFS('caseload data'!F:F,'caseload data'!$B:$B,"custody",'caseload data'!$C:$C,'custody %'!$B$8),"")</f>
        <v/>
      </c>
      <c r="E11" s="167" t="str">
        <f>IFERROR(SUMIFS('caseload data'!G:G,'caseload data'!$C:$C,'custody %'!$B$8,'caseload data'!$D:$D,"PSO",'caseload data'!$B:$B,"custody")/SUMIFS('caseload data'!G:G,'caseload data'!$B:$B,"custody",'caseload data'!$C:$C,'custody %'!$B$8),"")</f>
        <v/>
      </c>
      <c r="F11" s="167" t="str">
        <f>IFERROR(SUMIFS('caseload data'!H:H,'caseload data'!$C:$C,'custody %'!$B$8,'caseload data'!$D:$D,"PSO",'caseload data'!$B:$B,"custody")/SUMIFS('caseload data'!H:H,'caseload data'!$B:$B,"custody",'caseload data'!$C:$C,'custody %'!$B$8),"")</f>
        <v/>
      </c>
      <c r="G11" s="167" t="str">
        <f>IFERROR(SUMIFS('caseload data'!I:I,'caseload data'!$C:$C,'custody %'!$B$8,'caseload data'!$D:$D,"PSO",'caseload data'!$B:$B,"custody")/SUMIFS('caseload data'!I:I,'caseload data'!$B:$B,"custody",'caseload data'!$C:$C,'custody %'!$B$8),"")</f>
        <v/>
      </c>
      <c r="H11" s="167" t="str">
        <f>IFERROR(SUMIFS('caseload data'!J:J,'caseload data'!$C:$C,'custody %'!$B$8,'caseload data'!$D:$D,"PSO",'caseload data'!$B:$B,"custody")/SUMIFS('caseload data'!J:J,'caseload data'!$B:$B,"custody",'caseload data'!$C:$C,'custody %'!$B$8),"")</f>
        <v/>
      </c>
      <c r="I11" s="167" t="str">
        <f>IFERROR(SUMIFS('caseload data'!K:K,'caseload data'!$C:$C,'custody %'!$B$8,'caseload data'!$D:$D,"PSO",'caseload data'!$B:$B,"custody")/SUMIFS('caseload data'!K:K,'caseload data'!$B:$B,"custody",'caseload data'!$C:$C,'custody %'!$B$8),"")</f>
        <v/>
      </c>
      <c r="J11" s="167" t="str">
        <f>IFERROR(SUMIFS('caseload data'!L:L,'caseload data'!$C:$C,'custody %'!$B$8,'caseload data'!$D:$D,"PSO",'caseload data'!$B:$B,"custody")/SUMIFS('caseload data'!L:L,'caseload data'!$B:$B,"custody",'caseload data'!$C:$C,'custody %'!$B$8),"")</f>
        <v/>
      </c>
      <c r="K11" s="167" t="str">
        <f>IFERROR(SUMIFS('caseload data'!M:M,'caseload data'!$C:$C,'custody %'!$B$8,'caseload data'!$D:$D,"PSO",'caseload data'!$B:$B,"custody")/SUMIFS('caseload data'!M:M,'caseload data'!$B:$B,"custody",'caseload data'!$C:$C,'custody %'!$B$8),"")</f>
        <v/>
      </c>
      <c r="L11" s="167" t="str">
        <f>IFERROR(SUMIFS('caseload data'!N:N,'caseload data'!$C:$C,'custody %'!$B$8,'caseload data'!$D:$D,"PSO",'caseload data'!$B:$B,"custody")/SUMIFS('caseload data'!N:N,'caseload data'!$B:$B,"custody",'caseload data'!$C:$C,'custody %'!$B$8),"")</f>
        <v/>
      </c>
      <c r="M11" s="167" t="str">
        <f>IFERROR(SUMIFS('caseload data'!O:O,'caseload data'!$C:$C,'custody %'!$B$8,'caseload data'!$D:$D,"PSO",'caseload data'!$B:$B,"custody")/SUMIFS('caseload data'!O:O,'caseload data'!$B:$B,"custody",'caseload data'!$C:$C,'custody %'!$B$8),"")</f>
        <v/>
      </c>
      <c r="N11" s="167" t="str">
        <f>IFERROR(SUMIFS('caseload data'!P:P,'caseload data'!$C:$C,'custody %'!$B$8,'caseload data'!$D:$D,"PSO",'caseload data'!$B:$B,"custody")/SUMIFS('caseload data'!P:P,'caseload data'!$B:$B,"custody",'caseload data'!$C:$C,'custody %'!$B$8),"")</f>
        <v/>
      </c>
      <c r="O11" s="167" t="str">
        <f>IFERROR(SUMIFS('caseload data'!Q:Q,'caseload data'!$C:$C,'custody %'!$B$8,'caseload data'!$D:$D,"PSO",'caseload data'!$B:$B,"custody")/SUMIFS('caseload data'!Q:Q,'caseload data'!$B:$B,"custody",'caseload data'!$C:$C,'custody %'!$B$8),"")</f>
        <v/>
      </c>
      <c r="P11" s="167" t="str">
        <f>IFERROR(SUMIFS('caseload data'!R:R,'caseload data'!$C:$C,'custody %'!$B$8,'caseload data'!$D:$D,"PSO",'caseload data'!$B:$B,"custody")/SUMIFS('caseload data'!R:R,'caseload data'!$B:$B,"custody",'caseload data'!$C:$C,'custody %'!$B$8),"")</f>
        <v/>
      </c>
      <c r="Q11" s="167" t="str">
        <f>IFERROR(SUMIFS('caseload data'!S:S,'caseload data'!$C:$C,'custody %'!$B$8,'caseload data'!$D:$D,"PSO",'caseload data'!$B:$B,"custody")/SUMIFS('caseload data'!S:S,'caseload data'!$B:$B,"custody",'caseload data'!$C:$C,'custody %'!$B$8),"")</f>
        <v/>
      </c>
      <c r="R11" s="167" t="str">
        <f>IFERROR(SUMIFS('caseload data'!T:T,'caseload data'!$C:$C,'custody %'!$B$8,'caseload data'!$D:$D,"PSO",'caseload data'!$B:$B,"custody")/SUMIFS('caseload data'!T:T,'caseload data'!$B:$B,"custody",'caseload data'!$C:$C,'custody %'!$B$8),"")</f>
        <v/>
      </c>
      <c r="S11" s="64"/>
      <c r="T11" s="97" t="s">
        <v>952</v>
      </c>
      <c r="U11" s="167" t="str">
        <f>IFERROR(SUMIFS('caseload data'!E:E,'caseload data'!$C:$C,'custody %'!$T$8,'caseload data'!$D:$D,"PSO",'caseload data'!$B:$B,"custody")/SUMIFS('caseload data'!E:E,'caseload data'!$B:$B,"custody",'caseload data'!$C:$C,'custody %'!$T$8),"")</f>
        <v/>
      </c>
      <c r="V11" s="167" t="str">
        <f>IFERROR(SUMIFS('caseload data'!F:F,'caseload data'!$C:$C,'custody %'!$T$8,'caseload data'!$D:$D,"PSO",'caseload data'!$B:$B,"custody")/SUMIFS('caseload data'!F:F,'caseload data'!$B:$B,"custody",'caseload data'!$C:$C,'custody %'!$T$8),"")</f>
        <v/>
      </c>
      <c r="W11" s="167" t="str">
        <f>IFERROR(SUMIFS('caseload data'!G:G,'caseload data'!$C:$C,'custody %'!$T$8,'caseload data'!$D:$D,"PSO",'caseload data'!$B:$B,"custody")/SUMIFS('caseload data'!G:G,'caseload data'!$B:$B,"custody",'caseload data'!$C:$C,'custody %'!$T$8),"")</f>
        <v/>
      </c>
      <c r="X11" s="167" t="str">
        <f>IFERROR(SUMIFS('caseload data'!H:H,'caseload data'!$C:$C,'custody %'!$T$8,'caseload data'!$D:$D,"PSO",'caseload data'!$B:$B,"custody")/SUMIFS('caseload data'!H:H,'caseload data'!$B:$B,"custody",'caseload data'!$C:$C,'custody %'!$T$8),"")</f>
        <v/>
      </c>
      <c r="Y11" s="167" t="str">
        <f>IFERROR(SUMIFS('caseload data'!I:I,'caseload data'!$C:$C,'custody %'!$T$8,'caseload data'!$D:$D,"PSO",'caseload data'!$B:$B,"custody")/SUMIFS('caseload data'!I:I,'caseload data'!$B:$B,"custody",'caseload data'!$C:$C,'custody %'!$T$8),"")</f>
        <v/>
      </c>
      <c r="Z11" s="167" t="str">
        <f>IFERROR(SUMIFS('caseload data'!J:J,'caseload data'!$C:$C,'custody %'!$T$8,'caseload data'!$D:$D,"PSO",'caseload data'!$B:$B,"custody")/SUMIFS('caseload data'!J:J,'caseload data'!$B:$B,"custody",'caseload data'!$C:$C,'custody %'!$T$8),"")</f>
        <v/>
      </c>
      <c r="AA11" s="167" t="str">
        <f>IFERROR(SUMIFS('caseload data'!K:K,'caseload data'!$C:$C,'custody %'!$T$8,'caseload data'!$D:$D,"PSO",'caseload data'!$B:$B,"custody")/SUMIFS('caseload data'!K:K,'caseload data'!$B:$B,"custody",'caseload data'!$C:$C,'custody %'!$T$8),"")</f>
        <v/>
      </c>
      <c r="AB11" s="167" t="str">
        <f>IFERROR(SUMIFS('caseload data'!L:L,'caseload data'!$C:$C,'custody %'!$T$8,'caseload data'!$D:$D,"PSO",'caseload data'!$B:$B,"custody")/SUMIFS('caseload data'!L:L,'caseload data'!$B:$B,"custody",'caseload data'!$C:$C,'custody %'!$T$8),"")</f>
        <v/>
      </c>
      <c r="AC11" s="167" t="str">
        <f>IFERROR(SUMIFS('caseload data'!M:M,'caseload data'!$C:$C,'custody %'!$T$8,'caseload data'!$D:$D,"PSO",'caseload data'!$B:$B,"custody")/SUMIFS('caseload data'!M:M,'caseload data'!$B:$B,"custody",'caseload data'!$C:$C,'custody %'!$T$8),"")</f>
        <v/>
      </c>
      <c r="AD11" s="167" t="str">
        <f>IFERROR(SUMIFS('caseload data'!N:N,'caseload data'!$C:$C,'custody %'!$T$8,'caseload data'!$D:$D,"PSO",'caseload data'!$B:$B,"custody")/SUMIFS('caseload data'!N:N,'caseload data'!$B:$B,"custody",'caseload data'!$C:$C,'custody %'!$T$8),"")</f>
        <v/>
      </c>
      <c r="AE11" s="167" t="str">
        <f>IFERROR(SUMIFS('caseload data'!O:O,'caseload data'!$C:$C,'custody %'!$T$8,'caseload data'!$D:$D,"PSO",'caseload data'!$B:$B,"custody")/SUMIFS('caseload data'!O:O,'caseload data'!$B:$B,"custody",'caseload data'!$C:$C,'custody %'!$T$8),"")</f>
        <v/>
      </c>
      <c r="AF11" s="167" t="str">
        <f>IFERROR(SUMIFS('caseload data'!P:P,'caseload data'!$C:$C,'custody %'!$T$8,'caseload data'!$D:$D,"PSO",'caseload data'!$B:$B,"custody")/SUMIFS('caseload data'!P:P,'caseload data'!$B:$B,"custody",'caseload data'!$C:$C,'custody %'!$T$8),"")</f>
        <v/>
      </c>
      <c r="AG11" s="167" t="str">
        <f>IFERROR(SUMIFS('caseload data'!Q:Q,'caseload data'!$C:$C,'custody %'!$T$8,'caseload data'!$D:$D,"PSO",'caseload data'!$B:$B,"custody")/SUMIFS('caseload data'!Q:Q,'caseload data'!$B:$B,"custody",'caseload data'!$C:$C,'custody %'!$T$8),"")</f>
        <v/>
      </c>
      <c r="AH11" s="167" t="str">
        <f>IFERROR(SUMIFS('caseload data'!R:R,'caseload data'!$C:$C,'custody %'!$T$8,'caseload data'!$D:$D,"PSO",'caseload data'!$B:$B,"custody")/SUMIFS('caseload data'!R:R,'caseload data'!$B:$B,"custody",'caseload data'!$C:$C,'custody %'!$T$8),"")</f>
        <v/>
      </c>
      <c r="AI11" s="167"/>
      <c r="AJ11" s="167"/>
    </row>
    <row r="12" spans="1:49" x14ac:dyDescent="0.15">
      <c r="B12" s="97" t="s">
        <v>953</v>
      </c>
      <c r="C12" s="167" t="str">
        <f>IFERROR(SUMIFS('caseload data'!E:E,'caseload data'!$C:$C,'custody %'!$B$8,'caseload data'!$D:$D,"TPO",'caseload data'!$B:$B,"custody")/SUMIFS('caseload data'!E:E,'caseload data'!$B:$B,"custody",'caseload data'!$C:$C,'custody %'!$B$8),"")</f>
        <v/>
      </c>
      <c r="D12" s="167" t="str">
        <f>IFERROR(SUMIFS('caseload data'!F:F,'caseload data'!$C:$C,'custody %'!$B$8,'caseload data'!$D:$D,"TPO",'caseload data'!$B:$B,"custody")/SUMIFS('caseload data'!F:F,'caseload data'!$B:$B,"custody",'caseload data'!$C:$C,'custody %'!$B$8),"")</f>
        <v/>
      </c>
      <c r="E12" s="167" t="str">
        <f>IFERROR(SUMIFS('caseload data'!G:G,'caseload data'!$C:$C,'custody %'!$B$8,'caseload data'!$D:$D,"TPO",'caseload data'!$B:$B,"custody")/SUMIFS('caseload data'!G:G,'caseload data'!$B:$B,"custody",'caseload data'!$C:$C,'custody %'!$B$8),"")</f>
        <v/>
      </c>
      <c r="F12" s="167" t="str">
        <f>IFERROR(SUMIFS('caseload data'!H:H,'caseload data'!$C:$C,'custody %'!$B$8,'caseload data'!$D:$D,"TPO",'caseload data'!$B:$B,"custody")/SUMIFS('caseload data'!H:H,'caseload data'!$B:$B,"custody",'caseload data'!$C:$C,'custody %'!$B$8),"")</f>
        <v/>
      </c>
      <c r="G12" s="167" t="str">
        <f>IFERROR(SUMIFS('caseload data'!I:I,'caseload data'!$C:$C,'custody %'!$B$8,'caseload data'!$D:$D,"TPO",'caseload data'!$B:$B,"custody")/SUMIFS('caseload data'!I:I,'caseload data'!$B:$B,"custody",'caseload data'!$C:$C,'custody %'!$B$8),"")</f>
        <v/>
      </c>
      <c r="H12" s="167" t="str">
        <f>IFERROR(SUMIFS('caseload data'!J:J,'caseload data'!$C:$C,'custody %'!$B$8,'caseload data'!$D:$D,"TPO",'caseload data'!$B:$B,"custody")/SUMIFS('caseload data'!J:J,'caseload data'!$B:$B,"custody",'caseload data'!$C:$C,'custody %'!$B$8),"")</f>
        <v/>
      </c>
      <c r="I12" s="167" t="str">
        <f>IFERROR(SUMIFS('caseload data'!K:K,'caseload data'!$C:$C,'custody %'!$B$8,'caseload data'!$D:$D,"TPO",'caseload data'!$B:$B,"custody")/SUMIFS('caseload data'!K:K,'caseload data'!$B:$B,"custody",'caseload data'!$C:$C,'custody %'!$B$8),"")</f>
        <v/>
      </c>
      <c r="J12" s="167" t="str">
        <f>IFERROR(SUMIFS('caseload data'!L:L,'caseload data'!$C:$C,'custody %'!$B$8,'caseload data'!$D:$D,"TPO",'caseload data'!$B:$B,"custody")/SUMIFS('caseload data'!L:L,'caseload data'!$B:$B,"custody",'caseload data'!$C:$C,'custody %'!$B$8),"")</f>
        <v/>
      </c>
      <c r="K12" s="167" t="str">
        <f>IFERROR(SUMIFS('caseload data'!M:M,'caseload data'!$C:$C,'custody %'!$B$8,'caseload data'!$D:$D,"TPO",'caseload data'!$B:$B,"custody")/SUMIFS('caseload data'!M:M,'caseload data'!$B:$B,"custody",'caseload data'!$C:$C,'custody %'!$B$8),"")</f>
        <v/>
      </c>
      <c r="L12" s="167" t="str">
        <f>IFERROR(SUMIFS('caseload data'!N:N,'caseload data'!$C:$C,'custody %'!$B$8,'caseload data'!$D:$D,"TPO",'caseload data'!$B:$B,"custody")/SUMIFS('caseload data'!N:N,'caseload data'!$B:$B,"custody",'caseload data'!$C:$C,'custody %'!$B$8),"")</f>
        <v/>
      </c>
      <c r="M12" s="167" t="str">
        <f>IFERROR(SUMIFS('caseload data'!O:O,'caseload data'!$C:$C,'custody %'!$B$8,'caseload data'!$D:$D,"TPO",'caseload data'!$B:$B,"custody")/SUMIFS('caseload data'!O:O,'caseload data'!$B:$B,"custody",'caseload data'!$C:$C,'custody %'!$B$8),"")</f>
        <v/>
      </c>
      <c r="N12" s="167" t="str">
        <f>IFERROR(SUMIFS('caseload data'!P:P,'caseload data'!$C:$C,'custody %'!$B$8,'caseload data'!$D:$D,"TPO",'caseload data'!$B:$B,"custody")/SUMIFS('caseload data'!P:P,'caseload data'!$B:$B,"custody",'caseload data'!$C:$C,'custody %'!$B$8),"")</f>
        <v/>
      </c>
      <c r="O12" s="167" t="str">
        <f>IFERROR(SUMIFS('caseload data'!Q:Q,'caseload data'!$C:$C,'custody %'!$B$8,'caseload data'!$D:$D,"TPO",'caseload data'!$B:$B,"custody")/SUMIFS('caseload data'!Q:Q,'caseload data'!$B:$B,"custody",'caseload data'!$C:$C,'custody %'!$B$8),"")</f>
        <v/>
      </c>
      <c r="P12" s="167" t="str">
        <f>IFERROR(SUMIFS('caseload data'!R:R,'caseload data'!$C:$C,'custody %'!$B$8,'caseload data'!$D:$D,"TPO",'caseload data'!$B:$B,"custody")/SUMIFS('caseload data'!R:R,'caseload data'!$B:$B,"custody",'caseload data'!$C:$C,'custody %'!$B$8),"")</f>
        <v/>
      </c>
      <c r="Q12" s="167" t="str">
        <f>IFERROR(SUMIFS('caseload data'!S:S,'caseload data'!$C:$C,'custody %'!$B$8,'caseload data'!$D:$D,"TPO",'caseload data'!$B:$B,"custody")/SUMIFS('caseload data'!S:S,'caseload data'!$B:$B,"custody",'caseload data'!$C:$C,'custody %'!$B$8),"")</f>
        <v/>
      </c>
      <c r="R12" s="167" t="str">
        <f>IFERROR(SUMIFS('caseload data'!T:T,'caseload data'!$C:$C,'custody %'!$B$8,'caseload data'!$D:$D,"TPO",'caseload data'!$B:$B,"custody")/SUMIFS('caseload data'!T:T,'caseload data'!$B:$B,"custody",'caseload data'!$C:$C,'custody %'!$B$8),"")</f>
        <v/>
      </c>
      <c r="S12" s="64"/>
      <c r="T12" s="97" t="s">
        <v>953</v>
      </c>
      <c r="U12" s="167" t="str">
        <f>IFERROR(SUMIFS('caseload data'!E:E,'caseload data'!$C:$C,'custody %'!$T$8,'caseload data'!$D:$D,"TPO",'caseload data'!$B:$B,"custody")/SUMIFS('caseload data'!E:E,'caseload data'!$B:$B,"custody",'caseload data'!$C:$C,'custody %'!$T$8),"")</f>
        <v/>
      </c>
      <c r="V12" s="167" t="str">
        <f>IFERROR(SUMIFS('caseload data'!F:F,'caseload data'!$C:$C,'custody %'!$T$8,'caseload data'!$D:$D,"TPO",'caseload data'!$B:$B,"custody")/SUMIFS('caseload data'!F:F,'caseload data'!$B:$B,"custody",'caseload data'!$C:$C,'custody %'!$T$8),"")</f>
        <v/>
      </c>
      <c r="W12" s="167" t="str">
        <f>IFERROR(SUMIFS('caseload data'!G:G,'caseload data'!$C:$C,'custody %'!$T$8,'caseload data'!$D:$D,"TPO",'caseload data'!$B:$B,"custody")/SUMIFS('caseload data'!G:G,'caseload data'!$B:$B,"custody",'caseload data'!$C:$C,'custody %'!$T$8),"")</f>
        <v/>
      </c>
      <c r="X12" s="167" t="str">
        <f>IFERROR(SUMIFS('caseload data'!H:H,'caseload data'!$C:$C,'custody %'!$T$8,'caseload data'!$D:$D,"TPO",'caseload data'!$B:$B,"custody")/SUMIFS('caseload data'!H:H,'caseload data'!$B:$B,"custody",'caseload data'!$C:$C,'custody %'!$T$8),"")</f>
        <v/>
      </c>
      <c r="Y12" s="167" t="str">
        <f>IFERROR(SUMIFS('caseload data'!I:I,'caseload data'!$C:$C,'custody %'!$T$8,'caseload data'!$D:$D,"TPO",'caseload data'!$B:$B,"custody")/SUMIFS('caseload data'!I:I,'caseload data'!$B:$B,"custody",'caseload data'!$C:$C,'custody %'!$T$8),"")</f>
        <v/>
      </c>
      <c r="Z12" s="167" t="str">
        <f>IFERROR(SUMIFS('caseload data'!J:J,'caseload data'!$C:$C,'custody %'!$T$8,'caseload data'!$D:$D,"TPO",'caseload data'!$B:$B,"custody")/SUMIFS('caseload data'!J:J,'caseload data'!$B:$B,"custody",'caseload data'!$C:$C,'custody %'!$T$8),"")</f>
        <v/>
      </c>
      <c r="AA12" s="167" t="str">
        <f>IFERROR(SUMIFS('caseload data'!K:K,'caseload data'!$C:$C,'custody %'!$T$8,'caseload data'!$D:$D,"TPO",'caseload data'!$B:$B,"custody")/SUMIFS('caseload data'!K:K,'caseload data'!$B:$B,"custody",'caseload data'!$C:$C,'custody %'!$T$8),"")</f>
        <v/>
      </c>
      <c r="AB12" s="167" t="str">
        <f>IFERROR(SUMIFS('caseload data'!L:L,'caseload data'!$C:$C,'custody %'!$T$8,'caseload data'!$D:$D,"TPO",'caseload data'!$B:$B,"custody")/SUMIFS('caseload data'!L:L,'caseload data'!$B:$B,"custody",'caseload data'!$C:$C,'custody %'!$T$8),"")</f>
        <v/>
      </c>
      <c r="AC12" s="167" t="str">
        <f>IFERROR(SUMIFS('caseload data'!M:M,'caseload data'!$C:$C,'custody %'!$T$8,'caseload data'!$D:$D,"TPO",'caseload data'!$B:$B,"custody")/SUMIFS('caseload data'!M:M,'caseload data'!$B:$B,"custody",'caseload data'!$C:$C,'custody %'!$T$8),"")</f>
        <v/>
      </c>
      <c r="AD12" s="167" t="str">
        <f>IFERROR(SUMIFS('caseload data'!N:N,'caseload data'!$C:$C,'custody %'!$T$8,'caseload data'!$D:$D,"TPO",'caseload data'!$B:$B,"custody")/SUMIFS('caseload data'!N:N,'caseload data'!$B:$B,"custody",'caseload data'!$C:$C,'custody %'!$T$8),"")</f>
        <v/>
      </c>
      <c r="AE12" s="167" t="str">
        <f>IFERROR(SUMIFS('caseload data'!O:O,'caseload data'!$C:$C,'custody %'!$T$8,'caseload data'!$D:$D,"TPO",'caseload data'!$B:$B,"custody")/SUMIFS('caseload data'!O:O,'caseload data'!$B:$B,"custody",'caseload data'!$C:$C,'custody %'!$T$8),"")</f>
        <v/>
      </c>
      <c r="AF12" s="167" t="str">
        <f>IFERROR(SUMIFS('caseload data'!P:P,'caseload data'!$C:$C,'custody %'!$T$8,'caseload data'!$D:$D,"TPO",'caseload data'!$B:$B,"custody")/SUMIFS('caseload data'!P:P,'caseload data'!$B:$B,"custody",'caseload data'!$C:$C,'custody %'!$T$8),"")</f>
        <v/>
      </c>
      <c r="AG12" s="167" t="str">
        <f>IFERROR(SUMIFS('caseload data'!Q:Q,'caseload data'!$C:$C,'custody %'!$T$8,'caseload data'!$D:$D,"TPO",'caseload data'!$B:$B,"custody")/SUMIFS('caseload data'!Q:Q,'caseload data'!$B:$B,"custody",'caseload data'!$C:$C,'custody %'!$T$8),"")</f>
        <v/>
      </c>
      <c r="AH12" s="167" t="str">
        <f>IFERROR(SUMIFS('caseload data'!R:R,'caseload data'!$C:$C,'custody %'!$T$8,'caseload data'!$D:$D,"TPO",'caseload data'!$B:$B,"custody")/SUMIFS('caseload data'!R:R,'caseload data'!$B:$B,"custody",'caseload data'!$C:$C,'custody %'!$T$8),"")</f>
        <v/>
      </c>
      <c r="AI12" s="167"/>
      <c r="AJ12" s="167"/>
    </row>
    <row r="13" spans="1:49" x14ac:dyDescent="0.15">
      <c r="B13" s="98" t="s">
        <v>954</v>
      </c>
      <c r="C13" s="167" t="str">
        <f>IFERROR(SUMIFS('caseload data'!E:E,'caseload data'!$C:$C,'custody %'!$B$8,'caseload data'!$D:$D,"SPO",'caseload data'!$B:$B,"custody")/SUMIFS('caseload data'!E:E,'caseload data'!$B:$B,"custody",'caseload data'!$C:$C,'custody %'!$B$8),"")</f>
        <v/>
      </c>
      <c r="D13" s="167" t="str">
        <f>IFERROR(SUMIFS('caseload data'!F:F,'caseload data'!$C:$C,'custody %'!$B$8,'caseload data'!$D:$D,"SPO",'caseload data'!$B:$B,"custody")/SUMIFS('caseload data'!F:F,'caseload data'!$B:$B,"custody",'caseload data'!$C:$C,'custody %'!$B$8),"")</f>
        <v/>
      </c>
      <c r="E13" s="167" t="str">
        <f>IFERROR(SUMIFS('caseload data'!G:G,'caseload data'!$C:$C,'custody %'!$B$8,'caseload data'!$D:$D,"SPO",'caseload data'!$B:$B,"custody")/SUMIFS('caseload data'!G:G,'caseload data'!$B:$B,"custody",'caseload data'!$C:$C,'custody %'!$B$8),"")</f>
        <v/>
      </c>
      <c r="F13" s="167" t="str">
        <f>IFERROR(SUMIFS('caseload data'!H:H,'caseload data'!$C:$C,'custody %'!$B$8,'caseload data'!$D:$D,"SPO",'caseload data'!$B:$B,"custody")/SUMIFS('caseload data'!H:H,'caseload data'!$B:$B,"custody",'caseload data'!$C:$C,'custody %'!$B$8),"")</f>
        <v/>
      </c>
      <c r="G13" s="167" t="str">
        <f>IFERROR(SUMIFS('caseload data'!I:I,'caseload data'!$C:$C,'custody %'!$B$8,'caseload data'!$D:$D,"SPO",'caseload data'!$B:$B,"custody")/SUMIFS('caseload data'!I:I,'caseload data'!$B:$B,"custody",'caseload data'!$C:$C,'custody %'!$B$8),"")</f>
        <v/>
      </c>
      <c r="H13" s="167" t="str">
        <f>IFERROR(SUMIFS('caseload data'!J:J,'caseload data'!$C:$C,'custody %'!$B$8,'caseload data'!$D:$D,"SPO",'caseload data'!$B:$B,"custody")/SUMIFS('caseload data'!J:J,'caseload data'!$B:$B,"custody",'caseload data'!$C:$C,'custody %'!$B$8),"")</f>
        <v/>
      </c>
      <c r="I13" s="167" t="str">
        <f>IFERROR(SUMIFS('caseload data'!K:K,'caseload data'!$C:$C,'custody %'!$B$8,'caseload data'!$D:$D,"SPO",'caseload data'!$B:$B,"custody")/SUMIFS('caseload data'!K:K,'caseload data'!$B:$B,"custody",'caseload data'!$C:$C,'custody %'!$B$8),"")</f>
        <v/>
      </c>
      <c r="J13" s="167" t="str">
        <f>IFERROR(SUMIFS('caseload data'!L:L,'caseload data'!$C:$C,'custody %'!$B$8,'caseload data'!$D:$D,"SPO",'caseload data'!$B:$B,"custody")/SUMIFS('caseload data'!L:L,'caseload data'!$B:$B,"custody",'caseload data'!$C:$C,'custody %'!$B$8),"")</f>
        <v/>
      </c>
      <c r="K13" s="167" t="str">
        <f>IFERROR(SUMIFS('caseload data'!M:M,'caseload data'!$C:$C,'custody %'!$B$8,'caseload data'!$D:$D,"SPO",'caseload data'!$B:$B,"custody")/SUMIFS('caseload data'!M:M,'caseload data'!$B:$B,"custody",'caseload data'!$C:$C,'custody %'!$B$8),"")</f>
        <v/>
      </c>
      <c r="L13" s="167" t="str">
        <f>IFERROR(SUMIFS('caseload data'!N:N,'caseload data'!$C:$C,'custody %'!$B$8,'caseload data'!$D:$D,"SPO",'caseload data'!$B:$B,"custody")/SUMIFS('caseload data'!N:N,'caseload data'!$B:$B,"custody",'caseload data'!$C:$C,'custody %'!$B$8),"")</f>
        <v/>
      </c>
      <c r="M13" s="167" t="str">
        <f>IFERROR(SUMIFS('caseload data'!O:O,'caseload data'!$C:$C,'custody %'!$B$8,'caseload data'!$D:$D,"SPO",'caseload data'!$B:$B,"custody")/SUMIFS('caseload data'!O:O,'caseload data'!$B:$B,"custody",'caseload data'!$C:$C,'custody %'!$B$8),"")</f>
        <v/>
      </c>
      <c r="N13" s="167" t="str">
        <f>IFERROR(SUMIFS('caseload data'!P:P,'caseload data'!$C:$C,'custody %'!$B$8,'caseload data'!$D:$D,"SPO",'caseload data'!$B:$B,"custody")/SUMIFS('caseload data'!P:P,'caseload data'!$B:$B,"custody",'caseload data'!$C:$C,'custody %'!$B$8),"")</f>
        <v/>
      </c>
      <c r="O13" s="167" t="str">
        <f>IFERROR(SUMIFS('caseload data'!Q:Q,'caseload data'!$C:$C,'custody %'!$B$8,'caseload data'!$D:$D,"SPO",'caseload data'!$B:$B,"custody")/SUMIFS('caseload data'!Q:Q,'caseload data'!$B:$B,"custody",'caseload data'!$C:$C,'custody %'!$B$8),"")</f>
        <v/>
      </c>
      <c r="P13" s="167" t="str">
        <f>IFERROR(SUMIFS('caseload data'!R:R,'caseload data'!$C:$C,'custody %'!$B$8,'caseload data'!$D:$D,"SPO",'caseload data'!$B:$B,"custody")/SUMIFS('caseload data'!R:R,'caseload data'!$B:$B,"custody",'caseload data'!$C:$C,'custody %'!$B$8),"")</f>
        <v/>
      </c>
      <c r="Q13" s="167" t="str">
        <f>IFERROR(SUMIFS('caseload data'!S:S,'caseload data'!$C:$C,'custody %'!$B$8,'caseload data'!$D:$D,"SPO",'caseload data'!$B:$B,"custody")/SUMIFS('caseload data'!S:S,'caseload data'!$B:$B,"custody",'caseload data'!$C:$C,'custody %'!$B$8),"")</f>
        <v/>
      </c>
      <c r="R13" s="167" t="str">
        <f>IFERROR(SUMIFS('caseload data'!T:T,'caseload data'!$C:$C,'custody %'!$B$8,'caseload data'!$D:$D,"SPO",'caseload data'!$B:$B,"custody")/SUMIFS('caseload data'!T:T,'caseload data'!$B:$B,"custody",'caseload data'!$C:$C,'custody %'!$B$8),"")</f>
        <v/>
      </c>
      <c r="S13" s="64"/>
      <c r="T13" s="98" t="s">
        <v>954</v>
      </c>
      <c r="U13" s="167" t="str">
        <f>IFERROR(SUMIFS('caseload data'!E:E,'caseload data'!$C:$C,'custody %'!$T$8,'caseload data'!$D:$D,"SPO",'caseload data'!$B:$B,"custody")/SUMIFS('caseload data'!E:E,'caseload data'!$B:$B,"custody",'caseload data'!$C:$C,'custody %'!$T$8),"")</f>
        <v/>
      </c>
      <c r="V13" s="167" t="str">
        <f>IFERROR(SUMIFS('caseload data'!F:F,'caseload data'!$C:$C,'custody %'!$T$8,'caseload data'!$D:$D,"SPO",'caseload data'!$B:$B,"custody")/SUMIFS('caseload data'!F:F,'caseload data'!$B:$B,"custody",'caseload data'!$C:$C,'custody %'!$T$8),"")</f>
        <v/>
      </c>
      <c r="W13" s="167" t="str">
        <f>IFERROR(SUMIFS('caseload data'!G:G,'caseload data'!$C:$C,'custody %'!$T$8,'caseload data'!$D:$D,"SPO",'caseload data'!$B:$B,"custody")/SUMIFS('caseload data'!G:G,'caseload data'!$B:$B,"custody",'caseload data'!$C:$C,'custody %'!$T$8),"")</f>
        <v/>
      </c>
      <c r="X13" s="167" t="str">
        <f>IFERROR(SUMIFS('caseload data'!H:H,'caseload data'!$C:$C,'custody %'!$T$8,'caseload data'!$D:$D,"SPO",'caseload data'!$B:$B,"custody")/SUMIFS('caseload data'!H:H,'caseload data'!$B:$B,"custody",'caseload data'!$C:$C,'custody %'!$T$8),"")</f>
        <v/>
      </c>
      <c r="Y13" s="167" t="str">
        <f>IFERROR(SUMIFS('caseload data'!I:I,'caseload data'!$C:$C,'custody %'!$T$8,'caseload data'!$D:$D,"SPO",'caseload data'!$B:$B,"custody")/SUMIFS('caseload data'!I:I,'caseload data'!$B:$B,"custody",'caseload data'!$C:$C,'custody %'!$T$8),"")</f>
        <v/>
      </c>
      <c r="Z13" s="167" t="str">
        <f>IFERROR(SUMIFS('caseload data'!J:J,'caseload data'!$C:$C,'custody %'!$T$8,'caseload data'!$D:$D,"SPO",'caseload data'!$B:$B,"custody")/SUMIFS('caseload data'!J:J,'caseload data'!$B:$B,"custody",'caseload data'!$C:$C,'custody %'!$T$8),"")</f>
        <v/>
      </c>
      <c r="AA13" s="167" t="str">
        <f>IFERROR(SUMIFS('caseload data'!K:K,'caseload data'!$C:$C,'custody %'!$T$8,'caseload data'!$D:$D,"SPO",'caseload data'!$B:$B,"custody")/SUMIFS('caseload data'!K:K,'caseload data'!$B:$B,"custody",'caseload data'!$C:$C,'custody %'!$T$8),"")</f>
        <v/>
      </c>
      <c r="AB13" s="167" t="str">
        <f>IFERROR(SUMIFS('caseload data'!L:L,'caseload data'!$C:$C,'custody %'!$T$8,'caseload data'!$D:$D,"SPO",'caseload data'!$B:$B,"custody")/SUMIFS('caseload data'!L:L,'caseload data'!$B:$B,"custody",'caseload data'!$C:$C,'custody %'!$T$8),"")</f>
        <v/>
      </c>
      <c r="AC13" s="167" t="str">
        <f>IFERROR(SUMIFS('caseload data'!M:M,'caseload data'!$C:$C,'custody %'!$T$8,'caseload data'!$D:$D,"SPO",'caseload data'!$B:$B,"custody")/SUMIFS('caseload data'!M:M,'caseload data'!$B:$B,"custody",'caseload data'!$C:$C,'custody %'!$T$8),"")</f>
        <v/>
      </c>
      <c r="AD13" s="167" t="str">
        <f>IFERROR(SUMIFS('caseload data'!N:N,'caseload data'!$C:$C,'custody %'!$T$8,'caseload data'!$D:$D,"SPO",'caseload data'!$B:$B,"custody")/SUMIFS('caseload data'!N:N,'caseload data'!$B:$B,"custody",'caseload data'!$C:$C,'custody %'!$T$8),"")</f>
        <v/>
      </c>
      <c r="AE13" s="167" t="str">
        <f>IFERROR(SUMIFS('caseload data'!O:O,'caseload data'!$C:$C,'custody %'!$T$8,'caseload data'!$D:$D,"SPO",'caseload data'!$B:$B,"custody")/SUMIFS('caseload data'!O:O,'caseload data'!$B:$B,"custody",'caseload data'!$C:$C,'custody %'!$T$8),"")</f>
        <v/>
      </c>
      <c r="AF13" s="167" t="str">
        <f>IFERROR(SUMIFS('caseload data'!P:P,'caseload data'!$C:$C,'custody %'!$T$8,'caseload data'!$D:$D,"SPO",'caseload data'!$B:$B,"custody")/SUMIFS('caseload data'!P:P,'caseload data'!$B:$B,"custody",'caseload data'!$C:$C,'custody %'!$T$8),"")</f>
        <v/>
      </c>
      <c r="AG13" s="167" t="str">
        <f>IFERROR(SUMIFS('caseload data'!Q:Q,'caseload data'!$C:$C,'custody %'!$T$8,'caseload data'!$D:$D,"SPO",'caseload data'!$B:$B,"custody")/SUMIFS('caseload data'!Q:Q,'caseload data'!$B:$B,"custody",'caseload data'!$C:$C,'custody %'!$T$8),"")</f>
        <v/>
      </c>
      <c r="AH13" s="167" t="str">
        <f>IFERROR(SUMIFS('caseload data'!R:R,'caseload data'!$C:$C,'custody %'!$T$8,'caseload data'!$D:$D,"SPO",'caseload data'!$B:$B,"custody")/SUMIFS('caseload data'!R:R,'caseload data'!$B:$B,"custody",'caseload data'!$C:$C,'custody %'!$T$8),"")</f>
        <v/>
      </c>
      <c r="AI13" s="167"/>
      <c r="AJ13" s="167"/>
    </row>
    <row r="14" spans="1:49"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row>
    <row r="15" spans="1:49" ht="30" customHeight="1" x14ac:dyDescent="0.15">
      <c r="B15" s="288" t="str">
        <f>HLOOKUP($B$5,Region_Table,4,0)</f>
        <v>Derbyshire - N53</v>
      </c>
      <c r="C15" s="548" t="s">
        <v>1073</v>
      </c>
      <c r="D15" s="549"/>
      <c r="E15" s="549"/>
      <c r="F15" s="549"/>
      <c r="G15" s="549"/>
      <c r="H15" s="549"/>
      <c r="I15" s="549"/>
      <c r="J15" s="549"/>
      <c r="K15" s="549"/>
      <c r="L15" s="549"/>
      <c r="M15" s="568"/>
      <c r="N15" s="568"/>
      <c r="O15" s="569"/>
      <c r="P15" s="543">
        <f>SUMIF('caseload data'!$C:$C,'custody %'!B15,'caseload data'!V:V)</f>
        <v>0</v>
      </c>
      <c r="Q15" s="560"/>
      <c r="R15" s="561"/>
      <c r="S15" s="64"/>
      <c r="T15" s="288" t="str">
        <f>HLOOKUP($B$5,Region_Table,5,0)</f>
        <v>Leicester, Leicestershire and Rutland</v>
      </c>
      <c r="U15" s="548" t="s">
        <v>1073</v>
      </c>
      <c r="V15" s="549"/>
      <c r="W15" s="549"/>
      <c r="X15" s="549"/>
      <c r="Y15" s="549"/>
      <c r="Z15" s="549"/>
      <c r="AA15" s="549"/>
      <c r="AB15" s="549"/>
      <c r="AC15" s="568"/>
      <c r="AD15" s="568"/>
      <c r="AE15" s="569"/>
      <c r="AF15" s="543">
        <f>SUMIF('caseload data'!$C:$C,'custody %'!T15,'caseload data'!V:V)</f>
        <v>0</v>
      </c>
      <c r="AG15" s="560"/>
      <c r="AH15" s="561"/>
    </row>
    <row r="16" spans="1:49"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167" t="str">
        <f>IFERROR(SUMIFS('caseload data'!E:E,'caseload data'!$C:$C,'custody %'!$B$15,'caseload data'!$D:$D,"PO",'caseload data'!$B:$B,"custody")/SUMIFS('caseload data'!E:E,'caseload data'!$B:$B,"custody",'caseload data'!$C:$C,'custody %'!$B$15),"")</f>
        <v/>
      </c>
      <c r="D17" s="167" t="str">
        <f>IFERROR(SUMIFS('caseload data'!F:F,'caseload data'!$C:$C,'custody %'!$B$15,'caseload data'!$D:$D,"PO",'caseload data'!$B:$B,"custody")/SUMIFS('caseload data'!F:F,'caseload data'!$B:$B,"custody",'caseload data'!$C:$C,'custody %'!$B$15),"")</f>
        <v/>
      </c>
      <c r="E17" s="167" t="str">
        <f>IFERROR(SUMIFS('caseload data'!G:G,'caseload data'!$C:$C,'custody %'!$B$15,'caseload data'!$D:$D,"PO",'caseload data'!$B:$B,"custody")/SUMIFS('caseload data'!G:G,'caseload data'!$B:$B,"custody",'caseload data'!$C:$C,'custody %'!$B$15),"")</f>
        <v/>
      </c>
      <c r="F17" s="167" t="str">
        <f>IFERROR(SUMIFS('caseload data'!H:H,'caseload data'!$C:$C,'custody %'!$B$15,'caseload data'!$D:$D,"PO",'caseload data'!$B:$B,"custody")/SUMIFS('caseload data'!H:H,'caseload data'!$B:$B,"custody",'caseload data'!$C:$C,'custody %'!$B$15),"")</f>
        <v/>
      </c>
      <c r="G17" s="167" t="str">
        <f>IFERROR(SUMIFS('caseload data'!I:I,'caseload data'!$C:$C,'custody %'!$B$15,'caseload data'!$D:$D,"PO",'caseload data'!$B:$B,"custody")/SUMIFS('caseload data'!I:I,'caseload data'!$B:$B,"custody",'caseload data'!$C:$C,'custody %'!$B$15),"")</f>
        <v/>
      </c>
      <c r="H17" s="167" t="str">
        <f>IFERROR(SUMIFS('caseload data'!J:J,'caseload data'!$C:$C,'custody %'!$B$15,'caseload data'!$D:$D,"PO",'caseload data'!$B:$B,"custody")/SUMIFS('caseload data'!J:J,'caseload data'!$B:$B,"custody",'caseload data'!$C:$C,'custody %'!$B$15),"")</f>
        <v/>
      </c>
      <c r="I17" s="167" t="str">
        <f>IFERROR(SUMIFS('caseload data'!K:K,'caseload data'!$C:$C,'custody %'!$B$15,'caseload data'!$D:$D,"PO",'caseload data'!$B:$B,"custody")/SUMIFS('caseload data'!K:K,'caseload data'!$B:$B,"custody",'caseload data'!$C:$C,'custody %'!$B$15),"")</f>
        <v/>
      </c>
      <c r="J17" s="167" t="str">
        <f>IFERROR(SUMIFS('caseload data'!L:L,'caseload data'!$C:$C,'custody %'!$B$15,'caseload data'!$D:$D,"PO",'caseload data'!$B:$B,"custody")/SUMIFS('caseload data'!L:L,'caseload data'!$B:$B,"custody",'caseload data'!$C:$C,'custody %'!$B$15),"")</f>
        <v/>
      </c>
      <c r="K17" s="167" t="str">
        <f>IFERROR(SUMIFS('caseload data'!M:M,'caseload data'!$C:$C,'custody %'!$B$15,'caseload data'!$D:$D,"PO",'caseload data'!$B:$B,"custody")/SUMIFS('caseload data'!M:M,'caseload data'!$B:$B,"custody",'caseload data'!$C:$C,'custody %'!$B$15),"")</f>
        <v/>
      </c>
      <c r="L17" s="167" t="str">
        <f>IFERROR(SUMIFS('caseload data'!N:N,'caseload data'!$C:$C,'custody %'!$B$15,'caseload data'!$D:$D,"PO",'caseload data'!$B:$B,"custody")/SUMIFS('caseload data'!N:N,'caseload data'!$B:$B,"custody",'caseload data'!$C:$C,'custody %'!$B$15),"")</f>
        <v/>
      </c>
      <c r="M17" s="167" t="str">
        <f>IFERROR(SUMIFS('caseload data'!O:O,'caseload data'!$C:$C,'custody %'!$B$15,'caseload data'!$D:$D,"PO",'caseload data'!$B:$B,"custody")/SUMIFS('caseload data'!O:O,'caseload data'!$B:$B,"custody",'caseload data'!$C:$C,'custody %'!$B$15),"")</f>
        <v/>
      </c>
      <c r="N17" s="167" t="str">
        <f>IFERROR(SUMIFS('caseload data'!P:P,'caseload data'!$C:$C,'custody %'!$B$15,'caseload data'!$D:$D,"PO",'caseload data'!$B:$B,"custody")/SUMIFS('caseload data'!P:P,'caseload data'!$B:$B,"custody",'caseload data'!$C:$C,'custody %'!$B$15),"")</f>
        <v/>
      </c>
      <c r="O17" s="167" t="str">
        <f>IFERROR(SUMIFS('caseload data'!Q:Q,'caseload data'!$C:$C,'custody %'!$B$15,'caseload data'!$D:$D,"PO",'caseload data'!$B:$B,"custody")/SUMIFS('caseload data'!Q:Q,'caseload data'!$B:$B,"custody",'caseload data'!$C:$C,'custody %'!$B$15),"")</f>
        <v/>
      </c>
      <c r="P17" s="167" t="str">
        <f>IFERROR(SUMIFS('caseload data'!R:R,'caseload data'!$C:$C,'custody %'!$B$15,'caseload data'!$D:$D,"PO",'caseload data'!$B:$B,"custody")/SUMIFS('caseload data'!R:R,'caseload data'!$B:$B,"custody",'caseload data'!$C:$C,'custody %'!$B$15),"")</f>
        <v/>
      </c>
      <c r="Q17" s="167" t="str">
        <f>IFERROR(SUMIFS('caseload data'!S:S,'caseload data'!$C:$C,'custody %'!$B$15,'caseload data'!$D:$D,"PO",'caseload data'!$B:$B,"custody")/SUMIFS('caseload data'!S:S,'caseload data'!$B:$B,"custody",'caseload data'!$C:$C,'custody %'!$B$15),"")</f>
        <v/>
      </c>
      <c r="R17" s="167" t="str">
        <f>IFERROR(SUMIFS('caseload data'!T:T,'caseload data'!$C:$C,'custody %'!$B$15,'caseload data'!$D:$D,"PO",'caseload data'!$B:$B,"custody")/SUMIFS('caseload data'!T:T,'caseload data'!$B:$B,"custody",'caseload data'!$C:$C,'custody %'!$B$15),"")</f>
        <v/>
      </c>
      <c r="S17" s="64"/>
      <c r="T17" s="96" t="s">
        <v>947</v>
      </c>
      <c r="U17" s="167" t="str">
        <f>IFERROR(SUMIFS('caseload data'!E:E,'caseload data'!$C:$C,'custody %'!$T$15,'caseload data'!$D:$D,"PO",'caseload data'!$B:$B,"custody")/SUMIFS('caseload data'!E:E,'caseload data'!$B:$B,"custody",'caseload data'!$C:$C,'custody %'!$T$15),"")</f>
        <v/>
      </c>
      <c r="V17" s="167" t="str">
        <f>IFERROR(SUMIFS('caseload data'!F:F,'caseload data'!$C:$C,'custody %'!$T$15,'caseload data'!$D:$D,"PO",'caseload data'!$B:$B,"custody")/SUMIFS('caseload data'!F:F,'caseload data'!$B:$B,"custody",'caseload data'!$C:$C,'custody %'!$T$15),"")</f>
        <v/>
      </c>
      <c r="W17" s="167" t="str">
        <f>IFERROR(SUMIFS('caseload data'!G:G,'caseload data'!$C:$C,'custody %'!$T$15,'caseload data'!$D:$D,"PO",'caseload data'!$B:$B,"custody")/SUMIFS('caseload data'!G:G,'caseload data'!$B:$B,"custody",'caseload data'!$C:$C,'custody %'!$T$15),"")</f>
        <v/>
      </c>
      <c r="X17" s="167" t="str">
        <f>IFERROR(SUMIFS('caseload data'!H:H,'caseload data'!$C:$C,'custody %'!$T$15,'caseload data'!$D:$D,"PO",'caseload data'!$B:$B,"custody")/SUMIFS('caseload data'!H:H,'caseload data'!$B:$B,"custody",'caseload data'!$C:$C,'custody %'!$T$15),"")</f>
        <v/>
      </c>
      <c r="Y17" s="167" t="str">
        <f>IFERROR(SUMIFS('caseload data'!I:I,'caseload data'!$C:$C,'custody %'!$T$15,'caseload data'!$D:$D,"PO",'caseload data'!$B:$B,"custody")/SUMIFS('caseload data'!I:I,'caseload data'!$B:$B,"custody",'caseload data'!$C:$C,'custody %'!$T$15),"")</f>
        <v/>
      </c>
      <c r="Z17" s="167" t="str">
        <f>IFERROR(SUMIFS('caseload data'!J:J,'caseload data'!$C:$C,'custody %'!$T$15,'caseload data'!$D:$D,"PO",'caseload data'!$B:$B,"custody")/SUMIFS('caseload data'!J:J,'caseload data'!$B:$B,"custody",'caseload data'!$C:$C,'custody %'!$T$15),"")</f>
        <v/>
      </c>
      <c r="AA17" s="167" t="str">
        <f>IFERROR(SUMIFS('caseload data'!K:K,'caseload data'!$C:$C,'custody %'!$T$15,'caseload data'!$D:$D,"PO",'caseload data'!$B:$B,"custody")/SUMIFS('caseload data'!K:K,'caseload data'!$B:$B,"custody",'caseload data'!$C:$C,'custody %'!$T$15),"")</f>
        <v/>
      </c>
      <c r="AB17" s="167" t="str">
        <f>IFERROR(SUMIFS('caseload data'!L:L,'caseload data'!$C:$C,'custody %'!$T$15,'caseload data'!$D:$D,"PO",'caseload data'!$B:$B,"custody")/SUMIFS('caseload data'!L:L,'caseload data'!$B:$B,"custody",'caseload data'!$C:$C,'custody %'!$T$15),"")</f>
        <v/>
      </c>
      <c r="AC17" s="167" t="str">
        <f>IFERROR(SUMIFS('caseload data'!M:M,'caseload data'!$C:$C,'custody %'!$T$15,'caseload data'!$D:$D,"PO",'caseload data'!$B:$B,"custody")/SUMIFS('caseload data'!M:M,'caseload data'!$B:$B,"custody",'caseload data'!$C:$C,'custody %'!$T$15),"")</f>
        <v/>
      </c>
      <c r="AD17" s="167" t="str">
        <f>IFERROR(SUMIFS('caseload data'!N:N,'caseload data'!$C:$C,'custody %'!$T$15,'caseload data'!$D:$D,"PO",'caseload data'!$B:$B,"custody")/SUMIFS('caseload data'!N:N,'caseload data'!$B:$B,"custody",'caseload data'!$C:$C,'custody %'!$T$15),"")</f>
        <v/>
      </c>
      <c r="AE17" s="167" t="str">
        <f>IFERROR(SUMIFS('caseload data'!O:O,'caseload data'!$C:$C,'custody %'!$T$15,'caseload data'!$D:$D,"PO",'caseload data'!$B:$B,"custody")/SUMIFS('caseload data'!O:O,'caseload data'!$B:$B,"custody",'caseload data'!$C:$C,'custody %'!$T$15),"")</f>
        <v/>
      </c>
      <c r="AF17" s="167" t="str">
        <f>IFERROR(SUMIFS('caseload data'!P:P,'caseload data'!$C:$C,'custody %'!$T$15,'caseload data'!$D:$D,"PO",'caseload data'!$B:$B,"custody")/SUMIFS('caseload data'!P:P,'caseload data'!$B:$B,"custody",'caseload data'!$C:$C,'custody %'!$T$15),"")</f>
        <v/>
      </c>
      <c r="AG17" s="167" t="str">
        <f>IFERROR(SUMIFS('caseload data'!Q:Q,'caseload data'!$C:$C,'custody %'!$T$15,'caseload data'!$D:$D,"PO",'caseload data'!$B:$B,"custody")/SUMIFS('caseload data'!Q:Q,'caseload data'!$B:$B,"custody",'caseload data'!$C:$C,'custody %'!$T$15),"")</f>
        <v/>
      </c>
      <c r="AH17" s="167" t="str">
        <f>IFERROR(SUMIFS('caseload data'!R:R,'caseload data'!$C:$C,'custody %'!$T$15,'caseload data'!$D:$D,"PO",'caseload data'!$B:$B,"custody")/SUMIFS('caseload data'!R:R,'caseload data'!$B:$B,"custody",'caseload data'!$C:$C,'custody %'!$T$15),"")</f>
        <v/>
      </c>
      <c r="AI17" s="167"/>
      <c r="AJ17" s="167"/>
    </row>
    <row r="18" spans="2:36" x14ac:dyDescent="0.15">
      <c r="B18" s="97" t="s">
        <v>952</v>
      </c>
      <c r="C18" s="167" t="str">
        <f>IFERROR(SUMIFS('caseload data'!E:E,'caseload data'!$C:$C,'custody %'!$B$15,'caseload data'!$D:$D,"PSO",'caseload data'!$B:$B,"custody")/SUMIFS('caseload data'!E:E,'caseload data'!$B:$B,"custody",'caseload data'!$C:$C,'custody %'!$B$15),"")</f>
        <v/>
      </c>
      <c r="D18" s="167" t="str">
        <f>IFERROR(SUMIFS('caseload data'!F:F,'caseload data'!$C:$C,'custody %'!$B$15,'caseload data'!$D:$D,"PSO",'caseload data'!$B:$B,"custody")/SUMIFS('caseload data'!F:F,'caseload data'!$B:$B,"custody",'caseload data'!$C:$C,'custody %'!$B$15),"")</f>
        <v/>
      </c>
      <c r="E18" s="167" t="str">
        <f>IFERROR(SUMIFS('caseload data'!G:G,'caseload data'!$C:$C,'custody %'!$B$15,'caseload data'!$D:$D,"PSO",'caseload data'!$B:$B,"custody")/SUMIFS('caseload data'!G:G,'caseload data'!$B:$B,"custody",'caseload data'!$C:$C,'custody %'!$B$15),"")</f>
        <v/>
      </c>
      <c r="F18" s="167" t="str">
        <f>IFERROR(SUMIFS('caseload data'!H:H,'caseload data'!$C:$C,'custody %'!$B$15,'caseload data'!$D:$D,"PSO",'caseload data'!$B:$B,"custody")/SUMIFS('caseload data'!H:H,'caseload data'!$B:$B,"custody",'caseload data'!$C:$C,'custody %'!$B$15),"")</f>
        <v/>
      </c>
      <c r="G18" s="167" t="str">
        <f>IFERROR(SUMIFS('caseload data'!I:I,'caseload data'!$C:$C,'custody %'!$B$15,'caseload data'!$D:$D,"PSO",'caseload data'!$B:$B,"custody")/SUMIFS('caseload data'!I:I,'caseload data'!$B:$B,"custody",'caseload data'!$C:$C,'custody %'!$B$15),"")</f>
        <v/>
      </c>
      <c r="H18" s="167" t="str">
        <f>IFERROR(SUMIFS('caseload data'!J:J,'caseload data'!$C:$C,'custody %'!$B$15,'caseload data'!$D:$D,"PSO",'caseload data'!$B:$B,"custody")/SUMIFS('caseload data'!J:J,'caseload data'!$B:$B,"custody",'caseload data'!$C:$C,'custody %'!$B$15),"")</f>
        <v/>
      </c>
      <c r="I18" s="167" t="str">
        <f>IFERROR(SUMIFS('caseload data'!K:K,'caseload data'!$C:$C,'custody %'!$B$15,'caseload data'!$D:$D,"PSO",'caseload data'!$B:$B,"custody")/SUMIFS('caseload data'!K:K,'caseload data'!$B:$B,"custody",'caseload data'!$C:$C,'custody %'!$B$15),"")</f>
        <v/>
      </c>
      <c r="J18" s="167" t="str">
        <f>IFERROR(SUMIFS('caseload data'!L:L,'caseload data'!$C:$C,'custody %'!$B$15,'caseload data'!$D:$D,"PSO",'caseload data'!$B:$B,"custody")/SUMIFS('caseload data'!L:L,'caseload data'!$B:$B,"custody",'caseload data'!$C:$C,'custody %'!$B$15),"")</f>
        <v/>
      </c>
      <c r="K18" s="167" t="str">
        <f>IFERROR(SUMIFS('caseload data'!M:M,'caseload data'!$C:$C,'custody %'!$B$15,'caseload data'!$D:$D,"PSO",'caseload data'!$B:$B,"custody")/SUMIFS('caseload data'!M:M,'caseload data'!$B:$B,"custody",'caseload data'!$C:$C,'custody %'!$B$15),"")</f>
        <v/>
      </c>
      <c r="L18" s="167" t="str">
        <f>IFERROR(SUMIFS('caseload data'!N:N,'caseload data'!$C:$C,'custody %'!$B$15,'caseload data'!$D:$D,"PSO",'caseload data'!$B:$B,"custody")/SUMIFS('caseload data'!N:N,'caseload data'!$B:$B,"custody",'caseload data'!$C:$C,'custody %'!$B$15),"")</f>
        <v/>
      </c>
      <c r="M18" s="167" t="str">
        <f>IFERROR(SUMIFS('caseload data'!O:O,'caseload data'!$C:$C,'custody %'!$B$15,'caseload data'!$D:$D,"PSO",'caseload data'!$B:$B,"custody")/SUMIFS('caseload data'!O:O,'caseload data'!$B:$B,"custody",'caseload data'!$C:$C,'custody %'!$B$15),"")</f>
        <v/>
      </c>
      <c r="N18" s="167" t="str">
        <f>IFERROR(SUMIFS('caseload data'!P:P,'caseload data'!$C:$C,'custody %'!$B$15,'caseload data'!$D:$D,"PSO",'caseload data'!$B:$B,"custody")/SUMIFS('caseload data'!P:P,'caseload data'!$B:$B,"custody",'caseload data'!$C:$C,'custody %'!$B$15),"")</f>
        <v/>
      </c>
      <c r="O18" s="167" t="str">
        <f>IFERROR(SUMIFS('caseload data'!Q:Q,'caseload data'!$C:$C,'custody %'!$B$15,'caseload data'!$D:$D,"PSO",'caseload data'!$B:$B,"custody")/SUMIFS('caseload data'!Q:Q,'caseload data'!$B:$B,"custody",'caseload data'!$C:$C,'custody %'!$B$15),"")</f>
        <v/>
      </c>
      <c r="P18" s="167" t="str">
        <f>IFERROR(SUMIFS('caseload data'!R:R,'caseload data'!$C:$C,'custody %'!$B$15,'caseload data'!$D:$D,"PSO",'caseload data'!$B:$B,"custody")/SUMIFS('caseload data'!R:R,'caseload data'!$B:$B,"custody",'caseload data'!$C:$C,'custody %'!$B$15),"")</f>
        <v/>
      </c>
      <c r="Q18" s="167" t="str">
        <f>IFERROR(SUMIFS('caseload data'!S:S,'caseload data'!$C:$C,'custody %'!$B$15,'caseload data'!$D:$D,"PSO",'caseload data'!$B:$B,"custody")/SUMIFS('caseload data'!S:S,'caseload data'!$B:$B,"custody",'caseload data'!$C:$C,'custody %'!$B$15),"")</f>
        <v/>
      </c>
      <c r="R18" s="167" t="str">
        <f>IFERROR(SUMIFS('caseload data'!T:T,'caseload data'!$C:$C,'custody %'!$B$15,'caseload data'!$D:$D,"PSO",'caseload data'!$B:$B,"custody")/SUMIFS('caseload data'!T:T,'caseload data'!$B:$B,"custody",'caseload data'!$C:$C,'custody %'!$B$15),"")</f>
        <v/>
      </c>
      <c r="S18" s="64"/>
      <c r="T18" s="97" t="s">
        <v>952</v>
      </c>
      <c r="U18" s="167" t="str">
        <f>IFERROR(SUMIFS('caseload data'!E:E,'caseload data'!$C:$C,'custody %'!$T$15,'caseload data'!$D:$D,"PSO",'caseload data'!$B:$B,"custody")/SUMIFS('caseload data'!E:E,'caseload data'!$B:$B,"custody",'caseload data'!$C:$C,'custody %'!$T$15),"")</f>
        <v/>
      </c>
      <c r="V18" s="167" t="str">
        <f>IFERROR(SUMIFS('caseload data'!F:F,'caseload data'!$C:$C,'custody %'!$T$15,'caseload data'!$D:$D,"PSO",'caseload data'!$B:$B,"custody")/SUMIFS('caseload data'!F:F,'caseload data'!$B:$B,"custody",'caseload data'!$C:$C,'custody %'!$T$15),"")</f>
        <v/>
      </c>
      <c r="W18" s="167" t="str">
        <f>IFERROR(SUMIFS('caseload data'!G:G,'caseload data'!$C:$C,'custody %'!$T$15,'caseload data'!$D:$D,"PSO",'caseload data'!$B:$B,"custody")/SUMIFS('caseload data'!G:G,'caseload data'!$B:$B,"custody",'caseload data'!$C:$C,'custody %'!$T$15),"")</f>
        <v/>
      </c>
      <c r="X18" s="167" t="str">
        <f>IFERROR(SUMIFS('caseload data'!H:H,'caseload data'!$C:$C,'custody %'!$T$15,'caseload data'!$D:$D,"PSO",'caseload data'!$B:$B,"custody")/SUMIFS('caseload data'!H:H,'caseload data'!$B:$B,"custody",'caseload data'!$C:$C,'custody %'!$T$15),"")</f>
        <v/>
      </c>
      <c r="Y18" s="167" t="str">
        <f>IFERROR(SUMIFS('caseload data'!I:I,'caseload data'!$C:$C,'custody %'!$T$15,'caseload data'!$D:$D,"PSO",'caseload data'!$B:$B,"custody")/SUMIFS('caseload data'!I:I,'caseload data'!$B:$B,"custody",'caseload data'!$C:$C,'custody %'!$T$15),"")</f>
        <v/>
      </c>
      <c r="Z18" s="167" t="str">
        <f>IFERROR(SUMIFS('caseload data'!J:J,'caseload data'!$C:$C,'custody %'!$T$15,'caseload data'!$D:$D,"PSO",'caseload data'!$B:$B,"custody")/SUMIFS('caseload data'!J:J,'caseload data'!$B:$B,"custody",'caseload data'!$C:$C,'custody %'!$T$15),"")</f>
        <v/>
      </c>
      <c r="AA18" s="167" t="str">
        <f>IFERROR(SUMIFS('caseload data'!K:K,'caseload data'!$C:$C,'custody %'!$T$15,'caseload data'!$D:$D,"PSO",'caseload data'!$B:$B,"custody")/SUMIFS('caseload data'!K:K,'caseload data'!$B:$B,"custody",'caseload data'!$C:$C,'custody %'!$T$15),"")</f>
        <v/>
      </c>
      <c r="AB18" s="167" t="str">
        <f>IFERROR(SUMIFS('caseload data'!L:L,'caseload data'!$C:$C,'custody %'!$T$15,'caseload data'!$D:$D,"PSO",'caseload data'!$B:$B,"custody")/SUMIFS('caseload data'!L:L,'caseload data'!$B:$B,"custody",'caseload data'!$C:$C,'custody %'!$T$15),"")</f>
        <v/>
      </c>
      <c r="AC18" s="167" t="str">
        <f>IFERROR(SUMIFS('caseload data'!M:M,'caseload data'!$C:$C,'custody %'!$T$15,'caseload data'!$D:$D,"PSO",'caseload data'!$B:$B,"custody")/SUMIFS('caseload data'!M:M,'caseload data'!$B:$B,"custody",'caseload data'!$C:$C,'custody %'!$T$15),"")</f>
        <v/>
      </c>
      <c r="AD18" s="167" t="str">
        <f>IFERROR(SUMIFS('caseload data'!N:N,'caseload data'!$C:$C,'custody %'!$T$15,'caseload data'!$D:$D,"PSO",'caseload data'!$B:$B,"custody")/SUMIFS('caseload data'!N:N,'caseload data'!$B:$B,"custody",'caseload data'!$C:$C,'custody %'!$T$15),"")</f>
        <v/>
      </c>
      <c r="AE18" s="167" t="str">
        <f>IFERROR(SUMIFS('caseload data'!O:O,'caseload data'!$C:$C,'custody %'!$T$15,'caseload data'!$D:$D,"PSO",'caseload data'!$B:$B,"custody")/SUMIFS('caseload data'!O:O,'caseload data'!$B:$B,"custody",'caseload data'!$C:$C,'custody %'!$T$15),"")</f>
        <v/>
      </c>
      <c r="AF18" s="167" t="str">
        <f>IFERROR(SUMIFS('caseload data'!P:P,'caseload data'!$C:$C,'custody %'!$T$15,'caseload data'!$D:$D,"PSO",'caseload data'!$B:$B,"custody")/SUMIFS('caseload data'!P:P,'caseload data'!$B:$B,"custody",'caseload data'!$C:$C,'custody %'!$T$15),"")</f>
        <v/>
      </c>
      <c r="AG18" s="167" t="str">
        <f>IFERROR(SUMIFS('caseload data'!Q:Q,'caseload data'!$C:$C,'custody %'!$T$15,'caseload data'!$D:$D,"PSO",'caseload data'!$B:$B,"custody")/SUMIFS('caseload data'!Q:Q,'caseload data'!$B:$B,"custody",'caseload data'!$C:$C,'custody %'!$T$15),"")</f>
        <v/>
      </c>
      <c r="AH18" s="167" t="str">
        <f>IFERROR(SUMIFS('caseload data'!R:R,'caseload data'!$C:$C,'custody %'!$T$15,'caseload data'!$D:$D,"PSO",'caseload data'!$B:$B,"custody")/SUMIFS('caseload data'!R:R,'caseload data'!$B:$B,"custody",'caseload data'!$C:$C,'custody %'!$T$15),"")</f>
        <v/>
      </c>
      <c r="AI18" s="167"/>
      <c r="AJ18" s="167"/>
    </row>
    <row r="19" spans="2:36" x14ac:dyDescent="0.15">
      <c r="B19" s="97" t="s">
        <v>953</v>
      </c>
      <c r="C19" s="167" t="str">
        <f>IFERROR(SUMIFS('caseload data'!E:E,'caseload data'!$C:$C,'custody %'!$B$15,'caseload data'!$D:$D,"TPO",'caseload data'!$B:$B,"custody")/SUMIFS('caseload data'!E:E,'caseload data'!$B:$B,"custody",'caseload data'!$C:$C,'custody %'!$B$15),"")</f>
        <v/>
      </c>
      <c r="D19" s="167" t="str">
        <f>IFERROR(SUMIFS('caseload data'!F:F,'caseload data'!$C:$C,'custody %'!$B$15,'caseload data'!$D:$D,"TPO",'caseload data'!$B:$B,"custody")/SUMIFS('caseload data'!F:F,'caseload data'!$B:$B,"custody",'caseload data'!$C:$C,'custody %'!$B$15),"")</f>
        <v/>
      </c>
      <c r="E19" s="167" t="str">
        <f>IFERROR(SUMIFS('caseload data'!G:G,'caseload data'!$C:$C,'custody %'!$B$15,'caseload data'!$D:$D,"TPO",'caseload data'!$B:$B,"custody")/SUMIFS('caseload data'!G:G,'caseload data'!$B:$B,"custody",'caseload data'!$C:$C,'custody %'!$B$15),"")</f>
        <v/>
      </c>
      <c r="F19" s="167" t="str">
        <f>IFERROR(SUMIFS('caseload data'!H:H,'caseload data'!$C:$C,'custody %'!$B$15,'caseload data'!$D:$D,"TPO",'caseload data'!$B:$B,"custody")/SUMIFS('caseload data'!H:H,'caseload data'!$B:$B,"custody",'caseload data'!$C:$C,'custody %'!$B$15),"")</f>
        <v/>
      </c>
      <c r="G19" s="167" t="str">
        <f>IFERROR(SUMIFS('caseload data'!I:I,'caseload data'!$C:$C,'custody %'!$B$15,'caseload data'!$D:$D,"TPO",'caseload data'!$B:$B,"custody")/SUMIFS('caseload data'!I:I,'caseload data'!$B:$B,"custody",'caseload data'!$C:$C,'custody %'!$B$15),"")</f>
        <v/>
      </c>
      <c r="H19" s="167" t="str">
        <f>IFERROR(SUMIFS('caseload data'!J:J,'caseload data'!$C:$C,'custody %'!$B$15,'caseload data'!$D:$D,"TPO",'caseload data'!$B:$B,"custody")/SUMIFS('caseload data'!J:J,'caseload data'!$B:$B,"custody",'caseload data'!$C:$C,'custody %'!$B$15),"")</f>
        <v/>
      </c>
      <c r="I19" s="167" t="str">
        <f>IFERROR(SUMIFS('caseload data'!K:K,'caseload data'!$C:$C,'custody %'!$B$15,'caseload data'!$D:$D,"TPO",'caseload data'!$B:$B,"custody")/SUMIFS('caseload data'!K:K,'caseload data'!$B:$B,"custody",'caseload data'!$C:$C,'custody %'!$B$15),"")</f>
        <v/>
      </c>
      <c r="J19" s="167" t="str">
        <f>IFERROR(SUMIFS('caseload data'!L:L,'caseload data'!$C:$C,'custody %'!$B$15,'caseload data'!$D:$D,"TPO",'caseload data'!$B:$B,"custody")/SUMIFS('caseload data'!L:L,'caseload data'!$B:$B,"custody",'caseload data'!$C:$C,'custody %'!$B$15),"")</f>
        <v/>
      </c>
      <c r="K19" s="167" t="str">
        <f>IFERROR(SUMIFS('caseload data'!M:M,'caseload data'!$C:$C,'custody %'!$B$15,'caseload data'!$D:$D,"TPO",'caseload data'!$B:$B,"custody")/SUMIFS('caseload data'!M:M,'caseload data'!$B:$B,"custody",'caseload data'!$C:$C,'custody %'!$B$15),"")</f>
        <v/>
      </c>
      <c r="L19" s="167" t="str">
        <f>IFERROR(SUMIFS('caseload data'!N:N,'caseload data'!$C:$C,'custody %'!$B$15,'caseload data'!$D:$D,"TPO",'caseload data'!$B:$B,"custody")/SUMIFS('caseload data'!N:N,'caseload data'!$B:$B,"custody",'caseload data'!$C:$C,'custody %'!$B$15),"")</f>
        <v/>
      </c>
      <c r="M19" s="167" t="str">
        <f>IFERROR(SUMIFS('caseload data'!O:O,'caseload data'!$C:$C,'custody %'!$B$15,'caseload data'!$D:$D,"TPO",'caseload data'!$B:$B,"custody")/SUMIFS('caseload data'!O:O,'caseload data'!$B:$B,"custody",'caseload data'!$C:$C,'custody %'!$B$15),"")</f>
        <v/>
      </c>
      <c r="N19" s="167" t="str">
        <f>IFERROR(SUMIFS('caseload data'!P:P,'caseload data'!$C:$C,'custody %'!$B$15,'caseload data'!$D:$D,"TPO",'caseload data'!$B:$B,"custody")/SUMIFS('caseload data'!P:P,'caseload data'!$B:$B,"custody",'caseload data'!$C:$C,'custody %'!$B$15),"")</f>
        <v/>
      </c>
      <c r="O19" s="167" t="str">
        <f>IFERROR(SUMIFS('caseload data'!Q:Q,'caseload data'!$C:$C,'custody %'!$B$15,'caseload data'!$D:$D,"TPO",'caseload data'!$B:$B,"custody")/SUMIFS('caseload data'!Q:Q,'caseload data'!$B:$B,"custody",'caseload data'!$C:$C,'custody %'!$B$15),"")</f>
        <v/>
      </c>
      <c r="P19" s="167" t="str">
        <f>IFERROR(SUMIFS('caseload data'!R:R,'caseload data'!$C:$C,'custody %'!$B$15,'caseload data'!$D:$D,"TPO",'caseload data'!$B:$B,"custody")/SUMIFS('caseload data'!R:R,'caseload data'!$B:$B,"custody",'caseload data'!$C:$C,'custody %'!$B$15),"")</f>
        <v/>
      </c>
      <c r="Q19" s="167" t="str">
        <f>IFERROR(SUMIFS('caseload data'!S:S,'caseload data'!$C:$C,'custody %'!$B$15,'caseload data'!$D:$D,"TPO",'caseload data'!$B:$B,"custody")/SUMIFS('caseload data'!S:S,'caseload data'!$B:$B,"custody",'caseload data'!$C:$C,'custody %'!$B$15),"")</f>
        <v/>
      </c>
      <c r="R19" s="167" t="str">
        <f>IFERROR(SUMIFS('caseload data'!T:T,'caseload data'!$C:$C,'custody %'!$B$15,'caseload data'!$D:$D,"TPO",'caseload data'!$B:$B,"custody")/SUMIFS('caseload data'!T:T,'caseload data'!$B:$B,"custody",'caseload data'!$C:$C,'custody %'!$B$15),"")</f>
        <v/>
      </c>
      <c r="S19" s="64"/>
      <c r="T19" s="97" t="s">
        <v>953</v>
      </c>
      <c r="U19" s="167" t="str">
        <f>IFERROR(SUMIFS('caseload data'!E:E,'caseload data'!$C:$C,'custody %'!$T$15,'caseload data'!$D:$D,"TPO",'caseload data'!$B:$B,"custody")/SUMIFS('caseload data'!E:E,'caseload data'!$B:$B,"custody",'caseload data'!$C:$C,'custody %'!$T$15),"")</f>
        <v/>
      </c>
      <c r="V19" s="167" t="str">
        <f>IFERROR(SUMIFS('caseload data'!F:F,'caseload data'!$C:$C,'custody %'!$T$15,'caseload data'!$D:$D,"TPO",'caseload data'!$B:$B,"custody")/SUMIFS('caseload data'!F:F,'caseload data'!$B:$B,"custody",'caseload data'!$C:$C,'custody %'!$T$15),"")</f>
        <v/>
      </c>
      <c r="W19" s="167" t="str">
        <f>IFERROR(SUMIFS('caseload data'!G:G,'caseload data'!$C:$C,'custody %'!$T$15,'caseload data'!$D:$D,"TPO",'caseload data'!$B:$B,"custody")/SUMIFS('caseload data'!G:G,'caseload data'!$B:$B,"custody",'caseload data'!$C:$C,'custody %'!$T$15),"")</f>
        <v/>
      </c>
      <c r="X19" s="167" t="str">
        <f>IFERROR(SUMIFS('caseload data'!H:H,'caseload data'!$C:$C,'custody %'!$T$15,'caseload data'!$D:$D,"TPO",'caseload data'!$B:$B,"custody")/SUMIFS('caseload data'!H:H,'caseload data'!$B:$B,"custody",'caseload data'!$C:$C,'custody %'!$T$15),"")</f>
        <v/>
      </c>
      <c r="Y19" s="167" t="str">
        <f>IFERROR(SUMIFS('caseload data'!I:I,'caseload data'!$C:$C,'custody %'!$T$15,'caseload data'!$D:$D,"TPO",'caseload data'!$B:$B,"custody")/SUMIFS('caseload data'!I:I,'caseload data'!$B:$B,"custody",'caseload data'!$C:$C,'custody %'!$T$15),"")</f>
        <v/>
      </c>
      <c r="Z19" s="167" t="str">
        <f>IFERROR(SUMIFS('caseload data'!J:J,'caseload data'!$C:$C,'custody %'!$T$15,'caseload data'!$D:$D,"TPO",'caseload data'!$B:$B,"custody")/SUMIFS('caseload data'!J:J,'caseload data'!$B:$B,"custody",'caseload data'!$C:$C,'custody %'!$T$15),"")</f>
        <v/>
      </c>
      <c r="AA19" s="167" t="str">
        <f>IFERROR(SUMIFS('caseload data'!K:K,'caseload data'!$C:$C,'custody %'!$T$15,'caseload data'!$D:$D,"TPO",'caseload data'!$B:$B,"custody")/SUMIFS('caseload data'!K:K,'caseload data'!$B:$B,"custody",'caseload data'!$C:$C,'custody %'!$T$15),"")</f>
        <v/>
      </c>
      <c r="AB19" s="167" t="str">
        <f>IFERROR(SUMIFS('caseload data'!L:L,'caseload data'!$C:$C,'custody %'!$T$15,'caseload data'!$D:$D,"TPO",'caseload data'!$B:$B,"custody")/SUMIFS('caseload data'!L:L,'caseload data'!$B:$B,"custody",'caseload data'!$C:$C,'custody %'!$T$15),"")</f>
        <v/>
      </c>
      <c r="AC19" s="167" t="str">
        <f>IFERROR(SUMIFS('caseload data'!M:M,'caseload data'!$C:$C,'custody %'!$T$15,'caseload data'!$D:$D,"TPO",'caseload data'!$B:$B,"custody")/SUMIFS('caseload data'!M:M,'caseload data'!$B:$B,"custody",'caseload data'!$C:$C,'custody %'!$T$15),"")</f>
        <v/>
      </c>
      <c r="AD19" s="167" t="str">
        <f>IFERROR(SUMIFS('caseload data'!N:N,'caseload data'!$C:$C,'custody %'!$T$15,'caseload data'!$D:$D,"TPO",'caseload data'!$B:$B,"custody")/SUMIFS('caseload data'!N:N,'caseload data'!$B:$B,"custody",'caseload data'!$C:$C,'custody %'!$T$15),"")</f>
        <v/>
      </c>
      <c r="AE19" s="167" t="str">
        <f>IFERROR(SUMIFS('caseload data'!O:O,'caseload data'!$C:$C,'custody %'!$T$15,'caseload data'!$D:$D,"TPO",'caseload data'!$B:$B,"custody")/SUMIFS('caseload data'!O:O,'caseload data'!$B:$B,"custody",'caseload data'!$C:$C,'custody %'!$T$15),"")</f>
        <v/>
      </c>
      <c r="AF19" s="167" t="str">
        <f>IFERROR(SUMIFS('caseload data'!P:P,'caseload data'!$C:$C,'custody %'!$T$15,'caseload data'!$D:$D,"TPO",'caseload data'!$B:$B,"custody")/SUMIFS('caseload data'!P:P,'caseload data'!$B:$B,"custody",'caseload data'!$C:$C,'custody %'!$T$15),"")</f>
        <v/>
      </c>
      <c r="AG19" s="167" t="str">
        <f>IFERROR(SUMIFS('caseload data'!Q:Q,'caseload data'!$C:$C,'custody %'!$T$15,'caseload data'!$D:$D,"TPO",'caseload data'!$B:$B,"custody")/SUMIFS('caseload data'!Q:Q,'caseload data'!$B:$B,"custody",'caseload data'!$C:$C,'custody %'!$T$15),"")</f>
        <v/>
      </c>
      <c r="AH19" s="167" t="str">
        <f>IFERROR(SUMIFS('caseload data'!R:R,'caseload data'!$C:$C,'custody %'!$T$15,'caseload data'!$D:$D,"TPO",'caseload data'!$B:$B,"custody")/SUMIFS('caseload data'!R:R,'caseload data'!$B:$B,"custody",'caseload data'!$C:$C,'custody %'!$T$15),"")</f>
        <v/>
      </c>
      <c r="AI19" s="167"/>
      <c r="AJ19" s="167"/>
    </row>
    <row r="20" spans="2:36" x14ac:dyDescent="0.15">
      <c r="B20" s="98" t="s">
        <v>954</v>
      </c>
      <c r="C20" s="167" t="str">
        <f>IFERROR(SUMIFS('caseload data'!E:E,'caseload data'!$C:$C,'custody %'!$B$15,'caseload data'!$D:$D,"SPO",'caseload data'!$B:$B,"custody")/SUMIFS('caseload data'!E:E,'caseload data'!$B:$B,"custody",'caseload data'!$C:$C,'custody %'!$B$15),"")</f>
        <v/>
      </c>
      <c r="D20" s="167" t="str">
        <f>IFERROR(SUMIFS('caseload data'!F:F,'caseload data'!$C:$C,'custody %'!$B$15,'caseload data'!$D:$D,"SPO",'caseload data'!$B:$B,"custody")/SUMIFS('caseload data'!F:F,'caseload data'!$B:$B,"custody",'caseload data'!$C:$C,'custody %'!$B$15),"")</f>
        <v/>
      </c>
      <c r="E20" s="167" t="str">
        <f>IFERROR(SUMIFS('caseload data'!G:G,'caseload data'!$C:$C,'custody %'!$B$15,'caseload data'!$D:$D,"SPO",'caseload data'!$B:$B,"custody")/SUMIFS('caseload data'!G:G,'caseload data'!$B:$B,"custody",'caseload data'!$C:$C,'custody %'!$B$15),"")</f>
        <v/>
      </c>
      <c r="F20" s="167" t="str">
        <f>IFERROR(SUMIFS('caseload data'!H:H,'caseload data'!$C:$C,'custody %'!$B$15,'caseload data'!$D:$D,"SPO",'caseload data'!$B:$B,"custody")/SUMIFS('caseload data'!H:H,'caseload data'!$B:$B,"custody",'caseload data'!$C:$C,'custody %'!$B$15),"")</f>
        <v/>
      </c>
      <c r="G20" s="167" t="str">
        <f>IFERROR(SUMIFS('caseload data'!I:I,'caseload data'!$C:$C,'custody %'!$B$15,'caseload data'!$D:$D,"SPO",'caseload data'!$B:$B,"custody")/SUMIFS('caseload data'!I:I,'caseload data'!$B:$B,"custody",'caseload data'!$C:$C,'custody %'!$B$15),"")</f>
        <v/>
      </c>
      <c r="H20" s="167" t="str">
        <f>IFERROR(SUMIFS('caseload data'!J:J,'caseload data'!$C:$C,'custody %'!$B$15,'caseload data'!$D:$D,"SPO",'caseload data'!$B:$B,"custody")/SUMIFS('caseload data'!J:J,'caseload data'!$B:$B,"custody",'caseload data'!$C:$C,'custody %'!$B$15),"")</f>
        <v/>
      </c>
      <c r="I20" s="167" t="str">
        <f>IFERROR(SUMIFS('caseload data'!K:K,'caseload data'!$C:$C,'custody %'!$B$15,'caseload data'!$D:$D,"SPO",'caseload data'!$B:$B,"custody")/SUMIFS('caseload data'!K:K,'caseload data'!$B:$B,"custody",'caseload data'!$C:$C,'custody %'!$B$15),"")</f>
        <v/>
      </c>
      <c r="J20" s="167" t="str">
        <f>IFERROR(SUMIFS('caseload data'!L:L,'caseload data'!$C:$C,'custody %'!$B$15,'caseload data'!$D:$D,"SPO",'caseload data'!$B:$B,"custody")/SUMIFS('caseload data'!L:L,'caseload data'!$B:$B,"custody",'caseload data'!$C:$C,'custody %'!$B$15),"")</f>
        <v/>
      </c>
      <c r="K20" s="167" t="str">
        <f>IFERROR(SUMIFS('caseload data'!M:M,'caseload data'!$C:$C,'custody %'!$B$15,'caseload data'!$D:$D,"SPO",'caseload data'!$B:$B,"custody")/SUMIFS('caseload data'!M:M,'caseload data'!$B:$B,"custody",'caseload data'!$C:$C,'custody %'!$B$15),"")</f>
        <v/>
      </c>
      <c r="L20" s="167" t="str">
        <f>IFERROR(SUMIFS('caseload data'!N:N,'caseload data'!$C:$C,'custody %'!$B$15,'caseload data'!$D:$D,"SPO",'caseload data'!$B:$B,"custody")/SUMIFS('caseload data'!N:N,'caseload data'!$B:$B,"custody",'caseload data'!$C:$C,'custody %'!$B$15),"")</f>
        <v/>
      </c>
      <c r="M20" s="167" t="str">
        <f>IFERROR(SUMIFS('caseload data'!O:O,'caseload data'!$C:$C,'custody %'!$B$15,'caseload data'!$D:$D,"SPO",'caseload data'!$B:$B,"custody")/SUMIFS('caseload data'!O:O,'caseload data'!$B:$B,"custody",'caseload data'!$C:$C,'custody %'!$B$15),"")</f>
        <v/>
      </c>
      <c r="N20" s="167" t="str">
        <f>IFERROR(SUMIFS('caseload data'!P:P,'caseload data'!$C:$C,'custody %'!$B$15,'caseload data'!$D:$D,"SPO",'caseload data'!$B:$B,"custody")/SUMIFS('caseload data'!P:P,'caseload data'!$B:$B,"custody",'caseload data'!$C:$C,'custody %'!$B$15),"")</f>
        <v/>
      </c>
      <c r="O20" s="167" t="str">
        <f>IFERROR(SUMIFS('caseload data'!Q:Q,'caseload data'!$C:$C,'custody %'!$B$15,'caseload data'!$D:$D,"SPO",'caseload data'!$B:$B,"custody")/SUMIFS('caseload data'!Q:Q,'caseload data'!$B:$B,"custody",'caseload data'!$C:$C,'custody %'!$B$15),"")</f>
        <v/>
      </c>
      <c r="P20" s="167" t="str">
        <f>IFERROR(SUMIFS('caseload data'!R:R,'caseload data'!$C:$C,'custody %'!$B$15,'caseload data'!$D:$D,"SPO",'caseload data'!$B:$B,"custody")/SUMIFS('caseload data'!R:R,'caseload data'!$B:$B,"custody",'caseload data'!$C:$C,'custody %'!$B$15),"")</f>
        <v/>
      </c>
      <c r="Q20" s="167" t="str">
        <f>IFERROR(SUMIFS('caseload data'!S:S,'caseload data'!$C:$C,'custody %'!$B$15,'caseload data'!$D:$D,"SPO",'caseload data'!$B:$B,"custody")/SUMIFS('caseload data'!S:S,'caseload data'!$B:$B,"custody",'caseload data'!$C:$C,'custody %'!$B$15),"")</f>
        <v/>
      </c>
      <c r="R20" s="167" t="str">
        <f>IFERROR(SUMIFS('caseload data'!T:T,'caseload data'!$C:$C,'custody %'!$B$15,'caseload data'!$D:$D,"SPO",'caseload data'!$B:$B,"custody")/SUMIFS('caseload data'!T:T,'caseload data'!$B:$B,"custody",'caseload data'!$C:$C,'custody %'!$B$15),"")</f>
        <v/>
      </c>
      <c r="S20" s="64"/>
      <c r="T20" s="98" t="s">
        <v>954</v>
      </c>
      <c r="U20" s="167" t="str">
        <f>IFERROR(SUMIFS('caseload data'!E:E,'caseload data'!$C:$C,'custody %'!$T$15,'caseload data'!$D:$D,"SPO",'caseload data'!$B:$B,"custody")/SUMIFS('caseload data'!E:E,'caseload data'!$B:$B,"custody",'caseload data'!$C:$C,'custody %'!$T$15),"")</f>
        <v/>
      </c>
      <c r="V20" s="167" t="str">
        <f>IFERROR(SUMIFS('caseload data'!F:F,'caseload data'!$C:$C,'custody %'!$T$15,'caseload data'!$D:$D,"SPO",'caseload data'!$B:$B,"custody")/SUMIFS('caseload data'!F:F,'caseload data'!$B:$B,"custody",'caseload data'!$C:$C,'custody %'!$T$15),"")</f>
        <v/>
      </c>
      <c r="W20" s="167" t="str">
        <f>IFERROR(SUMIFS('caseload data'!G:G,'caseload data'!$C:$C,'custody %'!$T$15,'caseload data'!$D:$D,"SPO",'caseload data'!$B:$B,"custody")/SUMIFS('caseload data'!G:G,'caseload data'!$B:$B,"custody",'caseload data'!$C:$C,'custody %'!$T$15),"")</f>
        <v/>
      </c>
      <c r="X20" s="167" t="str">
        <f>IFERROR(SUMIFS('caseload data'!H:H,'caseload data'!$C:$C,'custody %'!$T$15,'caseload data'!$D:$D,"SPO",'caseload data'!$B:$B,"custody")/SUMIFS('caseload data'!H:H,'caseload data'!$B:$B,"custody",'caseload data'!$C:$C,'custody %'!$T$15),"")</f>
        <v/>
      </c>
      <c r="Y20" s="167" t="str">
        <f>IFERROR(SUMIFS('caseload data'!I:I,'caseload data'!$C:$C,'custody %'!$T$15,'caseload data'!$D:$D,"SPO",'caseload data'!$B:$B,"custody")/SUMIFS('caseload data'!I:I,'caseload data'!$B:$B,"custody",'caseload data'!$C:$C,'custody %'!$T$15),"")</f>
        <v/>
      </c>
      <c r="Z20" s="167" t="str">
        <f>IFERROR(SUMIFS('caseload data'!J:J,'caseload data'!$C:$C,'custody %'!$T$15,'caseload data'!$D:$D,"SPO",'caseload data'!$B:$B,"custody")/SUMIFS('caseload data'!J:J,'caseload data'!$B:$B,"custody",'caseload data'!$C:$C,'custody %'!$T$15),"")</f>
        <v/>
      </c>
      <c r="AA20" s="167" t="str">
        <f>IFERROR(SUMIFS('caseload data'!K:K,'caseload data'!$C:$C,'custody %'!$T$15,'caseload data'!$D:$D,"SPO",'caseload data'!$B:$B,"custody")/SUMIFS('caseload data'!K:K,'caseload data'!$B:$B,"custody",'caseload data'!$C:$C,'custody %'!$T$15),"")</f>
        <v/>
      </c>
      <c r="AB20" s="167" t="str">
        <f>IFERROR(SUMIFS('caseload data'!L:L,'caseload data'!$C:$C,'custody %'!$T$15,'caseload data'!$D:$D,"SPO",'caseload data'!$B:$B,"custody")/SUMIFS('caseload data'!L:L,'caseload data'!$B:$B,"custody",'caseload data'!$C:$C,'custody %'!$T$15),"")</f>
        <v/>
      </c>
      <c r="AC20" s="167" t="str">
        <f>IFERROR(SUMIFS('caseload data'!M:M,'caseload data'!$C:$C,'custody %'!$T$15,'caseload data'!$D:$D,"SPO",'caseload data'!$B:$B,"custody")/SUMIFS('caseload data'!M:M,'caseload data'!$B:$B,"custody",'caseload data'!$C:$C,'custody %'!$T$15),"")</f>
        <v/>
      </c>
      <c r="AD20" s="167" t="str">
        <f>IFERROR(SUMIFS('caseload data'!N:N,'caseload data'!$C:$C,'custody %'!$T$15,'caseload data'!$D:$D,"SPO",'caseload data'!$B:$B,"custody")/SUMIFS('caseload data'!N:N,'caseload data'!$B:$B,"custody",'caseload data'!$C:$C,'custody %'!$T$15),"")</f>
        <v/>
      </c>
      <c r="AE20" s="167" t="str">
        <f>IFERROR(SUMIFS('caseload data'!O:O,'caseload data'!$C:$C,'custody %'!$T$15,'caseload data'!$D:$D,"SPO",'caseload data'!$B:$B,"custody")/SUMIFS('caseload data'!O:O,'caseload data'!$B:$B,"custody",'caseload data'!$C:$C,'custody %'!$T$15),"")</f>
        <v/>
      </c>
      <c r="AF20" s="167" t="str">
        <f>IFERROR(SUMIFS('caseload data'!P:P,'caseload data'!$C:$C,'custody %'!$T$15,'caseload data'!$D:$D,"SPO",'caseload data'!$B:$B,"custody")/SUMIFS('caseload data'!P:P,'caseload data'!$B:$B,"custody",'caseload data'!$C:$C,'custody %'!$T$15),"")</f>
        <v/>
      </c>
      <c r="AG20" s="167" t="str">
        <f>IFERROR(SUMIFS('caseload data'!Q:Q,'caseload data'!$C:$C,'custody %'!$T$15,'caseload data'!$D:$D,"SPO",'caseload data'!$B:$B,"custody")/SUMIFS('caseload data'!Q:Q,'caseload data'!$B:$B,"custody",'caseload data'!$C:$C,'custody %'!$T$15),"")</f>
        <v/>
      </c>
      <c r="AH20" s="167" t="str">
        <f>IFERROR(SUMIFS('caseload data'!R:R,'caseload data'!$C:$C,'custody %'!$T$15,'caseload data'!$D:$D,"SPO",'caseload data'!$B:$B,"custody")/SUMIFS('caseload data'!R:R,'caseload data'!$B:$B,"custody",'caseload data'!$C:$C,'custody %'!$T$15),"")</f>
        <v/>
      </c>
      <c r="AI20" s="167"/>
      <c r="AJ20" s="167"/>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row>
    <row r="22" spans="2:36" ht="30.75" customHeight="1" x14ac:dyDescent="0.15">
      <c r="B22" s="288" t="str">
        <f>HLOOKUP($B$5,Region_Table,6,0)</f>
        <v>Lincolnshire East and West - N53</v>
      </c>
      <c r="C22" s="548" t="s">
        <v>1073</v>
      </c>
      <c r="D22" s="549"/>
      <c r="E22" s="549"/>
      <c r="F22" s="549"/>
      <c r="G22" s="549"/>
      <c r="H22" s="549"/>
      <c r="I22" s="549"/>
      <c r="J22" s="549"/>
      <c r="K22" s="549"/>
      <c r="L22" s="549"/>
      <c r="M22" s="568"/>
      <c r="N22" s="568"/>
      <c r="O22" s="569"/>
      <c r="P22" s="543">
        <f>SUMIF('caseload data'!$C:$C,'custody %'!B22,'caseload data'!V:V)</f>
        <v>0</v>
      </c>
      <c r="Q22" s="560"/>
      <c r="R22" s="561"/>
      <c r="S22" s="64"/>
      <c r="T22" s="288" t="str">
        <f>HLOOKUP($B$5,Region_Table,7,0)</f>
        <v>Nottingham City</v>
      </c>
      <c r="U22" s="548" t="s">
        <v>1073</v>
      </c>
      <c r="V22" s="549"/>
      <c r="W22" s="549"/>
      <c r="X22" s="549"/>
      <c r="Y22" s="549"/>
      <c r="Z22" s="549"/>
      <c r="AA22" s="549"/>
      <c r="AB22" s="549"/>
      <c r="AC22" s="568"/>
      <c r="AD22" s="568"/>
      <c r="AE22" s="569"/>
      <c r="AF22" s="543">
        <f>SUMIF('caseload data'!$C:$C,'custody %'!T22,'caseload data'!V:V)</f>
        <v>0</v>
      </c>
      <c r="AG22" s="560"/>
      <c r="AH22" s="561"/>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167" t="str">
        <f>IFERROR(SUMIFS('caseload data'!E:E,'caseload data'!$C:$C,'custody %'!$B$22,'caseload data'!$D:$D,"PO",'caseload data'!$B:$B,"custody")/SUMIFS('caseload data'!E:E,'caseload data'!$B:$B,"custody",'caseload data'!$C:$C,'custody %'!$B$22),"")</f>
        <v/>
      </c>
      <c r="D24" s="167" t="str">
        <f>IFERROR(SUMIFS('caseload data'!F:F,'caseload data'!$C:$C,'custody %'!$B$22,'caseload data'!$D:$D,"PO",'caseload data'!$B:$B,"custody")/SUMIFS('caseload data'!F:F,'caseload data'!$B:$B,"custody",'caseload data'!$C:$C,'custody %'!$B$22),"")</f>
        <v/>
      </c>
      <c r="E24" s="167" t="str">
        <f>IFERROR(SUMIFS('caseload data'!G:G,'caseload data'!$C:$C,'custody %'!$B$22,'caseload data'!$D:$D,"PO",'caseload data'!$B:$B,"custody")/SUMIFS('caseload data'!G:G,'caseload data'!$B:$B,"custody",'caseload data'!$C:$C,'custody %'!$B$22),"")</f>
        <v/>
      </c>
      <c r="F24" s="167" t="str">
        <f>IFERROR(SUMIFS('caseload data'!H:H,'caseload data'!$C:$C,'custody %'!$B$22,'caseload data'!$D:$D,"PO",'caseload data'!$B:$B,"custody")/SUMIFS('caseload data'!H:H,'caseload data'!$B:$B,"custody",'caseload data'!$C:$C,'custody %'!$B$22),"")</f>
        <v/>
      </c>
      <c r="G24" s="167" t="str">
        <f>IFERROR(SUMIFS('caseload data'!I:I,'caseload data'!$C:$C,'custody %'!$B$22,'caseload data'!$D:$D,"PO",'caseload data'!$B:$B,"custody")/SUMIFS('caseload data'!I:I,'caseload data'!$B:$B,"custody",'caseload data'!$C:$C,'custody %'!$B$22),"")</f>
        <v/>
      </c>
      <c r="H24" s="167" t="str">
        <f>IFERROR(SUMIFS('caseload data'!J:J,'caseload data'!$C:$C,'custody %'!$B$22,'caseload data'!$D:$D,"PO",'caseload data'!$B:$B,"custody")/SUMIFS('caseload data'!J:J,'caseload data'!$B:$B,"custody",'caseload data'!$C:$C,'custody %'!$B$22),"")</f>
        <v/>
      </c>
      <c r="I24" s="167" t="str">
        <f>IFERROR(SUMIFS('caseload data'!K:K,'caseload data'!$C:$C,'custody %'!$B$22,'caseload data'!$D:$D,"PO",'caseload data'!$B:$B,"custody")/SUMIFS('caseload data'!K:K,'caseload data'!$B:$B,"custody",'caseload data'!$C:$C,'custody %'!$B$22),"")</f>
        <v/>
      </c>
      <c r="J24" s="167" t="str">
        <f>IFERROR(SUMIFS('caseload data'!L:L,'caseload data'!$C:$C,'custody %'!$B$22,'caseload data'!$D:$D,"PO",'caseload data'!$B:$B,"custody")/SUMIFS('caseload data'!L:L,'caseload data'!$B:$B,"custody",'caseload data'!$C:$C,'custody %'!$B$22),"")</f>
        <v/>
      </c>
      <c r="K24" s="167" t="str">
        <f>IFERROR(SUMIFS('caseload data'!M:M,'caseload data'!$C:$C,'custody %'!$B$22,'caseload data'!$D:$D,"PO",'caseload data'!$B:$B,"custody")/SUMIFS('caseload data'!M:M,'caseload data'!$B:$B,"custody",'caseload data'!$C:$C,'custody %'!$B$22),"")</f>
        <v/>
      </c>
      <c r="L24" s="167" t="str">
        <f>IFERROR(SUMIFS('caseload data'!N:N,'caseload data'!$C:$C,'custody %'!$B$22,'caseload data'!$D:$D,"PO",'caseload data'!$B:$B,"custody")/SUMIFS('caseload data'!N:N,'caseload data'!$B:$B,"custody",'caseload data'!$C:$C,'custody %'!$B$22),"")</f>
        <v/>
      </c>
      <c r="M24" s="167" t="str">
        <f>IFERROR(SUMIFS('caseload data'!O:O,'caseload data'!$C:$C,'custody %'!$B$22,'caseload data'!$D:$D,"PO",'caseload data'!$B:$B,"custody")/SUMIFS('caseload data'!O:O,'caseload data'!$B:$B,"custody",'caseload data'!$C:$C,'custody %'!$B$22),"")</f>
        <v/>
      </c>
      <c r="N24" s="167" t="str">
        <f>IFERROR(SUMIFS('caseload data'!P:P,'caseload data'!$C:$C,'custody %'!$B$22,'caseload data'!$D:$D,"PO",'caseload data'!$B:$B,"custody")/SUMIFS('caseload data'!P:P,'caseload data'!$B:$B,"custody",'caseload data'!$C:$C,'custody %'!$B$22),"")</f>
        <v/>
      </c>
      <c r="O24" s="167" t="str">
        <f>IFERROR(SUMIFS('caseload data'!Q:Q,'caseload data'!$C:$C,'custody %'!$B$22,'caseload data'!$D:$D,"PO",'caseload data'!$B:$B,"custody")/SUMIFS('caseload data'!Q:Q,'caseload data'!$B:$B,"custody",'caseload data'!$C:$C,'custody %'!$B$22),"")</f>
        <v/>
      </c>
      <c r="P24" s="167" t="str">
        <f>IFERROR(SUMIFS('caseload data'!R:R,'caseload data'!$C:$C,'custody %'!$B$22,'caseload data'!$D:$D,"PO",'caseload data'!$B:$B,"custody")/SUMIFS('caseload data'!R:R,'caseload data'!$B:$B,"custody",'caseload data'!$C:$C,'custody %'!$B$22),"")</f>
        <v/>
      </c>
      <c r="Q24" s="167" t="str">
        <f>IFERROR(SUMIFS('caseload data'!S:S,'caseload data'!$C:$C,'custody %'!$B$22,'caseload data'!$D:$D,"PO",'caseload data'!$B:$B,"custody")/SUMIFS('caseload data'!S:S,'caseload data'!$B:$B,"custody",'caseload data'!$C:$C,'custody %'!$B$22),"")</f>
        <v/>
      </c>
      <c r="R24" s="167" t="str">
        <f>IFERROR(SUMIFS('caseload data'!T:T,'caseload data'!$C:$C,'custody %'!$B$22,'caseload data'!$D:$D,"PO",'caseload data'!$B:$B,"custody")/SUMIFS('caseload data'!T:T,'caseload data'!$B:$B,"custody",'caseload data'!$C:$C,'custody %'!$B$22),"")</f>
        <v/>
      </c>
      <c r="S24" s="64"/>
      <c r="T24" s="96" t="s">
        <v>947</v>
      </c>
      <c r="U24" s="167" t="str">
        <f>IFERROR(SUMIFS('caseload data'!E:E,'caseload data'!$C:$C,'custody %'!$T$22,'caseload data'!$D:$D,"PO",'caseload data'!$B:$B,"custody")/SUMIFS('caseload data'!E:E,'caseload data'!$B:$B,"custody",'caseload data'!$C:$C,'custody %'!$T$22),"")</f>
        <v/>
      </c>
      <c r="V24" s="167" t="str">
        <f>IFERROR(SUMIFS('caseload data'!F:F,'caseload data'!$C:$C,'custody %'!$T$22,'caseload data'!$D:$D,"PO",'caseload data'!$B:$B,"custody")/SUMIFS('caseload data'!F:F,'caseload data'!$B:$B,"custody",'caseload data'!$C:$C,'custody %'!$T$22),"")</f>
        <v/>
      </c>
      <c r="W24" s="167" t="str">
        <f>IFERROR(SUMIFS('caseload data'!G:G,'caseload data'!$C:$C,'custody %'!$T$22,'caseload data'!$D:$D,"PO",'caseload data'!$B:$B,"custody")/SUMIFS('caseload data'!G:G,'caseload data'!$B:$B,"custody",'caseload data'!$C:$C,'custody %'!$T$22),"")</f>
        <v/>
      </c>
      <c r="X24" s="167" t="str">
        <f>IFERROR(SUMIFS('caseload data'!H:H,'caseload data'!$C:$C,'custody %'!$T$22,'caseload data'!$D:$D,"PO",'caseload data'!$B:$B,"custody")/SUMIFS('caseload data'!H:H,'caseload data'!$B:$B,"custody",'caseload data'!$C:$C,'custody %'!$T$22),"")</f>
        <v/>
      </c>
      <c r="Y24" s="167" t="str">
        <f>IFERROR(SUMIFS('caseload data'!I:I,'caseload data'!$C:$C,'custody %'!$T$22,'caseload data'!$D:$D,"PO",'caseload data'!$B:$B,"custody")/SUMIFS('caseload data'!I:I,'caseload data'!$B:$B,"custody",'caseload data'!$C:$C,'custody %'!$T$22),"")</f>
        <v/>
      </c>
      <c r="Z24" s="167" t="str">
        <f>IFERROR(SUMIFS('caseload data'!J:J,'caseload data'!$C:$C,'custody %'!$T$22,'caseload data'!$D:$D,"PO",'caseload data'!$B:$B,"custody")/SUMIFS('caseload data'!J:J,'caseload data'!$B:$B,"custody",'caseload data'!$C:$C,'custody %'!$T$22),"")</f>
        <v/>
      </c>
      <c r="AA24" s="167" t="str">
        <f>IFERROR(SUMIFS('caseload data'!K:K,'caseload data'!$C:$C,'custody %'!$T$22,'caseload data'!$D:$D,"PO",'caseload data'!$B:$B,"custody")/SUMIFS('caseload data'!K:K,'caseload data'!$B:$B,"custody",'caseload data'!$C:$C,'custody %'!$T$22),"")</f>
        <v/>
      </c>
      <c r="AB24" s="167" t="str">
        <f>IFERROR(SUMIFS('caseload data'!L:L,'caseload data'!$C:$C,'custody %'!$T$22,'caseload data'!$D:$D,"PO",'caseload data'!$B:$B,"custody")/SUMIFS('caseload data'!L:L,'caseload data'!$B:$B,"custody",'caseload data'!$C:$C,'custody %'!$T$22),"")</f>
        <v/>
      </c>
      <c r="AC24" s="167" t="str">
        <f>IFERROR(SUMIFS('caseload data'!M:M,'caseload data'!$C:$C,'custody %'!$T$22,'caseload data'!$D:$D,"PO",'caseload data'!$B:$B,"custody")/SUMIFS('caseload data'!M:M,'caseload data'!$B:$B,"custody",'caseload data'!$C:$C,'custody %'!$T$22),"")</f>
        <v/>
      </c>
      <c r="AD24" s="167" t="str">
        <f>IFERROR(SUMIFS('caseload data'!N:N,'caseload data'!$C:$C,'custody %'!$T$22,'caseload data'!$D:$D,"PO",'caseload data'!$B:$B,"custody")/SUMIFS('caseload data'!N:N,'caseload data'!$B:$B,"custody",'caseload data'!$C:$C,'custody %'!$T$22),"")</f>
        <v/>
      </c>
      <c r="AE24" s="167" t="str">
        <f>IFERROR(SUMIFS('caseload data'!O:O,'caseload data'!$C:$C,'custody %'!$T$22,'caseload data'!$D:$D,"PO",'caseload data'!$B:$B,"custody")/SUMIFS('caseload data'!O:O,'caseload data'!$B:$B,"custody",'caseload data'!$C:$C,'custody %'!$T$22),"")</f>
        <v/>
      </c>
      <c r="AF24" s="167" t="str">
        <f>IFERROR(SUMIFS('caseload data'!P:P,'caseload data'!$C:$C,'custody %'!$T$22,'caseload data'!$D:$D,"PO",'caseload data'!$B:$B,"custody")/SUMIFS('caseload data'!P:P,'caseload data'!$B:$B,"custody",'caseload data'!$C:$C,'custody %'!$T$22),"")</f>
        <v/>
      </c>
      <c r="AG24" s="167" t="str">
        <f>IFERROR(SUMIFS('caseload data'!Q:Q,'caseload data'!$C:$C,'custody %'!$T$22,'caseload data'!$D:$D,"PO",'caseload data'!$B:$B,"custody")/SUMIFS('caseload data'!Q:Q,'caseload data'!$B:$B,"custody",'caseload data'!$C:$C,'custody %'!$T$22),"")</f>
        <v/>
      </c>
      <c r="AH24" s="167" t="str">
        <f>IFERROR(SUMIFS('caseload data'!R:R,'caseload data'!$C:$C,'custody %'!$T$22,'caseload data'!$D:$D,"PO",'caseload data'!$B:$B,"custody")/SUMIFS('caseload data'!R:R,'caseload data'!$B:$B,"custody",'caseload data'!$C:$C,'custody %'!$T$22),"")</f>
        <v/>
      </c>
      <c r="AI24" s="167"/>
      <c r="AJ24" s="167"/>
    </row>
    <row r="25" spans="2:36" x14ac:dyDescent="0.15">
      <c r="B25" s="97" t="s">
        <v>952</v>
      </c>
      <c r="C25" s="167" t="str">
        <f>IFERROR(SUMIFS('caseload data'!E:E,'caseload data'!$C:$C,'custody %'!$B$22,'caseload data'!$D:$D,"PSO",'caseload data'!$B:$B,"custody")/SUMIFS('caseload data'!E:E,'caseload data'!$B:$B,"custody",'caseload data'!$C:$C,'custody %'!$B$22),"")</f>
        <v/>
      </c>
      <c r="D25" s="167" t="str">
        <f>IFERROR(SUMIFS('caseload data'!F:F,'caseload data'!$C:$C,'custody %'!$B$22,'caseload data'!$D:$D,"PSO",'caseload data'!$B:$B,"custody")/SUMIFS('caseload data'!F:F,'caseload data'!$B:$B,"custody",'caseload data'!$C:$C,'custody %'!$B$22),"")</f>
        <v/>
      </c>
      <c r="E25" s="167" t="str">
        <f>IFERROR(SUMIFS('caseload data'!G:G,'caseload data'!$C:$C,'custody %'!$B$22,'caseload data'!$D:$D,"PSO",'caseload data'!$B:$B,"custody")/SUMIFS('caseload data'!G:G,'caseload data'!$B:$B,"custody",'caseload data'!$C:$C,'custody %'!$B$22),"")</f>
        <v/>
      </c>
      <c r="F25" s="167" t="str">
        <f>IFERROR(SUMIFS('caseload data'!H:H,'caseload data'!$C:$C,'custody %'!$B$22,'caseload data'!$D:$D,"PSO",'caseload data'!$B:$B,"custody")/SUMIFS('caseload data'!H:H,'caseload data'!$B:$B,"custody",'caseload data'!$C:$C,'custody %'!$B$22),"")</f>
        <v/>
      </c>
      <c r="G25" s="167" t="str">
        <f>IFERROR(SUMIFS('caseload data'!I:I,'caseload data'!$C:$C,'custody %'!$B$22,'caseload data'!$D:$D,"PSO",'caseload data'!$B:$B,"custody")/SUMIFS('caseload data'!I:I,'caseload data'!$B:$B,"custody",'caseload data'!$C:$C,'custody %'!$B$22),"")</f>
        <v/>
      </c>
      <c r="H25" s="167" t="str">
        <f>IFERROR(SUMIFS('caseload data'!J:J,'caseload data'!$C:$C,'custody %'!$B$22,'caseload data'!$D:$D,"PSO",'caseload data'!$B:$B,"custody")/SUMIFS('caseload data'!J:J,'caseload data'!$B:$B,"custody",'caseload data'!$C:$C,'custody %'!$B$22),"")</f>
        <v/>
      </c>
      <c r="I25" s="167" t="str">
        <f>IFERROR(SUMIFS('caseload data'!K:K,'caseload data'!$C:$C,'custody %'!$B$22,'caseload data'!$D:$D,"PSO",'caseload data'!$B:$B,"custody")/SUMIFS('caseload data'!K:K,'caseload data'!$B:$B,"custody",'caseload data'!$C:$C,'custody %'!$B$22),"")</f>
        <v/>
      </c>
      <c r="J25" s="167" t="str">
        <f>IFERROR(SUMIFS('caseload data'!L:L,'caseload data'!$C:$C,'custody %'!$B$22,'caseload data'!$D:$D,"PSO",'caseload data'!$B:$B,"custody")/SUMIFS('caseload data'!L:L,'caseload data'!$B:$B,"custody",'caseload data'!$C:$C,'custody %'!$B$22),"")</f>
        <v/>
      </c>
      <c r="K25" s="167" t="str">
        <f>IFERROR(SUMIFS('caseload data'!M:M,'caseload data'!$C:$C,'custody %'!$B$22,'caseload data'!$D:$D,"PSO",'caseload data'!$B:$B,"custody")/SUMIFS('caseload data'!M:M,'caseload data'!$B:$B,"custody",'caseload data'!$C:$C,'custody %'!$B$22),"")</f>
        <v/>
      </c>
      <c r="L25" s="167" t="str">
        <f>IFERROR(SUMIFS('caseload data'!N:N,'caseload data'!$C:$C,'custody %'!$B$22,'caseload data'!$D:$D,"PSO",'caseload data'!$B:$B,"custody")/SUMIFS('caseload data'!N:N,'caseload data'!$B:$B,"custody",'caseload data'!$C:$C,'custody %'!$B$22),"")</f>
        <v/>
      </c>
      <c r="M25" s="167" t="str">
        <f>IFERROR(SUMIFS('caseload data'!O:O,'caseload data'!$C:$C,'custody %'!$B$22,'caseload data'!$D:$D,"PSO",'caseload data'!$B:$B,"custody")/SUMIFS('caseload data'!O:O,'caseload data'!$B:$B,"custody",'caseload data'!$C:$C,'custody %'!$B$22),"")</f>
        <v/>
      </c>
      <c r="N25" s="167" t="str">
        <f>IFERROR(SUMIFS('caseload data'!P:P,'caseload data'!$C:$C,'custody %'!$B$22,'caseload data'!$D:$D,"PSO",'caseload data'!$B:$B,"custody")/SUMIFS('caseload data'!P:P,'caseload data'!$B:$B,"custody",'caseload data'!$C:$C,'custody %'!$B$22),"")</f>
        <v/>
      </c>
      <c r="O25" s="167" t="str">
        <f>IFERROR(SUMIFS('caseload data'!Q:Q,'caseload data'!$C:$C,'custody %'!$B$22,'caseload data'!$D:$D,"PSO",'caseload data'!$B:$B,"custody")/SUMIFS('caseload data'!Q:Q,'caseload data'!$B:$B,"custody",'caseload data'!$C:$C,'custody %'!$B$22),"")</f>
        <v/>
      </c>
      <c r="P25" s="167" t="str">
        <f>IFERROR(SUMIFS('caseload data'!R:R,'caseload data'!$C:$C,'custody %'!$B$22,'caseload data'!$D:$D,"PSO",'caseload data'!$B:$B,"custody")/SUMIFS('caseload data'!R:R,'caseload data'!$B:$B,"custody",'caseload data'!$C:$C,'custody %'!$B$22),"")</f>
        <v/>
      </c>
      <c r="Q25" s="167" t="str">
        <f>IFERROR(SUMIFS('caseload data'!S:S,'caseload data'!$C:$C,'custody %'!$B$22,'caseload data'!$D:$D,"PSO",'caseload data'!$B:$B,"custody")/SUMIFS('caseload data'!S:S,'caseload data'!$B:$B,"custody",'caseload data'!$C:$C,'custody %'!$B$22),"")</f>
        <v/>
      </c>
      <c r="R25" s="167" t="str">
        <f>IFERROR(SUMIFS('caseload data'!T:T,'caseload data'!$C:$C,'custody %'!$B$22,'caseload data'!$D:$D,"PSO",'caseload data'!$B:$B,"custody")/SUMIFS('caseload data'!T:T,'caseload data'!$B:$B,"custody",'caseload data'!$C:$C,'custody %'!$B$22),"")</f>
        <v/>
      </c>
      <c r="S25" s="64"/>
      <c r="T25" s="97" t="s">
        <v>952</v>
      </c>
      <c r="U25" s="167" t="str">
        <f>IFERROR(SUMIFS('caseload data'!E:E,'caseload data'!$C:$C,'custody %'!$T$22,'caseload data'!$D:$D,"PSO",'caseload data'!$B:$B,"custody")/SUMIFS('caseload data'!E:E,'caseload data'!$B:$B,"custody",'caseload data'!$C:$C,'custody %'!$T$22),"")</f>
        <v/>
      </c>
      <c r="V25" s="167" t="str">
        <f>IFERROR(SUMIFS('caseload data'!F:F,'caseload data'!$C:$C,'custody %'!$T$22,'caseload data'!$D:$D,"PSO",'caseload data'!$B:$B,"custody")/SUMIFS('caseload data'!F:F,'caseload data'!$B:$B,"custody",'caseload data'!$C:$C,'custody %'!$T$22),"")</f>
        <v/>
      </c>
      <c r="W25" s="167" t="str">
        <f>IFERROR(SUMIFS('caseload data'!G:G,'caseload data'!$C:$C,'custody %'!$T$22,'caseload data'!$D:$D,"PSO",'caseload data'!$B:$B,"custody")/SUMIFS('caseload data'!G:G,'caseload data'!$B:$B,"custody",'caseload data'!$C:$C,'custody %'!$T$22),"")</f>
        <v/>
      </c>
      <c r="X25" s="167" t="str">
        <f>IFERROR(SUMIFS('caseload data'!H:H,'caseload data'!$C:$C,'custody %'!$T$22,'caseload data'!$D:$D,"PSO",'caseload data'!$B:$B,"custody")/SUMIFS('caseload data'!H:H,'caseload data'!$B:$B,"custody",'caseload data'!$C:$C,'custody %'!$T$22),"")</f>
        <v/>
      </c>
      <c r="Y25" s="167" t="str">
        <f>IFERROR(SUMIFS('caseload data'!I:I,'caseload data'!$C:$C,'custody %'!$T$22,'caseload data'!$D:$D,"PSO",'caseload data'!$B:$B,"custody")/SUMIFS('caseload data'!I:I,'caseload data'!$B:$B,"custody",'caseload data'!$C:$C,'custody %'!$T$22),"")</f>
        <v/>
      </c>
      <c r="Z25" s="167" t="str">
        <f>IFERROR(SUMIFS('caseload data'!J:J,'caseload data'!$C:$C,'custody %'!$T$22,'caseload data'!$D:$D,"PSO",'caseload data'!$B:$B,"custody")/SUMIFS('caseload data'!J:J,'caseload data'!$B:$B,"custody",'caseload data'!$C:$C,'custody %'!$T$22),"")</f>
        <v/>
      </c>
      <c r="AA25" s="167" t="str">
        <f>IFERROR(SUMIFS('caseload data'!K:K,'caseload data'!$C:$C,'custody %'!$T$22,'caseload data'!$D:$D,"PSO",'caseload data'!$B:$B,"custody")/SUMIFS('caseload data'!K:K,'caseload data'!$B:$B,"custody",'caseload data'!$C:$C,'custody %'!$T$22),"")</f>
        <v/>
      </c>
      <c r="AB25" s="167" t="str">
        <f>IFERROR(SUMIFS('caseload data'!L:L,'caseload data'!$C:$C,'custody %'!$T$22,'caseload data'!$D:$D,"PSO",'caseload data'!$B:$B,"custody")/SUMIFS('caseload data'!L:L,'caseload data'!$B:$B,"custody",'caseload data'!$C:$C,'custody %'!$T$22),"")</f>
        <v/>
      </c>
      <c r="AC25" s="167" t="str">
        <f>IFERROR(SUMIFS('caseload data'!M:M,'caseload data'!$C:$C,'custody %'!$T$22,'caseload data'!$D:$D,"PSO",'caseload data'!$B:$B,"custody")/SUMIFS('caseload data'!M:M,'caseload data'!$B:$B,"custody",'caseload data'!$C:$C,'custody %'!$T$22),"")</f>
        <v/>
      </c>
      <c r="AD25" s="167" t="str">
        <f>IFERROR(SUMIFS('caseload data'!N:N,'caseload data'!$C:$C,'custody %'!$T$22,'caseload data'!$D:$D,"PSO",'caseload data'!$B:$B,"custody")/SUMIFS('caseload data'!N:N,'caseload data'!$B:$B,"custody",'caseload data'!$C:$C,'custody %'!$T$22),"")</f>
        <v/>
      </c>
      <c r="AE25" s="167" t="str">
        <f>IFERROR(SUMIFS('caseload data'!O:O,'caseload data'!$C:$C,'custody %'!$T$22,'caseload data'!$D:$D,"PSO",'caseload data'!$B:$B,"custody")/SUMIFS('caseload data'!O:O,'caseload data'!$B:$B,"custody",'caseload data'!$C:$C,'custody %'!$T$22),"")</f>
        <v/>
      </c>
      <c r="AF25" s="167" t="str">
        <f>IFERROR(SUMIFS('caseload data'!P:P,'caseload data'!$C:$C,'custody %'!$T$22,'caseload data'!$D:$D,"PSO",'caseload data'!$B:$B,"custody")/SUMIFS('caseload data'!P:P,'caseload data'!$B:$B,"custody",'caseload data'!$C:$C,'custody %'!$T$22),"")</f>
        <v/>
      </c>
      <c r="AG25" s="167" t="str">
        <f>IFERROR(SUMIFS('caseload data'!Q:Q,'caseload data'!$C:$C,'custody %'!$T$22,'caseload data'!$D:$D,"PSO",'caseload data'!$B:$B,"custody")/SUMIFS('caseload data'!Q:Q,'caseload data'!$B:$B,"custody",'caseload data'!$C:$C,'custody %'!$T$22),"")</f>
        <v/>
      </c>
      <c r="AH25" s="167" t="str">
        <f>IFERROR(SUMIFS('caseload data'!R:R,'caseload data'!$C:$C,'custody %'!$T$22,'caseload data'!$D:$D,"PSO",'caseload data'!$B:$B,"custody")/SUMIFS('caseload data'!R:R,'caseload data'!$B:$B,"custody",'caseload data'!$C:$C,'custody %'!$T$22),"")</f>
        <v/>
      </c>
      <c r="AI25" s="167"/>
      <c r="AJ25" s="167"/>
    </row>
    <row r="26" spans="2:36" x14ac:dyDescent="0.15">
      <c r="B26" s="97" t="s">
        <v>953</v>
      </c>
      <c r="C26" s="167" t="str">
        <f>IFERROR(SUMIFS('caseload data'!E:E,'caseload data'!$C:$C,'custody %'!$B$22,'caseload data'!$D:$D,"TPO",'caseload data'!$B:$B,"custody")/SUMIFS('caseload data'!E:E,'caseload data'!$B:$B,"custody",'caseload data'!$C:$C,'custody %'!$B$22),"")</f>
        <v/>
      </c>
      <c r="D26" s="167" t="str">
        <f>IFERROR(SUMIFS('caseload data'!F:F,'caseload data'!$C:$C,'custody %'!$B$22,'caseload data'!$D:$D,"TPO",'caseload data'!$B:$B,"custody")/SUMIFS('caseload data'!F:F,'caseload data'!$B:$B,"custody",'caseload data'!$C:$C,'custody %'!$B$22),"")</f>
        <v/>
      </c>
      <c r="E26" s="167" t="str">
        <f>IFERROR(SUMIFS('caseload data'!G:G,'caseload data'!$C:$C,'custody %'!$B$22,'caseload data'!$D:$D,"TPO",'caseload data'!$B:$B,"custody")/SUMIFS('caseload data'!G:G,'caseload data'!$B:$B,"custody",'caseload data'!$C:$C,'custody %'!$B$22),"")</f>
        <v/>
      </c>
      <c r="F26" s="167" t="str">
        <f>IFERROR(SUMIFS('caseload data'!H:H,'caseload data'!$C:$C,'custody %'!$B$22,'caseload data'!$D:$D,"TPO",'caseload data'!$B:$B,"custody")/SUMIFS('caseload data'!H:H,'caseload data'!$B:$B,"custody",'caseload data'!$C:$C,'custody %'!$B$22),"")</f>
        <v/>
      </c>
      <c r="G26" s="167" t="str">
        <f>IFERROR(SUMIFS('caseload data'!I:I,'caseload data'!$C:$C,'custody %'!$B$22,'caseload data'!$D:$D,"TPO",'caseload data'!$B:$B,"custody")/SUMIFS('caseload data'!I:I,'caseload data'!$B:$B,"custody",'caseload data'!$C:$C,'custody %'!$B$22),"")</f>
        <v/>
      </c>
      <c r="H26" s="167" t="str">
        <f>IFERROR(SUMIFS('caseload data'!J:J,'caseload data'!$C:$C,'custody %'!$B$22,'caseload data'!$D:$D,"TPO",'caseload data'!$B:$B,"custody")/SUMIFS('caseload data'!J:J,'caseload data'!$B:$B,"custody",'caseload data'!$C:$C,'custody %'!$B$22),"")</f>
        <v/>
      </c>
      <c r="I26" s="167" t="str">
        <f>IFERROR(SUMIFS('caseload data'!K:K,'caseload data'!$C:$C,'custody %'!$B$22,'caseload data'!$D:$D,"TPO",'caseload data'!$B:$B,"custody")/SUMIFS('caseload data'!K:K,'caseload data'!$B:$B,"custody",'caseload data'!$C:$C,'custody %'!$B$22),"")</f>
        <v/>
      </c>
      <c r="J26" s="167" t="str">
        <f>IFERROR(SUMIFS('caseload data'!L:L,'caseload data'!$C:$C,'custody %'!$B$22,'caseload data'!$D:$D,"TPO",'caseload data'!$B:$B,"custody")/SUMIFS('caseload data'!L:L,'caseload data'!$B:$B,"custody",'caseload data'!$C:$C,'custody %'!$B$22),"")</f>
        <v/>
      </c>
      <c r="K26" s="167" t="str">
        <f>IFERROR(SUMIFS('caseload data'!M:M,'caseload data'!$C:$C,'custody %'!$B$22,'caseload data'!$D:$D,"TPO",'caseload data'!$B:$B,"custody")/SUMIFS('caseload data'!M:M,'caseload data'!$B:$B,"custody",'caseload data'!$C:$C,'custody %'!$B$22),"")</f>
        <v/>
      </c>
      <c r="L26" s="167" t="str">
        <f>IFERROR(SUMIFS('caseload data'!N:N,'caseload data'!$C:$C,'custody %'!$B$22,'caseload data'!$D:$D,"TPO",'caseload data'!$B:$B,"custody")/SUMIFS('caseload data'!N:N,'caseload data'!$B:$B,"custody",'caseload data'!$C:$C,'custody %'!$B$22),"")</f>
        <v/>
      </c>
      <c r="M26" s="167" t="str">
        <f>IFERROR(SUMIFS('caseload data'!O:O,'caseload data'!$C:$C,'custody %'!$B$22,'caseload data'!$D:$D,"TPO",'caseload data'!$B:$B,"custody")/SUMIFS('caseload data'!O:O,'caseload data'!$B:$B,"custody",'caseload data'!$C:$C,'custody %'!$B$22),"")</f>
        <v/>
      </c>
      <c r="N26" s="167" t="str">
        <f>IFERROR(SUMIFS('caseload data'!P:P,'caseload data'!$C:$C,'custody %'!$B$22,'caseload data'!$D:$D,"TPO",'caseload data'!$B:$B,"custody")/SUMIFS('caseload data'!P:P,'caseload data'!$B:$B,"custody",'caseload data'!$C:$C,'custody %'!$B$22),"")</f>
        <v/>
      </c>
      <c r="O26" s="167" t="str">
        <f>IFERROR(SUMIFS('caseload data'!Q:Q,'caseload data'!$C:$C,'custody %'!$B$22,'caseload data'!$D:$D,"TPO",'caseload data'!$B:$B,"custody")/SUMIFS('caseload data'!Q:Q,'caseload data'!$B:$B,"custody",'caseload data'!$C:$C,'custody %'!$B$22),"")</f>
        <v/>
      </c>
      <c r="P26" s="167" t="str">
        <f>IFERROR(SUMIFS('caseload data'!R:R,'caseload data'!$C:$C,'custody %'!$B$22,'caseload data'!$D:$D,"TPO",'caseload data'!$B:$B,"custody")/SUMIFS('caseload data'!R:R,'caseload data'!$B:$B,"custody",'caseload data'!$C:$C,'custody %'!$B$22),"")</f>
        <v/>
      </c>
      <c r="Q26" s="167" t="str">
        <f>IFERROR(SUMIFS('caseload data'!S:S,'caseload data'!$C:$C,'custody %'!$B$22,'caseload data'!$D:$D,"TPO",'caseload data'!$B:$B,"custody")/SUMIFS('caseload data'!S:S,'caseload data'!$B:$B,"custody",'caseload data'!$C:$C,'custody %'!$B$22),"")</f>
        <v/>
      </c>
      <c r="R26" s="167" t="str">
        <f>IFERROR(SUMIFS('caseload data'!T:T,'caseload data'!$C:$C,'custody %'!$B$22,'caseload data'!$D:$D,"TPO",'caseload data'!$B:$B,"custody")/SUMIFS('caseload data'!T:T,'caseload data'!$B:$B,"custody",'caseload data'!$C:$C,'custody %'!$B$22),"")</f>
        <v/>
      </c>
      <c r="S26" s="64"/>
      <c r="T26" s="97" t="s">
        <v>953</v>
      </c>
      <c r="U26" s="167" t="str">
        <f>IFERROR(SUMIFS('caseload data'!E:E,'caseload data'!$C:$C,'custody %'!$T$22,'caseload data'!$D:$D,"TPO",'caseload data'!$B:$B,"custody")/SUMIFS('caseload data'!E:E,'caseload data'!$B:$B,"custody",'caseload data'!$C:$C,'custody %'!$T$22),"")</f>
        <v/>
      </c>
      <c r="V26" s="167" t="str">
        <f>IFERROR(SUMIFS('caseload data'!F:F,'caseload data'!$C:$C,'custody %'!$T$22,'caseload data'!$D:$D,"TPO",'caseload data'!$B:$B,"custody")/SUMIFS('caseload data'!F:F,'caseload data'!$B:$B,"custody",'caseload data'!$C:$C,'custody %'!$T$22),"")</f>
        <v/>
      </c>
      <c r="W26" s="167" t="str">
        <f>IFERROR(SUMIFS('caseload data'!G:G,'caseload data'!$C:$C,'custody %'!$T$22,'caseload data'!$D:$D,"TPO",'caseload data'!$B:$B,"custody")/SUMIFS('caseload data'!G:G,'caseload data'!$B:$B,"custody",'caseload data'!$C:$C,'custody %'!$T$22),"")</f>
        <v/>
      </c>
      <c r="X26" s="167" t="str">
        <f>IFERROR(SUMIFS('caseload data'!H:H,'caseload data'!$C:$C,'custody %'!$T$22,'caseload data'!$D:$D,"TPO",'caseload data'!$B:$B,"custody")/SUMIFS('caseload data'!H:H,'caseload data'!$B:$B,"custody",'caseload data'!$C:$C,'custody %'!$T$22),"")</f>
        <v/>
      </c>
      <c r="Y26" s="167" t="str">
        <f>IFERROR(SUMIFS('caseload data'!I:I,'caseload data'!$C:$C,'custody %'!$T$22,'caseload data'!$D:$D,"TPO",'caseload data'!$B:$B,"custody")/SUMIFS('caseload data'!I:I,'caseload data'!$B:$B,"custody",'caseload data'!$C:$C,'custody %'!$T$22),"")</f>
        <v/>
      </c>
      <c r="Z26" s="167" t="str">
        <f>IFERROR(SUMIFS('caseload data'!J:J,'caseload data'!$C:$C,'custody %'!$T$22,'caseload data'!$D:$D,"TPO",'caseload data'!$B:$B,"custody")/SUMIFS('caseload data'!J:J,'caseload data'!$B:$B,"custody",'caseload data'!$C:$C,'custody %'!$T$22),"")</f>
        <v/>
      </c>
      <c r="AA26" s="167" t="str">
        <f>IFERROR(SUMIFS('caseload data'!K:K,'caseload data'!$C:$C,'custody %'!$T$22,'caseload data'!$D:$D,"TPO",'caseload data'!$B:$B,"custody")/SUMIFS('caseload data'!K:K,'caseload data'!$B:$B,"custody",'caseload data'!$C:$C,'custody %'!$T$22),"")</f>
        <v/>
      </c>
      <c r="AB26" s="167" t="str">
        <f>IFERROR(SUMIFS('caseload data'!L:L,'caseload data'!$C:$C,'custody %'!$T$22,'caseload data'!$D:$D,"TPO",'caseload data'!$B:$B,"custody")/SUMIFS('caseload data'!L:L,'caseload data'!$B:$B,"custody",'caseload data'!$C:$C,'custody %'!$T$22),"")</f>
        <v/>
      </c>
      <c r="AC26" s="167" t="str">
        <f>IFERROR(SUMIFS('caseload data'!M:M,'caseload data'!$C:$C,'custody %'!$T$22,'caseload data'!$D:$D,"TPO",'caseload data'!$B:$B,"custody")/SUMIFS('caseload data'!M:M,'caseload data'!$B:$B,"custody",'caseload data'!$C:$C,'custody %'!$T$22),"")</f>
        <v/>
      </c>
      <c r="AD26" s="167" t="str">
        <f>IFERROR(SUMIFS('caseload data'!N:N,'caseload data'!$C:$C,'custody %'!$T$22,'caseload data'!$D:$D,"TPO",'caseload data'!$B:$B,"custody")/SUMIFS('caseload data'!N:N,'caseload data'!$B:$B,"custody",'caseload data'!$C:$C,'custody %'!$T$22),"")</f>
        <v/>
      </c>
      <c r="AE26" s="167" t="str">
        <f>IFERROR(SUMIFS('caseload data'!O:O,'caseload data'!$C:$C,'custody %'!$T$22,'caseload data'!$D:$D,"TPO",'caseload data'!$B:$B,"custody")/SUMIFS('caseload data'!O:O,'caseload data'!$B:$B,"custody",'caseload data'!$C:$C,'custody %'!$T$22),"")</f>
        <v/>
      </c>
      <c r="AF26" s="167" t="str">
        <f>IFERROR(SUMIFS('caseload data'!P:P,'caseload data'!$C:$C,'custody %'!$T$22,'caseload data'!$D:$D,"TPO",'caseload data'!$B:$B,"custody")/SUMIFS('caseload data'!P:P,'caseload data'!$B:$B,"custody",'caseload data'!$C:$C,'custody %'!$T$22),"")</f>
        <v/>
      </c>
      <c r="AG26" s="167" t="str">
        <f>IFERROR(SUMIFS('caseload data'!Q:Q,'caseload data'!$C:$C,'custody %'!$T$22,'caseload data'!$D:$D,"TPO",'caseload data'!$B:$B,"custody")/SUMIFS('caseload data'!Q:Q,'caseload data'!$B:$B,"custody",'caseload data'!$C:$C,'custody %'!$T$22),"")</f>
        <v/>
      </c>
      <c r="AH26" s="167" t="str">
        <f>IFERROR(SUMIFS('caseload data'!R:R,'caseload data'!$C:$C,'custody %'!$T$22,'caseload data'!$D:$D,"TPO",'caseload data'!$B:$B,"custody")/SUMIFS('caseload data'!R:R,'caseload data'!$B:$B,"custody",'caseload data'!$C:$C,'custody %'!$T$22),"")</f>
        <v/>
      </c>
      <c r="AI26" s="167"/>
      <c r="AJ26" s="167"/>
    </row>
    <row r="27" spans="2:36" x14ac:dyDescent="0.15">
      <c r="B27" s="98" t="s">
        <v>954</v>
      </c>
      <c r="C27" s="167" t="str">
        <f>IFERROR(SUMIFS('caseload data'!E:E,'caseload data'!$C:$C,'custody %'!$B$22,'caseload data'!$D:$D,"SPO",'caseload data'!$B:$B,"custody")/SUMIFS('caseload data'!E:E,'caseload data'!$B:$B,"custody",'caseload data'!$C:$C,'custody %'!$B$22),"")</f>
        <v/>
      </c>
      <c r="D27" s="167" t="str">
        <f>IFERROR(SUMIFS('caseload data'!F:F,'caseload data'!$C:$C,'custody %'!$B$22,'caseload data'!$D:$D,"SPO",'caseload data'!$B:$B,"custody")/SUMIFS('caseload data'!F:F,'caseload data'!$B:$B,"custody",'caseload data'!$C:$C,'custody %'!$B$22),"")</f>
        <v/>
      </c>
      <c r="E27" s="167" t="str">
        <f>IFERROR(SUMIFS('caseload data'!G:G,'caseload data'!$C:$C,'custody %'!$B$22,'caseload data'!$D:$D,"SPO",'caseload data'!$B:$B,"custody")/SUMIFS('caseload data'!G:G,'caseload data'!$B:$B,"custody",'caseload data'!$C:$C,'custody %'!$B$22),"")</f>
        <v/>
      </c>
      <c r="F27" s="167" t="str">
        <f>IFERROR(SUMIFS('caseload data'!H:H,'caseload data'!$C:$C,'custody %'!$B$22,'caseload data'!$D:$D,"SPO",'caseload data'!$B:$B,"custody")/SUMIFS('caseload data'!H:H,'caseload data'!$B:$B,"custody",'caseload data'!$C:$C,'custody %'!$B$22),"")</f>
        <v/>
      </c>
      <c r="G27" s="167" t="str">
        <f>IFERROR(SUMIFS('caseload data'!I:I,'caseload data'!$C:$C,'custody %'!$B$22,'caseload data'!$D:$D,"SPO",'caseload data'!$B:$B,"custody")/SUMIFS('caseload data'!I:I,'caseload data'!$B:$B,"custody",'caseload data'!$C:$C,'custody %'!$B$22),"")</f>
        <v/>
      </c>
      <c r="H27" s="167" t="str">
        <f>IFERROR(SUMIFS('caseload data'!J:J,'caseload data'!$C:$C,'custody %'!$B$22,'caseload data'!$D:$D,"SPO",'caseload data'!$B:$B,"custody")/SUMIFS('caseload data'!J:J,'caseload data'!$B:$B,"custody",'caseload data'!$C:$C,'custody %'!$B$22),"")</f>
        <v/>
      </c>
      <c r="I27" s="167" t="str">
        <f>IFERROR(SUMIFS('caseload data'!K:K,'caseload data'!$C:$C,'custody %'!$B$22,'caseload data'!$D:$D,"SPO",'caseload data'!$B:$B,"custody")/SUMIFS('caseload data'!K:K,'caseload data'!$B:$B,"custody",'caseload data'!$C:$C,'custody %'!$B$22),"")</f>
        <v/>
      </c>
      <c r="J27" s="167" t="str">
        <f>IFERROR(SUMIFS('caseload data'!L:L,'caseload data'!$C:$C,'custody %'!$B$22,'caseload data'!$D:$D,"SPO",'caseload data'!$B:$B,"custody")/SUMIFS('caseload data'!L:L,'caseload data'!$B:$B,"custody",'caseload data'!$C:$C,'custody %'!$B$22),"")</f>
        <v/>
      </c>
      <c r="K27" s="167" t="str">
        <f>IFERROR(SUMIFS('caseload data'!M:M,'caseload data'!$C:$C,'custody %'!$B$22,'caseload data'!$D:$D,"SPO",'caseload data'!$B:$B,"custody")/SUMIFS('caseload data'!M:M,'caseload data'!$B:$B,"custody",'caseload data'!$C:$C,'custody %'!$B$22),"")</f>
        <v/>
      </c>
      <c r="L27" s="167" t="str">
        <f>IFERROR(SUMIFS('caseload data'!N:N,'caseload data'!$C:$C,'custody %'!$B$22,'caseload data'!$D:$D,"SPO",'caseload data'!$B:$B,"custody")/SUMIFS('caseload data'!N:N,'caseload data'!$B:$B,"custody",'caseload data'!$C:$C,'custody %'!$B$22),"")</f>
        <v/>
      </c>
      <c r="M27" s="167" t="str">
        <f>IFERROR(SUMIFS('caseload data'!O:O,'caseload data'!$C:$C,'custody %'!$B$22,'caseload data'!$D:$D,"SPO",'caseload data'!$B:$B,"custody")/SUMIFS('caseload data'!O:O,'caseload data'!$B:$B,"custody",'caseload data'!$C:$C,'custody %'!$B$22),"")</f>
        <v/>
      </c>
      <c r="N27" s="167" t="str">
        <f>IFERROR(SUMIFS('caseload data'!P:P,'caseload data'!$C:$C,'custody %'!$B$22,'caseload data'!$D:$D,"SPO",'caseload data'!$B:$B,"custody")/SUMIFS('caseload data'!P:P,'caseload data'!$B:$B,"custody",'caseload data'!$C:$C,'custody %'!$B$22),"")</f>
        <v/>
      </c>
      <c r="O27" s="167" t="str">
        <f>IFERROR(SUMIFS('caseload data'!Q:Q,'caseload data'!$C:$C,'custody %'!$B$22,'caseload data'!$D:$D,"SPO",'caseload data'!$B:$B,"custody")/SUMIFS('caseload data'!Q:Q,'caseload data'!$B:$B,"custody",'caseload data'!$C:$C,'custody %'!$B$22),"")</f>
        <v/>
      </c>
      <c r="P27" s="167" t="str">
        <f>IFERROR(SUMIFS('caseload data'!R:R,'caseload data'!$C:$C,'custody %'!$B$22,'caseload data'!$D:$D,"SPO",'caseload data'!$B:$B,"custody")/SUMIFS('caseload data'!R:R,'caseload data'!$B:$B,"custody",'caseload data'!$C:$C,'custody %'!$B$22),"")</f>
        <v/>
      </c>
      <c r="Q27" s="167" t="str">
        <f>IFERROR(SUMIFS('caseload data'!S:S,'caseload data'!$C:$C,'custody %'!$B$22,'caseload data'!$D:$D,"SPO",'caseload data'!$B:$B,"custody")/SUMIFS('caseload data'!S:S,'caseload data'!$B:$B,"custody",'caseload data'!$C:$C,'custody %'!$B$22),"")</f>
        <v/>
      </c>
      <c r="R27" s="167" t="str">
        <f>IFERROR(SUMIFS('caseload data'!T:T,'caseload data'!$C:$C,'custody %'!$B$22,'caseload data'!$D:$D,"SPO",'caseload data'!$B:$B,"custody")/SUMIFS('caseload data'!T:T,'caseload data'!$B:$B,"custody",'caseload data'!$C:$C,'custody %'!$B$22),"")</f>
        <v/>
      </c>
      <c r="S27" s="64"/>
      <c r="T27" s="98" t="s">
        <v>954</v>
      </c>
      <c r="U27" s="167" t="str">
        <f>IFERROR(SUMIFS('caseload data'!E:E,'caseload data'!$C:$C,'custody %'!$T$22,'caseload data'!$D:$D,"SPO",'caseload data'!$B:$B,"custody")/SUMIFS('caseload data'!E:E,'caseload data'!$B:$B,"custody",'caseload data'!$C:$C,'custody %'!$T$22),"")</f>
        <v/>
      </c>
      <c r="V27" s="167" t="str">
        <f>IFERROR(SUMIFS('caseload data'!F:F,'caseload data'!$C:$C,'custody %'!$T$22,'caseload data'!$D:$D,"SPO",'caseload data'!$B:$B,"custody")/SUMIFS('caseload data'!F:F,'caseload data'!$B:$B,"custody",'caseload data'!$C:$C,'custody %'!$T$22),"")</f>
        <v/>
      </c>
      <c r="W27" s="167" t="str">
        <f>IFERROR(SUMIFS('caseload data'!G:G,'caseload data'!$C:$C,'custody %'!$T$22,'caseload data'!$D:$D,"SPO",'caseload data'!$B:$B,"custody")/SUMIFS('caseload data'!G:G,'caseload data'!$B:$B,"custody",'caseload data'!$C:$C,'custody %'!$T$22),"")</f>
        <v/>
      </c>
      <c r="X27" s="167" t="str">
        <f>IFERROR(SUMIFS('caseload data'!H:H,'caseload data'!$C:$C,'custody %'!$T$22,'caseload data'!$D:$D,"SPO",'caseload data'!$B:$B,"custody")/SUMIFS('caseload data'!H:H,'caseload data'!$B:$B,"custody",'caseload data'!$C:$C,'custody %'!$T$22),"")</f>
        <v/>
      </c>
      <c r="Y27" s="167" t="str">
        <f>IFERROR(SUMIFS('caseload data'!I:I,'caseload data'!$C:$C,'custody %'!$T$22,'caseload data'!$D:$D,"SPO",'caseload data'!$B:$B,"custody")/SUMIFS('caseload data'!I:I,'caseload data'!$B:$B,"custody",'caseload data'!$C:$C,'custody %'!$T$22),"")</f>
        <v/>
      </c>
      <c r="Z27" s="167" t="str">
        <f>IFERROR(SUMIFS('caseload data'!J:J,'caseload data'!$C:$C,'custody %'!$T$22,'caseload data'!$D:$D,"SPO",'caseload data'!$B:$B,"custody")/SUMIFS('caseload data'!J:J,'caseload data'!$B:$B,"custody",'caseload data'!$C:$C,'custody %'!$T$22),"")</f>
        <v/>
      </c>
      <c r="AA27" s="167" t="str">
        <f>IFERROR(SUMIFS('caseload data'!K:K,'caseload data'!$C:$C,'custody %'!$T$22,'caseload data'!$D:$D,"SPO",'caseload data'!$B:$B,"custody")/SUMIFS('caseload data'!K:K,'caseload data'!$B:$B,"custody",'caseload data'!$C:$C,'custody %'!$T$22),"")</f>
        <v/>
      </c>
      <c r="AB27" s="167" t="str">
        <f>IFERROR(SUMIFS('caseload data'!L:L,'caseload data'!$C:$C,'custody %'!$T$22,'caseload data'!$D:$D,"SPO",'caseload data'!$B:$B,"custody")/SUMIFS('caseload data'!L:L,'caseload data'!$B:$B,"custody",'caseload data'!$C:$C,'custody %'!$T$22),"")</f>
        <v/>
      </c>
      <c r="AC27" s="167" t="str">
        <f>IFERROR(SUMIFS('caseload data'!M:M,'caseload data'!$C:$C,'custody %'!$T$22,'caseload data'!$D:$D,"SPO",'caseload data'!$B:$B,"custody")/SUMIFS('caseload data'!M:M,'caseload data'!$B:$B,"custody",'caseload data'!$C:$C,'custody %'!$T$22),"")</f>
        <v/>
      </c>
      <c r="AD27" s="167" t="str">
        <f>IFERROR(SUMIFS('caseload data'!N:N,'caseload data'!$C:$C,'custody %'!$T$22,'caseload data'!$D:$D,"SPO",'caseload data'!$B:$B,"custody")/SUMIFS('caseload data'!N:N,'caseload data'!$B:$B,"custody",'caseload data'!$C:$C,'custody %'!$T$22),"")</f>
        <v/>
      </c>
      <c r="AE27" s="167" t="str">
        <f>IFERROR(SUMIFS('caseload data'!O:O,'caseload data'!$C:$C,'custody %'!$T$22,'caseload data'!$D:$D,"SPO",'caseload data'!$B:$B,"custody")/SUMIFS('caseload data'!O:O,'caseload data'!$B:$B,"custody",'caseload data'!$C:$C,'custody %'!$T$22),"")</f>
        <v/>
      </c>
      <c r="AF27" s="167" t="str">
        <f>IFERROR(SUMIFS('caseload data'!P:P,'caseload data'!$C:$C,'custody %'!$T$22,'caseload data'!$D:$D,"SPO",'caseload data'!$B:$B,"custody")/SUMIFS('caseload data'!P:P,'caseload data'!$B:$B,"custody",'caseload data'!$C:$C,'custody %'!$T$22),"")</f>
        <v/>
      </c>
      <c r="AG27" s="167" t="str">
        <f>IFERROR(SUMIFS('caseload data'!Q:Q,'caseload data'!$C:$C,'custody %'!$T$22,'caseload data'!$D:$D,"SPO",'caseload data'!$B:$B,"custody")/SUMIFS('caseload data'!Q:Q,'caseload data'!$B:$B,"custody",'caseload data'!$C:$C,'custody %'!$T$22),"")</f>
        <v/>
      </c>
      <c r="AH27" s="167" t="str">
        <f>IFERROR(SUMIFS('caseload data'!R:R,'caseload data'!$C:$C,'custody %'!$T$22,'caseload data'!$D:$D,"SPO",'caseload data'!$B:$B,"custody")/SUMIFS('caseload data'!R:R,'caseload data'!$B:$B,"custody",'caseload data'!$C:$C,'custody %'!$T$22),"")</f>
        <v/>
      </c>
      <c r="AI27" s="167"/>
      <c r="AJ27" s="167"/>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row>
    <row r="29" spans="2:36" ht="29.25" customHeight="1" x14ac:dyDescent="0.15">
      <c r="B29" s="288" t="str">
        <f>HLOOKUP($B$5,Region_Table,8,0)</f>
        <v>Nottinghamshire - N53</v>
      </c>
      <c r="C29" s="548" t="s">
        <v>1073</v>
      </c>
      <c r="D29" s="549"/>
      <c r="E29" s="549"/>
      <c r="F29" s="549"/>
      <c r="G29" s="549"/>
      <c r="H29" s="549"/>
      <c r="I29" s="549"/>
      <c r="J29" s="549"/>
      <c r="K29" s="549"/>
      <c r="L29" s="549"/>
      <c r="M29" s="568"/>
      <c r="N29" s="568"/>
      <c r="O29" s="569"/>
      <c r="P29" s="543">
        <f>SUMIF('caseload data'!$C:$C,'custody %'!B29,'caseload data'!V:V)</f>
        <v>0</v>
      </c>
      <c r="Q29" s="560"/>
      <c r="R29" s="561"/>
      <c r="S29" s="64"/>
      <c r="T29" s="288" t="str">
        <f>HLOOKUP($B$5,Region_Table,9,0)</f>
        <v>Unpaid Work and Attendance Centres - N53</v>
      </c>
      <c r="U29" s="548" t="s">
        <v>1073</v>
      </c>
      <c r="V29" s="549"/>
      <c r="W29" s="549"/>
      <c r="X29" s="549"/>
      <c r="Y29" s="549"/>
      <c r="Z29" s="549"/>
      <c r="AA29" s="549"/>
      <c r="AB29" s="549"/>
      <c r="AC29" s="568"/>
      <c r="AD29" s="568"/>
      <c r="AE29" s="569"/>
      <c r="AF29" s="543">
        <f>SUMIF('caseload data'!$C:$C,'custody %'!T29,'caseload data'!V:V)</f>
        <v>0</v>
      </c>
      <c r="AG29" s="560"/>
      <c r="AH29" s="561"/>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167" t="str">
        <f>IFERROR(SUMIFS('caseload data'!E:E,'caseload data'!$C:$C,'custody %'!$B$29,'caseload data'!$D:$D,"PO",'caseload data'!$B:$B,"custody")/SUMIFS('caseload data'!E:E,'caseload data'!$B:$B,"custody",'caseload data'!$C:$C,'custody %'!$B$29),"")</f>
        <v/>
      </c>
      <c r="D31" s="167" t="str">
        <f>IFERROR(SUMIFS('caseload data'!F:F,'caseload data'!$C:$C,'custody %'!$B$29,'caseload data'!$D:$D,"PO",'caseload data'!$B:$B,"custody")/SUMIFS('caseload data'!F:F,'caseload data'!$B:$B,"custody",'caseload data'!$C:$C,'custody %'!$B$29),"")</f>
        <v/>
      </c>
      <c r="E31" s="167" t="str">
        <f>IFERROR(SUMIFS('caseload data'!G:G,'caseload data'!$C:$C,'custody %'!$B$29,'caseload data'!$D:$D,"PO",'caseload data'!$B:$B,"custody")/SUMIFS('caseload data'!G:G,'caseload data'!$B:$B,"custody",'caseload data'!$C:$C,'custody %'!$B$29),"")</f>
        <v/>
      </c>
      <c r="F31" s="167" t="str">
        <f>IFERROR(SUMIFS('caseload data'!H:H,'caseload data'!$C:$C,'custody %'!$B$29,'caseload data'!$D:$D,"PO",'caseload data'!$B:$B,"custody")/SUMIFS('caseload data'!H:H,'caseload data'!$B:$B,"custody",'caseload data'!$C:$C,'custody %'!$B$29),"")</f>
        <v/>
      </c>
      <c r="G31" s="167" t="str">
        <f>IFERROR(SUMIFS('caseload data'!I:I,'caseload data'!$C:$C,'custody %'!$B$29,'caseload data'!$D:$D,"PO",'caseload data'!$B:$B,"custody")/SUMIFS('caseload data'!I:I,'caseload data'!$B:$B,"custody",'caseload data'!$C:$C,'custody %'!$B$29),"")</f>
        <v/>
      </c>
      <c r="H31" s="167" t="str">
        <f>IFERROR(SUMIFS('caseload data'!J:J,'caseload data'!$C:$C,'custody %'!$B$29,'caseload data'!$D:$D,"PO",'caseload data'!$B:$B,"custody")/SUMIFS('caseload data'!J:J,'caseload data'!$B:$B,"custody",'caseload data'!$C:$C,'custody %'!$B$29),"")</f>
        <v/>
      </c>
      <c r="I31" s="167" t="str">
        <f>IFERROR(SUMIFS('caseload data'!K:K,'caseload data'!$C:$C,'custody %'!$B$29,'caseload data'!$D:$D,"PO",'caseload data'!$B:$B,"custody")/SUMIFS('caseload data'!K:K,'caseload data'!$B:$B,"custody",'caseload data'!$C:$C,'custody %'!$B$29),"")</f>
        <v/>
      </c>
      <c r="J31" s="167" t="str">
        <f>IFERROR(SUMIFS('caseload data'!L:L,'caseload data'!$C:$C,'custody %'!$B$29,'caseload data'!$D:$D,"PO",'caseload data'!$B:$B,"custody")/SUMIFS('caseload data'!L:L,'caseload data'!$B:$B,"custody",'caseload data'!$C:$C,'custody %'!$B$29),"")</f>
        <v/>
      </c>
      <c r="K31" s="167" t="str">
        <f>IFERROR(SUMIFS('caseload data'!M:M,'caseload data'!$C:$C,'custody %'!$B$29,'caseload data'!$D:$D,"PO",'caseload data'!$B:$B,"custody")/SUMIFS('caseload data'!M:M,'caseload data'!$B:$B,"custody",'caseload data'!$C:$C,'custody %'!$B$29),"")</f>
        <v/>
      </c>
      <c r="L31" s="167" t="str">
        <f>IFERROR(SUMIFS('caseload data'!N:N,'caseload data'!$C:$C,'custody %'!$B$29,'caseload data'!$D:$D,"PO",'caseload data'!$B:$B,"custody")/SUMIFS('caseload data'!N:N,'caseload data'!$B:$B,"custody",'caseload data'!$C:$C,'custody %'!$B$29),"")</f>
        <v/>
      </c>
      <c r="M31" s="167" t="str">
        <f>IFERROR(SUMIFS('caseload data'!O:O,'caseload data'!$C:$C,'custody %'!$B$29,'caseload data'!$D:$D,"PO",'caseload data'!$B:$B,"custody")/SUMIFS('caseload data'!O:O,'caseload data'!$B:$B,"custody",'caseload data'!$C:$C,'custody %'!$B$29),"")</f>
        <v/>
      </c>
      <c r="N31" s="167" t="str">
        <f>IFERROR(SUMIFS('caseload data'!P:P,'caseload data'!$C:$C,'custody %'!$B$29,'caseload data'!$D:$D,"PO",'caseload data'!$B:$B,"custody")/SUMIFS('caseload data'!P:P,'caseload data'!$B:$B,"custody",'caseload data'!$C:$C,'custody %'!$B$29),"")</f>
        <v/>
      </c>
      <c r="O31" s="167" t="str">
        <f>IFERROR(SUMIFS('caseload data'!Q:Q,'caseload data'!$C:$C,'custody %'!$B$29,'caseload data'!$D:$D,"PO",'caseload data'!$B:$B,"custody")/SUMIFS('caseload data'!Q:Q,'caseload data'!$B:$B,"custody",'caseload data'!$C:$C,'custody %'!$B$29),"")</f>
        <v/>
      </c>
      <c r="P31" s="167" t="str">
        <f>IFERROR(SUMIFS('caseload data'!R:R,'caseload data'!$C:$C,'custody %'!$B$29,'caseload data'!$D:$D,"PO",'caseload data'!$B:$B,"custody")/SUMIFS('caseload data'!R:R,'caseload data'!$B:$B,"custody",'caseload data'!$C:$C,'custody %'!$B$29),"")</f>
        <v/>
      </c>
      <c r="Q31" s="167" t="str">
        <f>IFERROR(SUMIFS('caseload data'!S:S,'caseload data'!$C:$C,'custody %'!$B$29,'caseload data'!$D:$D,"PO",'caseload data'!$B:$B,"custody")/SUMIFS('caseload data'!S:S,'caseload data'!$B:$B,"custody",'caseload data'!$C:$C,'custody %'!$B$29),"")</f>
        <v/>
      </c>
      <c r="R31" s="167" t="str">
        <f>IFERROR(SUMIFS('caseload data'!T:T,'caseload data'!$C:$C,'custody %'!$B$29,'caseload data'!$D:$D,"PO",'caseload data'!$B:$B,"custody")/SUMIFS('caseload data'!T:T,'caseload data'!$B:$B,"custody",'caseload data'!$C:$C,'custody %'!$B$29),"")</f>
        <v/>
      </c>
      <c r="S31" s="64"/>
      <c r="T31" s="96" t="s">
        <v>947</v>
      </c>
      <c r="U31" s="167" t="str">
        <f>IFERROR(SUMIFS('caseload data'!E:E,'caseload data'!$C:$C,'custody %'!$T$29,'caseload data'!$D:$D,"PO",'caseload data'!$B:$B,"custody")/SUMIFS('caseload data'!E:E,'caseload data'!$B:$B,"custody",'caseload data'!$C:$C,'custody %'!$T$29),"")</f>
        <v/>
      </c>
      <c r="V31" s="167" t="str">
        <f>IFERROR(SUMIFS('caseload data'!F:F,'caseload data'!$C:$C,'custody %'!$T$29,'caseload data'!$D:$D,"PO",'caseload data'!$B:$B,"custody")/SUMIFS('caseload data'!F:F,'caseload data'!$B:$B,"custody",'caseload data'!$C:$C,'custody %'!$T$29),"")</f>
        <v/>
      </c>
      <c r="W31" s="167" t="str">
        <f>IFERROR(SUMIFS('caseload data'!G:G,'caseload data'!$C:$C,'custody %'!$T$29,'caseload data'!$D:$D,"PO",'caseload data'!$B:$B,"custody")/SUMIFS('caseload data'!G:G,'caseload data'!$B:$B,"custody",'caseload data'!$C:$C,'custody %'!$T$29),"")</f>
        <v/>
      </c>
      <c r="X31" s="167" t="str">
        <f>IFERROR(SUMIFS('caseload data'!H:H,'caseload data'!$C:$C,'custody %'!$T$29,'caseload data'!$D:$D,"PO",'caseload data'!$B:$B,"custody")/SUMIFS('caseload data'!H:H,'caseload data'!$B:$B,"custody",'caseload data'!$C:$C,'custody %'!$T$29),"")</f>
        <v/>
      </c>
      <c r="Y31" s="167" t="str">
        <f>IFERROR(SUMIFS('caseload data'!I:I,'caseload data'!$C:$C,'custody %'!$T$29,'caseload data'!$D:$D,"PO",'caseload data'!$B:$B,"custody")/SUMIFS('caseload data'!I:I,'caseload data'!$B:$B,"custody",'caseload data'!$C:$C,'custody %'!$T$29),"")</f>
        <v/>
      </c>
      <c r="Z31" s="167" t="str">
        <f>IFERROR(SUMIFS('caseload data'!J:J,'caseload data'!$C:$C,'custody %'!$T$29,'caseload data'!$D:$D,"PO",'caseload data'!$B:$B,"custody")/SUMIFS('caseload data'!J:J,'caseload data'!$B:$B,"custody",'caseload data'!$C:$C,'custody %'!$T$29),"")</f>
        <v/>
      </c>
      <c r="AA31" s="167" t="str">
        <f>IFERROR(SUMIFS('caseload data'!K:K,'caseload data'!$C:$C,'custody %'!$T$29,'caseload data'!$D:$D,"PO",'caseload data'!$B:$B,"custody")/SUMIFS('caseload data'!K:K,'caseload data'!$B:$B,"custody",'caseload data'!$C:$C,'custody %'!$T$29),"")</f>
        <v/>
      </c>
      <c r="AB31" s="167" t="str">
        <f>IFERROR(SUMIFS('caseload data'!L:L,'caseload data'!$C:$C,'custody %'!$T$29,'caseload data'!$D:$D,"PO",'caseload data'!$B:$B,"custody")/SUMIFS('caseload data'!L:L,'caseload data'!$B:$B,"custody",'caseload data'!$C:$C,'custody %'!$T$29),"")</f>
        <v/>
      </c>
      <c r="AC31" s="167" t="str">
        <f>IFERROR(SUMIFS('caseload data'!M:M,'caseload data'!$C:$C,'custody %'!$T$29,'caseload data'!$D:$D,"PO",'caseload data'!$B:$B,"custody")/SUMIFS('caseload data'!M:M,'caseload data'!$B:$B,"custody",'caseload data'!$C:$C,'custody %'!$T$29),"")</f>
        <v/>
      </c>
      <c r="AD31" s="167" t="str">
        <f>IFERROR(SUMIFS('caseload data'!N:N,'caseload data'!$C:$C,'custody %'!$T$29,'caseload data'!$D:$D,"PO",'caseload data'!$B:$B,"custody")/SUMIFS('caseload data'!N:N,'caseload data'!$B:$B,"custody",'caseload data'!$C:$C,'custody %'!$T$29),"")</f>
        <v/>
      </c>
      <c r="AE31" s="167" t="str">
        <f>IFERROR(SUMIFS('caseload data'!O:O,'caseload data'!$C:$C,'custody %'!$T$29,'caseload data'!$D:$D,"PO",'caseload data'!$B:$B,"custody")/SUMIFS('caseload data'!O:O,'caseload data'!$B:$B,"custody",'caseload data'!$C:$C,'custody %'!$T$29),"")</f>
        <v/>
      </c>
      <c r="AF31" s="167" t="str">
        <f>IFERROR(SUMIFS('caseload data'!P:P,'caseload data'!$C:$C,'custody %'!$T$29,'caseload data'!$D:$D,"PO",'caseload data'!$B:$B,"custody")/SUMIFS('caseload data'!P:P,'caseload data'!$B:$B,"custody",'caseload data'!$C:$C,'custody %'!$T$29),"")</f>
        <v/>
      </c>
      <c r="AG31" s="167" t="str">
        <f>IFERROR(SUMIFS('caseload data'!Q:Q,'caseload data'!$C:$C,'custody %'!$T$29,'caseload data'!$D:$D,"PO",'caseload data'!$B:$B,"custody")/SUMIFS('caseload data'!Q:Q,'caseload data'!$B:$B,"custody",'caseload data'!$C:$C,'custody %'!$T$29),"")</f>
        <v/>
      </c>
      <c r="AH31" s="167" t="str">
        <f>IFERROR(SUMIFS('caseload data'!R:R,'caseload data'!$C:$C,'custody %'!$T$29,'caseload data'!$D:$D,"PO",'caseload data'!$B:$B,"custody")/SUMIFS('caseload data'!R:R,'caseload data'!$B:$B,"custody",'caseload data'!$C:$C,'custody %'!$T$29),"")</f>
        <v/>
      </c>
      <c r="AI31" s="167"/>
      <c r="AJ31" s="167"/>
    </row>
    <row r="32" spans="2:36" x14ac:dyDescent="0.15">
      <c r="B32" s="97" t="s">
        <v>952</v>
      </c>
      <c r="C32" s="167" t="str">
        <f>IFERROR(SUMIFS('caseload data'!E:E,'caseload data'!$C:$C,'custody %'!$B$29,'caseload data'!$D:$D,"PSO",'caseload data'!$B:$B,"custody")/SUMIFS('caseload data'!E:E,'caseload data'!$B:$B,"custody",'caseload data'!$C:$C,'custody %'!$B$29),"")</f>
        <v/>
      </c>
      <c r="D32" s="167" t="str">
        <f>IFERROR(SUMIFS('caseload data'!F:F,'caseload data'!$C:$C,'custody %'!$B$29,'caseload data'!$D:$D,"PSO",'caseload data'!$B:$B,"custody")/SUMIFS('caseload data'!F:F,'caseload data'!$B:$B,"custody",'caseload data'!$C:$C,'custody %'!$B$29),"")</f>
        <v/>
      </c>
      <c r="E32" s="167" t="str">
        <f>IFERROR(SUMIFS('caseload data'!G:G,'caseload data'!$C:$C,'custody %'!$B$29,'caseload data'!$D:$D,"PSO",'caseload data'!$B:$B,"custody")/SUMIFS('caseload data'!G:G,'caseload data'!$B:$B,"custody",'caseload data'!$C:$C,'custody %'!$B$29),"")</f>
        <v/>
      </c>
      <c r="F32" s="167" t="str">
        <f>IFERROR(SUMIFS('caseload data'!H:H,'caseload data'!$C:$C,'custody %'!$B$29,'caseload data'!$D:$D,"PSO",'caseload data'!$B:$B,"custody")/SUMIFS('caseload data'!H:H,'caseload data'!$B:$B,"custody",'caseload data'!$C:$C,'custody %'!$B$29),"")</f>
        <v/>
      </c>
      <c r="G32" s="167" t="str">
        <f>IFERROR(SUMIFS('caseload data'!I:I,'caseload data'!$C:$C,'custody %'!$B$29,'caseload data'!$D:$D,"PSO",'caseload data'!$B:$B,"custody")/SUMIFS('caseload data'!I:I,'caseload data'!$B:$B,"custody",'caseload data'!$C:$C,'custody %'!$B$29),"")</f>
        <v/>
      </c>
      <c r="H32" s="167" t="str">
        <f>IFERROR(SUMIFS('caseload data'!J:J,'caseload data'!$C:$C,'custody %'!$B$29,'caseload data'!$D:$D,"PSO",'caseload data'!$B:$B,"custody")/SUMIFS('caseload data'!J:J,'caseload data'!$B:$B,"custody",'caseload data'!$C:$C,'custody %'!$B$29),"")</f>
        <v/>
      </c>
      <c r="I32" s="167" t="str">
        <f>IFERROR(SUMIFS('caseload data'!K:K,'caseload data'!$C:$C,'custody %'!$B$29,'caseload data'!$D:$D,"PSO",'caseload data'!$B:$B,"custody")/SUMIFS('caseload data'!K:K,'caseload data'!$B:$B,"custody",'caseload data'!$C:$C,'custody %'!$B$29),"")</f>
        <v/>
      </c>
      <c r="J32" s="167" t="str">
        <f>IFERROR(SUMIFS('caseload data'!L:L,'caseload data'!$C:$C,'custody %'!$B$29,'caseload data'!$D:$D,"PSO",'caseload data'!$B:$B,"custody")/SUMIFS('caseload data'!L:L,'caseload data'!$B:$B,"custody",'caseload data'!$C:$C,'custody %'!$B$29),"")</f>
        <v/>
      </c>
      <c r="K32" s="167" t="str">
        <f>IFERROR(SUMIFS('caseload data'!M:M,'caseload data'!$C:$C,'custody %'!$B$29,'caseload data'!$D:$D,"PSO",'caseload data'!$B:$B,"custody")/SUMIFS('caseload data'!M:M,'caseload data'!$B:$B,"custody",'caseload data'!$C:$C,'custody %'!$B$29),"")</f>
        <v/>
      </c>
      <c r="L32" s="167" t="str">
        <f>IFERROR(SUMIFS('caseload data'!N:N,'caseload data'!$C:$C,'custody %'!$B$29,'caseload data'!$D:$D,"PSO",'caseload data'!$B:$B,"custody")/SUMIFS('caseload data'!N:N,'caseload data'!$B:$B,"custody",'caseload data'!$C:$C,'custody %'!$B$29),"")</f>
        <v/>
      </c>
      <c r="M32" s="167" t="str">
        <f>IFERROR(SUMIFS('caseload data'!O:O,'caseload data'!$C:$C,'custody %'!$B$29,'caseload data'!$D:$D,"PSO",'caseload data'!$B:$B,"custody")/SUMIFS('caseload data'!O:O,'caseload data'!$B:$B,"custody",'caseload data'!$C:$C,'custody %'!$B$29),"")</f>
        <v/>
      </c>
      <c r="N32" s="167" t="str">
        <f>IFERROR(SUMIFS('caseload data'!P:P,'caseload data'!$C:$C,'custody %'!$B$29,'caseload data'!$D:$D,"PSO",'caseload data'!$B:$B,"custody")/SUMIFS('caseload data'!P:P,'caseload data'!$B:$B,"custody",'caseload data'!$C:$C,'custody %'!$B$29),"")</f>
        <v/>
      </c>
      <c r="O32" s="167" t="str">
        <f>IFERROR(SUMIFS('caseload data'!Q:Q,'caseload data'!$C:$C,'custody %'!$B$29,'caseload data'!$D:$D,"PSO",'caseload data'!$B:$B,"custody")/SUMIFS('caseload data'!Q:Q,'caseload data'!$B:$B,"custody",'caseload data'!$C:$C,'custody %'!$B$29),"")</f>
        <v/>
      </c>
      <c r="P32" s="167" t="str">
        <f>IFERROR(SUMIFS('caseload data'!R:R,'caseload data'!$C:$C,'custody %'!$B$29,'caseload data'!$D:$D,"PSO",'caseload data'!$B:$B,"custody")/SUMIFS('caseload data'!R:R,'caseload data'!$B:$B,"custody",'caseload data'!$C:$C,'custody %'!$B$29),"")</f>
        <v/>
      </c>
      <c r="Q32" s="167" t="str">
        <f>IFERROR(SUMIFS('caseload data'!S:S,'caseload data'!$C:$C,'custody %'!$B$29,'caseload data'!$D:$D,"PSO",'caseload data'!$B:$B,"custody")/SUMIFS('caseload data'!S:S,'caseload data'!$B:$B,"custody",'caseload data'!$C:$C,'custody %'!$B$29),"")</f>
        <v/>
      </c>
      <c r="R32" s="167" t="str">
        <f>IFERROR(SUMIFS('caseload data'!T:T,'caseload data'!$C:$C,'custody %'!$B$29,'caseload data'!$D:$D,"PSO",'caseload data'!$B:$B,"custody")/SUMIFS('caseload data'!T:T,'caseload data'!$B:$B,"custody",'caseload data'!$C:$C,'custody %'!$B$29),"")</f>
        <v/>
      </c>
      <c r="S32" s="64"/>
      <c r="T32" s="97" t="s">
        <v>952</v>
      </c>
      <c r="U32" s="167" t="str">
        <f>IFERROR(SUMIFS('caseload data'!E:E,'caseload data'!$C:$C,'custody %'!$T$29,'caseload data'!$D:$D,"PSO",'caseload data'!$B:$B,"custody")/SUMIFS('caseload data'!E:E,'caseload data'!$B:$B,"custody",'caseload data'!$C:$C,'custody %'!$T$29),"")</f>
        <v/>
      </c>
      <c r="V32" s="167" t="str">
        <f>IFERROR(SUMIFS('caseload data'!F:F,'caseload data'!$C:$C,'custody %'!$T$29,'caseload data'!$D:$D,"PSO",'caseload data'!$B:$B,"custody")/SUMIFS('caseload data'!F:F,'caseload data'!$B:$B,"custody",'caseload data'!$C:$C,'custody %'!$T$29),"")</f>
        <v/>
      </c>
      <c r="W32" s="167" t="str">
        <f>IFERROR(SUMIFS('caseload data'!G:G,'caseload data'!$C:$C,'custody %'!$T$29,'caseload data'!$D:$D,"PSO",'caseload data'!$B:$B,"custody")/SUMIFS('caseload data'!G:G,'caseload data'!$B:$B,"custody",'caseload data'!$C:$C,'custody %'!$T$29),"")</f>
        <v/>
      </c>
      <c r="X32" s="167" t="str">
        <f>IFERROR(SUMIFS('caseload data'!H:H,'caseload data'!$C:$C,'custody %'!$T$29,'caseload data'!$D:$D,"PSO",'caseload data'!$B:$B,"custody")/SUMIFS('caseload data'!H:H,'caseload data'!$B:$B,"custody",'caseload data'!$C:$C,'custody %'!$T$29),"")</f>
        <v/>
      </c>
      <c r="Y32" s="167" t="str">
        <f>IFERROR(SUMIFS('caseload data'!I:I,'caseload data'!$C:$C,'custody %'!$T$29,'caseload data'!$D:$D,"PSO",'caseload data'!$B:$B,"custody")/SUMIFS('caseload data'!I:I,'caseload data'!$B:$B,"custody",'caseload data'!$C:$C,'custody %'!$T$29),"")</f>
        <v/>
      </c>
      <c r="Z32" s="167" t="str">
        <f>IFERROR(SUMIFS('caseload data'!J:J,'caseload data'!$C:$C,'custody %'!$T$29,'caseload data'!$D:$D,"PSO",'caseload data'!$B:$B,"custody")/SUMIFS('caseload data'!J:J,'caseload data'!$B:$B,"custody",'caseload data'!$C:$C,'custody %'!$T$29),"")</f>
        <v/>
      </c>
      <c r="AA32" s="167" t="str">
        <f>IFERROR(SUMIFS('caseload data'!K:K,'caseload data'!$C:$C,'custody %'!$T$29,'caseload data'!$D:$D,"PSO",'caseload data'!$B:$B,"custody")/SUMIFS('caseload data'!K:K,'caseload data'!$B:$B,"custody",'caseload data'!$C:$C,'custody %'!$T$29),"")</f>
        <v/>
      </c>
      <c r="AB32" s="167" t="str">
        <f>IFERROR(SUMIFS('caseload data'!L:L,'caseload data'!$C:$C,'custody %'!$T$29,'caseload data'!$D:$D,"PSO",'caseload data'!$B:$B,"custody")/SUMIFS('caseload data'!L:L,'caseload data'!$B:$B,"custody",'caseload data'!$C:$C,'custody %'!$T$29),"")</f>
        <v/>
      </c>
      <c r="AC32" s="167" t="str">
        <f>IFERROR(SUMIFS('caseload data'!M:M,'caseload data'!$C:$C,'custody %'!$T$29,'caseload data'!$D:$D,"PSO",'caseload data'!$B:$B,"custody")/SUMIFS('caseload data'!M:M,'caseload data'!$B:$B,"custody",'caseload data'!$C:$C,'custody %'!$T$29),"")</f>
        <v/>
      </c>
      <c r="AD32" s="167" t="str">
        <f>IFERROR(SUMIFS('caseload data'!N:N,'caseload data'!$C:$C,'custody %'!$T$29,'caseload data'!$D:$D,"PSO",'caseload data'!$B:$B,"custody")/SUMIFS('caseload data'!N:N,'caseload data'!$B:$B,"custody",'caseload data'!$C:$C,'custody %'!$T$29),"")</f>
        <v/>
      </c>
      <c r="AE32" s="167" t="str">
        <f>IFERROR(SUMIFS('caseload data'!O:O,'caseload data'!$C:$C,'custody %'!$T$29,'caseload data'!$D:$D,"PSO",'caseload data'!$B:$B,"custody")/SUMIFS('caseload data'!O:O,'caseload data'!$B:$B,"custody",'caseload data'!$C:$C,'custody %'!$T$29),"")</f>
        <v/>
      </c>
      <c r="AF32" s="167" t="str">
        <f>IFERROR(SUMIFS('caseload data'!P:P,'caseload data'!$C:$C,'custody %'!$T$29,'caseload data'!$D:$D,"PSO",'caseload data'!$B:$B,"custody")/SUMIFS('caseload data'!P:P,'caseload data'!$B:$B,"custody",'caseload data'!$C:$C,'custody %'!$T$29),"")</f>
        <v/>
      </c>
      <c r="AG32" s="167" t="str">
        <f>IFERROR(SUMIFS('caseload data'!Q:Q,'caseload data'!$C:$C,'custody %'!$T$29,'caseload data'!$D:$D,"PSO",'caseload data'!$B:$B,"custody")/SUMIFS('caseload data'!Q:Q,'caseload data'!$B:$B,"custody",'caseload data'!$C:$C,'custody %'!$T$29),"")</f>
        <v/>
      </c>
      <c r="AH32" s="167" t="str">
        <f>IFERROR(SUMIFS('caseload data'!R:R,'caseload data'!$C:$C,'custody %'!$T$29,'caseload data'!$D:$D,"PSO",'caseload data'!$B:$B,"custody")/SUMIFS('caseload data'!R:R,'caseload data'!$B:$B,"custody",'caseload data'!$C:$C,'custody %'!$T$29),"")</f>
        <v/>
      </c>
      <c r="AI32" s="167"/>
      <c r="AJ32" s="167"/>
    </row>
    <row r="33" spans="2:36" x14ac:dyDescent="0.15">
      <c r="B33" s="97" t="s">
        <v>953</v>
      </c>
      <c r="C33" s="167" t="str">
        <f>IFERROR(SUMIFS('caseload data'!E:E,'caseload data'!$C:$C,'custody %'!$B$29,'caseload data'!$D:$D,"TPO",'caseload data'!$B:$B,"custody")/SUMIFS('caseload data'!E:E,'caseload data'!$B:$B,"custody",'caseload data'!$C:$C,'custody %'!$B$29),"")</f>
        <v/>
      </c>
      <c r="D33" s="167" t="str">
        <f>IFERROR(SUMIFS('caseload data'!F:F,'caseload data'!$C:$C,'custody %'!$B$29,'caseload data'!$D:$D,"TPO",'caseload data'!$B:$B,"custody")/SUMIFS('caseload data'!F:F,'caseload data'!$B:$B,"custody",'caseload data'!$C:$C,'custody %'!$B$29),"")</f>
        <v/>
      </c>
      <c r="E33" s="167" t="str">
        <f>IFERROR(SUMIFS('caseload data'!G:G,'caseload data'!$C:$C,'custody %'!$B$29,'caseload data'!$D:$D,"TPO",'caseload data'!$B:$B,"custody")/SUMIFS('caseload data'!G:G,'caseload data'!$B:$B,"custody",'caseload data'!$C:$C,'custody %'!$B$29),"")</f>
        <v/>
      </c>
      <c r="F33" s="167" t="str">
        <f>IFERROR(SUMIFS('caseload data'!H:H,'caseload data'!$C:$C,'custody %'!$B$29,'caseload data'!$D:$D,"TPO",'caseload data'!$B:$B,"custody")/SUMIFS('caseload data'!H:H,'caseload data'!$B:$B,"custody",'caseload data'!$C:$C,'custody %'!$B$29),"")</f>
        <v/>
      </c>
      <c r="G33" s="167" t="str">
        <f>IFERROR(SUMIFS('caseload data'!I:I,'caseload data'!$C:$C,'custody %'!$B$29,'caseload data'!$D:$D,"TPO",'caseload data'!$B:$B,"custody")/SUMIFS('caseload data'!I:I,'caseload data'!$B:$B,"custody",'caseload data'!$C:$C,'custody %'!$B$29),"")</f>
        <v/>
      </c>
      <c r="H33" s="167" t="str">
        <f>IFERROR(SUMIFS('caseload data'!J:J,'caseload data'!$C:$C,'custody %'!$B$29,'caseload data'!$D:$D,"TPO",'caseload data'!$B:$B,"custody")/SUMIFS('caseload data'!J:J,'caseload data'!$B:$B,"custody",'caseload data'!$C:$C,'custody %'!$B$29),"")</f>
        <v/>
      </c>
      <c r="I33" s="167" t="str">
        <f>IFERROR(SUMIFS('caseload data'!K:K,'caseload data'!$C:$C,'custody %'!$B$29,'caseload data'!$D:$D,"TPO",'caseload data'!$B:$B,"custody")/SUMIFS('caseload data'!K:K,'caseload data'!$B:$B,"custody",'caseload data'!$C:$C,'custody %'!$B$29),"")</f>
        <v/>
      </c>
      <c r="J33" s="167" t="str">
        <f>IFERROR(SUMIFS('caseload data'!L:L,'caseload data'!$C:$C,'custody %'!$B$29,'caseload data'!$D:$D,"TPO",'caseload data'!$B:$B,"custody")/SUMIFS('caseload data'!L:L,'caseload data'!$B:$B,"custody",'caseload data'!$C:$C,'custody %'!$B$29),"")</f>
        <v/>
      </c>
      <c r="K33" s="167" t="str">
        <f>IFERROR(SUMIFS('caseload data'!M:M,'caseload data'!$C:$C,'custody %'!$B$29,'caseload data'!$D:$D,"TPO",'caseload data'!$B:$B,"custody")/SUMIFS('caseload data'!M:M,'caseload data'!$B:$B,"custody",'caseload data'!$C:$C,'custody %'!$B$29),"")</f>
        <v/>
      </c>
      <c r="L33" s="167" t="str">
        <f>IFERROR(SUMIFS('caseload data'!N:N,'caseload data'!$C:$C,'custody %'!$B$29,'caseload data'!$D:$D,"TPO",'caseload data'!$B:$B,"custody")/SUMIFS('caseload data'!N:N,'caseload data'!$B:$B,"custody",'caseload data'!$C:$C,'custody %'!$B$29),"")</f>
        <v/>
      </c>
      <c r="M33" s="167" t="str">
        <f>IFERROR(SUMIFS('caseload data'!O:O,'caseload data'!$C:$C,'custody %'!$B$29,'caseload data'!$D:$D,"TPO",'caseload data'!$B:$B,"custody")/SUMIFS('caseload data'!O:O,'caseload data'!$B:$B,"custody",'caseload data'!$C:$C,'custody %'!$B$29),"")</f>
        <v/>
      </c>
      <c r="N33" s="167" t="str">
        <f>IFERROR(SUMIFS('caseload data'!P:P,'caseload data'!$C:$C,'custody %'!$B$29,'caseload data'!$D:$D,"TPO",'caseload data'!$B:$B,"custody")/SUMIFS('caseload data'!P:P,'caseload data'!$B:$B,"custody",'caseload data'!$C:$C,'custody %'!$B$29),"")</f>
        <v/>
      </c>
      <c r="O33" s="167" t="str">
        <f>IFERROR(SUMIFS('caseload data'!Q:Q,'caseload data'!$C:$C,'custody %'!$B$29,'caseload data'!$D:$D,"TPO",'caseload data'!$B:$B,"custody")/SUMIFS('caseload data'!Q:Q,'caseload data'!$B:$B,"custody",'caseload data'!$C:$C,'custody %'!$B$29),"")</f>
        <v/>
      </c>
      <c r="P33" s="167" t="str">
        <f>IFERROR(SUMIFS('caseload data'!R:R,'caseload data'!$C:$C,'custody %'!$B$29,'caseload data'!$D:$D,"TPO",'caseload data'!$B:$B,"custody")/SUMIFS('caseload data'!R:R,'caseload data'!$B:$B,"custody",'caseload data'!$C:$C,'custody %'!$B$29),"")</f>
        <v/>
      </c>
      <c r="Q33" s="167" t="str">
        <f>IFERROR(SUMIFS('caseload data'!S:S,'caseload data'!$C:$C,'custody %'!$B$29,'caseload data'!$D:$D,"TPO",'caseload data'!$B:$B,"custody")/SUMIFS('caseload data'!S:S,'caseload data'!$B:$B,"custody",'caseload data'!$C:$C,'custody %'!$B$29),"")</f>
        <v/>
      </c>
      <c r="R33" s="167" t="str">
        <f>IFERROR(SUMIFS('caseload data'!T:T,'caseload data'!$C:$C,'custody %'!$B$29,'caseload data'!$D:$D,"TPO",'caseload data'!$B:$B,"custody")/SUMIFS('caseload data'!T:T,'caseload data'!$B:$B,"custody",'caseload data'!$C:$C,'custody %'!$B$29),"")</f>
        <v/>
      </c>
      <c r="S33" s="64"/>
      <c r="T33" s="97" t="s">
        <v>953</v>
      </c>
      <c r="U33" s="167" t="str">
        <f>IFERROR(SUMIFS('caseload data'!E:E,'caseload data'!$C:$C,'custody %'!$T$29,'caseload data'!$D:$D,"TPO",'caseload data'!$B:$B,"custody")/SUMIFS('caseload data'!E:E,'caseload data'!$B:$B,"custody",'caseload data'!$C:$C,'custody %'!$T$29),"")</f>
        <v/>
      </c>
      <c r="V33" s="167" t="str">
        <f>IFERROR(SUMIFS('caseload data'!F:F,'caseload data'!$C:$C,'custody %'!$T$29,'caseload data'!$D:$D,"TPO",'caseload data'!$B:$B,"custody")/SUMIFS('caseload data'!F:F,'caseload data'!$B:$B,"custody",'caseload data'!$C:$C,'custody %'!$T$29),"")</f>
        <v/>
      </c>
      <c r="W33" s="167" t="str">
        <f>IFERROR(SUMIFS('caseload data'!G:G,'caseload data'!$C:$C,'custody %'!$T$29,'caseload data'!$D:$D,"TPO",'caseload data'!$B:$B,"custody")/SUMIFS('caseload data'!G:G,'caseload data'!$B:$B,"custody",'caseload data'!$C:$C,'custody %'!$T$29),"")</f>
        <v/>
      </c>
      <c r="X33" s="167" t="str">
        <f>IFERROR(SUMIFS('caseload data'!H:H,'caseload data'!$C:$C,'custody %'!$T$29,'caseload data'!$D:$D,"TPO",'caseload data'!$B:$B,"custody")/SUMIFS('caseload data'!H:H,'caseload data'!$B:$B,"custody",'caseload data'!$C:$C,'custody %'!$T$29),"")</f>
        <v/>
      </c>
      <c r="Y33" s="167" t="str">
        <f>IFERROR(SUMIFS('caseload data'!I:I,'caseload data'!$C:$C,'custody %'!$T$29,'caseload data'!$D:$D,"TPO",'caseload data'!$B:$B,"custody")/SUMIFS('caseload data'!I:I,'caseload data'!$B:$B,"custody",'caseload data'!$C:$C,'custody %'!$T$29),"")</f>
        <v/>
      </c>
      <c r="Z33" s="167" t="str">
        <f>IFERROR(SUMIFS('caseload data'!J:J,'caseload data'!$C:$C,'custody %'!$T$29,'caseload data'!$D:$D,"TPO",'caseload data'!$B:$B,"custody")/SUMIFS('caseload data'!J:J,'caseload data'!$B:$B,"custody",'caseload data'!$C:$C,'custody %'!$T$29),"")</f>
        <v/>
      </c>
      <c r="AA33" s="167" t="str">
        <f>IFERROR(SUMIFS('caseload data'!K:K,'caseload data'!$C:$C,'custody %'!$T$29,'caseload data'!$D:$D,"TPO",'caseload data'!$B:$B,"custody")/SUMIFS('caseload data'!K:K,'caseload data'!$B:$B,"custody",'caseload data'!$C:$C,'custody %'!$T$29),"")</f>
        <v/>
      </c>
      <c r="AB33" s="167" t="str">
        <f>IFERROR(SUMIFS('caseload data'!L:L,'caseload data'!$C:$C,'custody %'!$T$29,'caseload data'!$D:$D,"TPO",'caseload data'!$B:$B,"custody")/SUMIFS('caseload data'!L:L,'caseload data'!$B:$B,"custody",'caseload data'!$C:$C,'custody %'!$T$29),"")</f>
        <v/>
      </c>
      <c r="AC33" s="167" t="str">
        <f>IFERROR(SUMIFS('caseload data'!M:M,'caseload data'!$C:$C,'custody %'!$T$29,'caseload data'!$D:$D,"TPO",'caseload data'!$B:$B,"custody")/SUMIFS('caseload data'!M:M,'caseload data'!$B:$B,"custody",'caseload data'!$C:$C,'custody %'!$T$29),"")</f>
        <v/>
      </c>
      <c r="AD33" s="167" t="str">
        <f>IFERROR(SUMIFS('caseload data'!N:N,'caseload data'!$C:$C,'custody %'!$T$29,'caseload data'!$D:$D,"TPO",'caseload data'!$B:$B,"custody")/SUMIFS('caseload data'!N:N,'caseload data'!$B:$B,"custody",'caseload data'!$C:$C,'custody %'!$T$29),"")</f>
        <v/>
      </c>
      <c r="AE33" s="167" t="str">
        <f>IFERROR(SUMIFS('caseload data'!O:O,'caseload data'!$C:$C,'custody %'!$T$29,'caseload data'!$D:$D,"TPO",'caseload data'!$B:$B,"custody")/SUMIFS('caseload data'!O:O,'caseload data'!$B:$B,"custody",'caseload data'!$C:$C,'custody %'!$T$29),"")</f>
        <v/>
      </c>
      <c r="AF33" s="167" t="str">
        <f>IFERROR(SUMIFS('caseload data'!P:P,'caseload data'!$C:$C,'custody %'!$T$29,'caseload data'!$D:$D,"TPO",'caseload data'!$B:$B,"custody")/SUMIFS('caseload data'!P:P,'caseload data'!$B:$B,"custody",'caseload data'!$C:$C,'custody %'!$T$29),"")</f>
        <v/>
      </c>
      <c r="AG33" s="167" t="str">
        <f>IFERROR(SUMIFS('caseload data'!Q:Q,'caseload data'!$C:$C,'custody %'!$T$29,'caseload data'!$D:$D,"TPO",'caseload data'!$B:$B,"custody")/SUMIFS('caseload data'!Q:Q,'caseload data'!$B:$B,"custody",'caseload data'!$C:$C,'custody %'!$T$29),"")</f>
        <v/>
      </c>
      <c r="AH33" s="167" t="str">
        <f>IFERROR(SUMIFS('caseload data'!R:R,'caseload data'!$C:$C,'custody %'!$T$29,'caseload data'!$D:$D,"TPO",'caseload data'!$B:$B,"custody")/SUMIFS('caseload data'!R:R,'caseload data'!$B:$B,"custody",'caseload data'!$C:$C,'custody %'!$T$29),"")</f>
        <v/>
      </c>
      <c r="AI33" s="167"/>
      <c r="AJ33" s="167"/>
    </row>
    <row r="34" spans="2:36" x14ac:dyDescent="0.15">
      <c r="B34" s="98" t="s">
        <v>954</v>
      </c>
      <c r="C34" s="167" t="str">
        <f>IFERROR(SUMIFS('caseload data'!E:E,'caseload data'!$C:$C,'custody %'!$B$29,'caseload data'!$D:$D,"SPO",'caseload data'!$B:$B,"custody")/SUMIFS('caseload data'!E:E,'caseload data'!$B:$B,"custody",'caseload data'!$C:$C,'custody %'!$B$29),"")</f>
        <v/>
      </c>
      <c r="D34" s="167" t="str">
        <f>IFERROR(SUMIFS('caseload data'!F:F,'caseload data'!$C:$C,'custody %'!$B$29,'caseload data'!$D:$D,"SPO",'caseload data'!$B:$B,"custody")/SUMIFS('caseload data'!F:F,'caseload data'!$B:$B,"custody",'caseload data'!$C:$C,'custody %'!$B$29),"")</f>
        <v/>
      </c>
      <c r="E34" s="167" t="str">
        <f>IFERROR(SUMIFS('caseload data'!G:G,'caseload data'!$C:$C,'custody %'!$B$29,'caseload data'!$D:$D,"SPO",'caseload data'!$B:$B,"custody")/SUMIFS('caseload data'!G:G,'caseload data'!$B:$B,"custody",'caseload data'!$C:$C,'custody %'!$B$29),"")</f>
        <v/>
      </c>
      <c r="F34" s="167" t="str">
        <f>IFERROR(SUMIFS('caseload data'!H:H,'caseload data'!$C:$C,'custody %'!$B$29,'caseload data'!$D:$D,"SPO",'caseload data'!$B:$B,"custody")/SUMIFS('caseload data'!H:H,'caseload data'!$B:$B,"custody",'caseload data'!$C:$C,'custody %'!$B$29),"")</f>
        <v/>
      </c>
      <c r="G34" s="167" t="str">
        <f>IFERROR(SUMIFS('caseload data'!I:I,'caseload data'!$C:$C,'custody %'!$B$29,'caseload data'!$D:$D,"SPO",'caseload data'!$B:$B,"custody")/SUMIFS('caseload data'!I:I,'caseload data'!$B:$B,"custody",'caseload data'!$C:$C,'custody %'!$B$29),"")</f>
        <v/>
      </c>
      <c r="H34" s="167" t="str">
        <f>IFERROR(SUMIFS('caseload data'!J:J,'caseload data'!$C:$C,'custody %'!$B$29,'caseload data'!$D:$D,"SPO",'caseload data'!$B:$B,"custody")/SUMIFS('caseload data'!J:J,'caseload data'!$B:$B,"custody",'caseload data'!$C:$C,'custody %'!$B$29),"")</f>
        <v/>
      </c>
      <c r="I34" s="167" t="str">
        <f>IFERROR(SUMIFS('caseload data'!K:K,'caseload data'!$C:$C,'custody %'!$B$29,'caseload data'!$D:$D,"SPO",'caseload data'!$B:$B,"custody")/SUMIFS('caseload data'!K:K,'caseload data'!$B:$B,"custody",'caseload data'!$C:$C,'custody %'!$B$29),"")</f>
        <v/>
      </c>
      <c r="J34" s="167" t="str">
        <f>IFERROR(SUMIFS('caseload data'!L:L,'caseload data'!$C:$C,'custody %'!$B$29,'caseload data'!$D:$D,"SPO",'caseload data'!$B:$B,"custody")/SUMIFS('caseload data'!L:L,'caseload data'!$B:$B,"custody",'caseload data'!$C:$C,'custody %'!$B$29),"")</f>
        <v/>
      </c>
      <c r="K34" s="167" t="str">
        <f>IFERROR(SUMIFS('caseload data'!M:M,'caseload data'!$C:$C,'custody %'!$B$29,'caseload data'!$D:$D,"SPO",'caseload data'!$B:$B,"custody")/SUMIFS('caseload data'!M:M,'caseload data'!$B:$B,"custody",'caseload data'!$C:$C,'custody %'!$B$29),"")</f>
        <v/>
      </c>
      <c r="L34" s="167" t="str">
        <f>IFERROR(SUMIFS('caseload data'!N:N,'caseload data'!$C:$C,'custody %'!$B$29,'caseload data'!$D:$D,"SPO",'caseload data'!$B:$B,"custody")/SUMIFS('caseload data'!N:N,'caseload data'!$B:$B,"custody",'caseload data'!$C:$C,'custody %'!$B$29),"")</f>
        <v/>
      </c>
      <c r="M34" s="167" t="str">
        <f>IFERROR(SUMIFS('caseload data'!O:O,'caseload data'!$C:$C,'custody %'!$B$29,'caseload data'!$D:$D,"SPO",'caseload data'!$B:$B,"custody")/SUMIFS('caseload data'!O:O,'caseload data'!$B:$B,"custody",'caseload data'!$C:$C,'custody %'!$B$29),"")</f>
        <v/>
      </c>
      <c r="N34" s="167" t="str">
        <f>IFERROR(SUMIFS('caseload data'!P:P,'caseload data'!$C:$C,'custody %'!$B$29,'caseload data'!$D:$D,"SPO",'caseload data'!$B:$B,"custody")/SUMIFS('caseload data'!P:P,'caseload data'!$B:$B,"custody",'caseload data'!$C:$C,'custody %'!$B$29),"")</f>
        <v/>
      </c>
      <c r="O34" s="167" t="str">
        <f>IFERROR(SUMIFS('caseload data'!Q:Q,'caseload data'!$C:$C,'custody %'!$B$29,'caseload data'!$D:$D,"SPO",'caseload data'!$B:$B,"custody")/SUMIFS('caseload data'!Q:Q,'caseload data'!$B:$B,"custody",'caseload data'!$C:$C,'custody %'!$B$29),"")</f>
        <v/>
      </c>
      <c r="P34" s="167" t="str">
        <f>IFERROR(SUMIFS('caseload data'!R:R,'caseload data'!$C:$C,'custody %'!$B$29,'caseload data'!$D:$D,"SPO",'caseload data'!$B:$B,"custody")/SUMIFS('caseload data'!R:R,'caseload data'!$B:$B,"custody",'caseload data'!$C:$C,'custody %'!$B$29),"")</f>
        <v/>
      </c>
      <c r="Q34" s="167" t="str">
        <f>IFERROR(SUMIFS('caseload data'!S:S,'caseload data'!$C:$C,'custody %'!$B$29,'caseload data'!$D:$D,"SPO",'caseload data'!$B:$B,"custody")/SUMIFS('caseload data'!S:S,'caseload data'!$B:$B,"custody",'caseload data'!$C:$C,'custody %'!$B$29),"")</f>
        <v/>
      </c>
      <c r="R34" s="167" t="str">
        <f>IFERROR(SUMIFS('caseload data'!T:T,'caseload data'!$C:$C,'custody %'!$B$29,'caseload data'!$D:$D,"SPO",'caseload data'!$B:$B,"custody")/SUMIFS('caseload data'!T:T,'caseload data'!$B:$B,"custody",'caseload data'!$C:$C,'custody %'!$B$29),"")</f>
        <v/>
      </c>
      <c r="S34" s="64"/>
      <c r="T34" s="98" t="s">
        <v>954</v>
      </c>
      <c r="U34" s="167" t="str">
        <f>IFERROR(SUMIFS('caseload data'!E:E,'caseload data'!$C:$C,'custody %'!$T$29,'caseload data'!$D:$D,"SPO",'caseload data'!$B:$B,"custody")/SUMIFS('caseload data'!E:E,'caseload data'!$B:$B,"custody",'caseload data'!$C:$C,'custody %'!$T$29),"")</f>
        <v/>
      </c>
      <c r="V34" s="167" t="str">
        <f>IFERROR(SUMIFS('caseload data'!F:F,'caseload data'!$C:$C,'custody %'!$T$29,'caseload data'!$D:$D,"SPO",'caseload data'!$B:$B,"custody")/SUMIFS('caseload data'!F:F,'caseload data'!$B:$B,"custody",'caseload data'!$C:$C,'custody %'!$T$29),"")</f>
        <v/>
      </c>
      <c r="W34" s="167" t="str">
        <f>IFERROR(SUMIFS('caseload data'!G:G,'caseload data'!$C:$C,'custody %'!$T$29,'caseload data'!$D:$D,"SPO",'caseload data'!$B:$B,"custody")/SUMIFS('caseload data'!G:G,'caseload data'!$B:$B,"custody",'caseload data'!$C:$C,'custody %'!$T$29),"")</f>
        <v/>
      </c>
      <c r="X34" s="167" t="str">
        <f>IFERROR(SUMIFS('caseload data'!H:H,'caseload data'!$C:$C,'custody %'!$T$29,'caseload data'!$D:$D,"SPO",'caseload data'!$B:$B,"custody")/SUMIFS('caseload data'!H:H,'caseload data'!$B:$B,"custody",'caseload data'!$C:$C,'custody %'!$T$29),"")</f>
        <v/>
      </c>
      <c r="Y34" s="167" t="str">
        <f>IFERROR(SUMIFS('caseload data'!I:I,'caseload data'!$C:$C,'custody %'!$T$29,'caseload data'!$D:$D,"SPO",'caseload data'!$B:$B,"custody")/SUMIFS('caseload data'!I:I,'caseload data'!$B:$B,"custody",'caseload data'!$C:$C,'custody %'!$T$29),"")</f>
        <v/>
      </c>
      <c r="Z34" s="167" t="str">
        <f>IFERROR(SUMIFS('caseload data'!J:J,'caseload data'!$C:$C,'custody %'!$T$29,'caseload data'!$D:$D,"SPO",'caseload data'!$B:$B,"custody")/SUMIFS('caseload data'!J:J,'caseload data'!$B:$B,"custody",'caseload data'!$C:$C,'custody %'!$T$29),"")</f>
        <v/>
      </c>
      <c r="AA34" s="167" t="str">
        <f>IFERROR(SUMIFS('caseload data'!K:K,'caseload data'!$C:$C,'custody %'!$T$29,'caseload data'!$D:$D,"SPO",'caseload data'!$B:$B,"custody")/SUMIFS('caseload data'!K:K,'caseload data'!$B:$B,"custody",'caseload data'!$C:$C,'custody %'!$T$29),"")</f>
        <v/>
      </c>
      <c r="AB34" s="167" t="str">
        <f>IFERROR(SUMIFS('caseload data'!L:L,'caseload data'!$C:$C,'custody %'!$T$29,'caseload data'!$D:$D,"SPO",'caseload data'!$B:$B,"custody")/SUMIFS('caseload data'!L:L,'caseload data'!$B:$B,"custody",'caseload data'!$C:$C,'custody %'!$T$29),"")</f>
        <v/>
      </c>
      <c r="AC34" s="167" t="str">
        <f>IFERROR(SUMIFS('caseload data'!M:M,'caseload data'!$C:$C,'custody %'!$T$29,'caseload data'!$D:$D,"SPO",'caseload data'!$B:$B,"custody")/SUMIFS('caseload data'!M:M,'caseload data'!$B:$B,"custody",'caseload data'!$C:$C,'custody %'!$T$29),"")</f>
        <v/>
      </c>
      <c r="AD34" s="167" t="str">
        <f>IFERROR(SUMIFS('caseload data'!N:N,'caseload data'!$C:$C,'custody %'!$T$29,'caseload data'!$D:$D,"SPO",'caseload data'!$B:$B,"custody")/SUMIFS('caseload data'!N:N,'caseload data'!$B:$B,"custody",'caseload data'!$C:$C,'custody %'!$T$29),"")</f>
        <v/>
      </c>
      <c r="AE34" s="167" t="str">
        <f>IFERROR(SUMIFS('caseload data'!O:O,'caseload data'!$C:$C,'custody %'!$T$29,'caseload data'!$D:$D,"SPO",'caseload data'!$B:$B,"custody")/SUMIFS('caseload data'!O:O,'caseload data'!$B:$B,"custody",'caseload data'!$C:$C,'custody %'!$T$29),"")</f>
        <v/>
      </c>
      <c r="AF34" s="167" t="str">
        <f>IFERROR(SUMIFS('caseload data'!P:P,'caseload data'!$C:$C,'custody %'!$T$29,'caseload data'!$D:$D,"SPO",'caseload data'!$B:$B,"custody")/SUMIFS('caseload data'!P:P,'caseload data'!$B:$B,"custody",'caseload data'!$C:$C,'custody %'!$T$29),"")</f>
        <v/>
      </c>
      <c r="AG34" s="167" t="str">
        <f>IFERROR(SUMIFS('caseload data'!Q:Q,'caseload data'!$C:$C,'custody %'!$T$29,'caseload data'!$D:$D,"SPO",'caseload data'!$B:$B,"custody")/SUMIFS('caseload data'!Q:Q,'caseload data'!$B:$B,"custody",'caseload data'!$C:$C,'custody %'!$T$29),"")</f>
        <v/>
      </c>
      <c r="AH34" s="167" t="str">
        <f>IFERROR(SUMIFS('caseload data'!R:R,'caseload data'!$C:$C,'custody %'!$T$29,'caseload data'!$D:$D,"SPO",'caseload data'!$B:$B,"custody")/SUMIFS('caseload data'!R:R,'caseload data'!$B:$B,"custody",'caseload data'!$C:$C,'custody %'!$T$29),"")</f>
        <v/>
      </c>
      <c r="AI34" s="167"/>
      <c r="AJ34" s="167"/>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row>
    <row r="36" spans="2:36" ht="27.75" customHeight="1" x14ac:dyDescent="0.15">
      <c r="B36" s="288">
        <f>HLOOKUP($B$5,Region_Table,10,0)</f>
        <v>0</v>
      </c>
      <c r="C36" s="548" t="s">
        <v>1073</v>
      </c>
      <c r="D36" s="549"/>
      <c r="E36" s="549"/>
      <c r="F36" s="549"/>
      <c r="G36" s="549"/>
      <c r="H36" s="549"/>
      <c r="I36" s="549"/>
      <c r="J36" s="549"/>
      <c r="K36" s="549"/>
      <c r="L36" s="549"/>
      <c r="M36" s="568"/>
      <c r="N36" s="568"/>
      <c r="O36" s="569"/>
      <c r="P36" s="543">
        <f>SUMIF('caseload data'!$C:$C,'custody %'!B36,'caseload data'!V:V)</f>
        <v>0</v>
      </c>
      <c r="Q36" s="560"/>
      <c r="R36" s="561"/>
      <c r="S36" s="64"/>
      <c r="T36" s="288">
        <f>HLOOKUP($B$5,Region_Table,11,0)</f>
        <v>0</v>
      </c>
      <c r="U36" s="548" t="s">
        <v>1073</v>
      </c>
      <c r="V36" s="549"/>
      <c r="W36" s="549"/>
      <c r="X36" s="549"/>
      <c r="Y36" s="549"/>
      <c r="Z36" s="549"/>
      <c r="AA36" s="549"/>
      <c r="AB36" s="549"/>
      <c r="AC36" s="568"/>
      <c r="AD36" s="568"/>
      <c r="AE36" s="569"/>
      <c r="AF36" s="543">
        <f>SUMIF('caseload data'!$C:$C,'custody %'!T36,'caseload data'!V:V)</f>
        <v>0</v>
      </c>
      <c r="AG36" s="560"/>
      <c r="AH36" s="561"/>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167" t="str">
        <f>IFERROR(SUMIFS('caseload data'!E:E,'caseload data'!$C:$C,'custody %'!$B$36,'caseload data'!$D:$D,"PO",'caseload data'!$B:$B,"custody")/SUMIFS('caseload data'!E:E,'caseload data'!$B:$B,"custody",'caseload data'!$C:$C,'custody %'!$B$36),"")</f>
        <v/>
      </c>
      <c r="D38" s="167" t="str">
        <f>IFERROR(SUMIFS('caseload data'!F:F,'caseload data'!$C:$C,'custody %'!$B$36,'caseload data'!$D:$D,"PO",'caseload data'!$B:$B,"custody")/SUMIFS('caseload data'!F:F,'caseload data'!$B:$B,"custody",'caseload data'!$C:$C,'custody %'!$B$36),"")</f>
        <v/>
      </c>
      <c r="E38" s="167" t="str">
        <f>IFERROR(SUMIFS('caseload data'!G:G,'caseload data'!$C:$C,'custody %'!$B$36,'caseload data'!$D:$D,"PO",'caseload data'!$B:$B,"custody")/SUMIFS('caseload data'!G:G,'caseload data'!$B:$B,"custody",'caseload data'!$C:$C,'custody %'!$B$36),"")</f>
        <v/>
      </c>
      <c r="F38" s="167" t="str">
        <f>IFERROR(SUMIFS('caseload data'!H:H,'caseload data'!$C:$C,'custody %'!$B$36,'caseload data'!$D:$D,"PO",'caseload data'!$B:$B,"custody")/SUMIFS('caseload data'!H:H,'caseload data'!$B:$B,"custody",'caseload data'!$C:$C,'custody %'!$B$36),"")</f>
        <v/>
      </c>
      <c r="G38" s="167" t="str">
        <f>IFERROR(SUMIFS('caseload data'!I:I,'caseload data'!$C:$C,'custody %'!$B$36,'caseload data'!$D:$D,"PO",'caseload data'!$B:$B,"custody")/SUMIFS('caseload data'!I:I,'caseload data'!$B:$B,"custody",'caseload data'!$C:$C,'custody %'!$B$36),"")</f>
        <v/>
      </c>
      <c r="H38" s="167" t="str">
        <f>IFERROR(SUMIFS('caseload data'!J:J,'caseload data'!$C:$C,'custody %'!$B$36,'caseload data'!$D:$D,"PO",'caseload data'!$B:$B,"custody")/SUMIFS('caseload data'!J:J,'caseload data'!$B:$B,"custody",'caseload data'!$C:$C,'custody %'!$B$36),"")</f>
        <v/>
      </c>
      <c r="I38" s="167" t="str">
        <f>IFERROR(SUMIFS('caseload data'!K:K,'caseload data'!$C:$C,'custody %'!$B$36,'caseload data'!$D:$D,"PO",'caseload data'!$B:$B,"custody")/SUMIFS('caseload data'!K:K,'caseload data'!$B:$B,"custody",'caseload data'!$C:$C,'custody %'!$B$36),"")</f>
        <v/>
      </c>
      <c r="J38" s="167" t="str">
        <f>IFERROR(SUMIFS('caseload data'!L:L,'caseload data'!$C:$C,'custody %'!$B$36,'caseload data'!$D:$D,"PO",'caseload data'!$B:$B,"custody")/SUMIFS('caseload data'!L:L,'caseload data'!$B:$B,"custody",'caseload data'!$C:$C,'custody %'!$B$36),"")</f>
        <v/>
      </c>
      <c r="K38" s="167" t="str">
        <f>IFERROR(SUMIFS('caseload data'!M:M,'caseload data'!$C:$C,'custody %'!$B$36,'caseload data'!$D:$D,"PO",'caseload data'!$B:$B,"custody")/SUMIFS('caseload data'!M:M,'caseload data'!$B:$B,"custody",'caseload data'!$C:$C,'custody %'!$B$36),"")</f>
        <v/>
      </c>
      <c r="L38" s="167" t="str">
        <f>IFERROR(SUMIFS('caseload data'!N:N,'caseload data'!$C:$C,'custody %'!$B$36,'caseload data'!$D:$D,"PO",'caseload data'!$B:$B,"custody")/SUMIFS('caseload data'!N:N,'caseload data'!$B:$B,"custody",'caseload data'!$C:$C,'custody %'!$B$36),"")</f>
        <v/>
      </c>
      <c r="M38" s="167" t="str">
        <f>IFERROR(SUMIFS('caseload data'!O:O,'caseload data'!$C:$C,'custody %'!$B$36,'caseload data'!$D:$D,"PO",'caseload data'!$B:$B,"custody")/SUMIFS('caseload data'!O:O,'caseload data'!$B:$B,"custody",'caseload data'!$C:$C,'custody %'!$B$36),"")</f>
        <v/>
      </c>
      <c r="N38" s="167" t="str">
        <f>IFERROR(SUMIFS('caseload data'!P:P,'caseload data'!$C:$C,'custody %'!$B$36,'caseload data'!$D:$D,"PO",'caseload data'!$B:$B,"custody")/SUMIFS('caseload data'!P:P,'caseload data'!$B:$B,"custody",'caseload data'!$C:$C,'custody %'!$B$36),"")</f>
        <v/>
      </c>
      <c r="O38" s="167" t="str">
        <f>IFERROR(SUMIFS('caseload data'!Q:Q,'caseload data'!$C:$C,'custody %'!$B$36,'caseload data'!$D:$D,"PO",'caseload data'!$B:$B,"custody")/SUMIFS('caseload data'!Q:Q,'caseload data'!$B:$B,"custody",'caseload data'!$C:$C,'custody %'!$B$36),"")</f>
        <v/>
      </c>
      <c r="P38" s="167" t="str">
        <f>IFERROR(SUMIFS('caseload data'!R:R,'caseload data'!$C:$C,'custody %'!$B$36,'caseload data'!$D:$D,"PO",'caseload data'!$B:$B,"custody")/SUMIFS('caseload data'!R:R,'caseload data'!$B:$B,"custody",'caseload data'!$C:$C,'custody %'!$B$36),"")</f>
        <v/>
      </c>
      <c r="Q38" s="167" t="str">
        <f>IFERROR(SUMIFS('caseload data'!S:S,'caseload data'!$C:$C,'custody %'!$B$36,'caseload data'!$D:$D,"PO",'caseload data'!$B:$B,"custody")/SUMIFS('caseload data'!S:S,'caseload data'!$B:$B,"custody",'caseload data'!$C:$C,'custody %'!$B$36),"")</f>
        <v/>
      </c>
      <c r="R38" s="167" t="str">
        <f>IFERROR(SUMIFS('caseload data'!T:T,'caseload data'!$C:$C,'custody %'!$B$36,'caseload data'!$D:$D,"PO",'caseload data'!$B:$B,"custody")/SUMIFS('caseload data'!T:T,'caseload data'!$B:$B,"custody",'caseload data'!$C:$C,'custody %'!$B$36),"")</f>
        <v/>
      </c>
      <c r="S38" s="64"/>
      <c r="T38" s="96" t="s">
        <v>947</v>
      </c>
      <c r="U38" s="167" t="str">
        <f>IFERROR(SUMIFS('caseload data'!E:E,'caseload data'!$C:$C,'custody %'!$T$36,'caseload data'!$D:$D,"PO",'caseload data'!$B:$B,"custody")/SUMIFS('caseload data'!E:E,'caseload data'!$B:$B,"custody",'caseload data'!$C:$C,'custody %'!$T$36),"")</f>
        <v/>
      </c>
      <c r="V38" s="167" t="str">
        <f>IFERROR(SUMIFS('caseload data'!F:F,'caseload data'!$C:$C,'custody %'!$T$36,'caseload data'!$D:$D,"PO",'caseload data'!$B:$B,"custody")/SUMIFS('caseload data'!F:F,'caseload data'!$B:$B,"custody",'caseload data'!$C:$C,'custody %'!$T$36),"")</f>
        <v/>
      </c>
      <c r="W38" s="167" t="str">
        <f>IFERROR(SUMIFS('caseload data'!G:G,'caseload data'!$C:$C,'custody %'!$T$36,'caseload data'!$D:$D,"PO",'caseload data'!$B:$B,"custody")/SUMIFS('caseload data'!G:G,'caseload data'!$B:$B,"custody",'caseload data'!$C:$C,'custody %'!$T$36),"")</f>
        <v/>
      </c>
      <c r="X38" s="167" t="str">
        <f>IFERROR(SUMIFS('caseload data'!H:H,'caseload data'!$C:$C,'custody %'!$T$36,'caseload data'!$D:$D,"PO",'caseload data'!$B:$B,"custody")/SUMIFS('caseload data'!H:H,'caseload data'!$B:$B,"custody",'caseload data'!$C:$C,'custody %'!$T$36),"")</f>
        <v/>
      </c>
      <c r="Y38" s="167" t="str">
        <f>IFERROR(SUMIFS('caseload data'!I:I,'caseload data'!$C:$C,'custody %'!$T$36,'caseload data'!$D:$D,"PO",'caseload data'!$B:$B,"custody")/SUMIFS('caseload data'!I:I,'caseload data'!$B:$B,"custody",'caseload data'!$C:$C,'custody %'!$T$36),"")</f>
        <v/>
      </c>
      <c r="Z38" s="167" t="str">
        <f>IFERROR(SUMIFS('caseload data'!J:J,'caseload data'!$C:$C,'custody %'!$T$36,'caseload data'!$D:$D,"PO",'caseload data'!$B:$B,"custody")/SUMIFS('caseload data'!J:J,'caseload data'!$B:$B,"custody",'caseload data'!$C:$C,'custody %'!$T$36),"")</f>
        <v/>
      </c>
      <c r="AA38" s="167" t="str">
        <f>IFERROR(SUMIFS('caseload data'!K:K,'caseload data'!$C:$C,'custody %'!$T$36,'caseload data'!$D:$D,"PO",'caseload data'!$B:$B,"custody")/SUMIFS('caseload data'!K:K,'caseload data'!$B:$B,"custody",'caseload data'!$C:$C,'custody %'!$T$36),"")</f>
        <v/>
      </c>
      <c r="AB38" s="167" t="str">
        <f>IFERROR(SUMIFS('caseload data'!L:L,'caseload data'!$C:$C,'custody %'!$T$36,'caseload data'!$D:$D,"PO",'caseload data'!$B:$B,"custody")/SUMIFS('caseload data'!L:L,'caseload data'!$B:$B,"custody",'caseload data'!$C:$C,'custody %'!$T$36),"")</f>
        <v/>
      </c>
      <c r="AC38" s="167" t="str">
        <f>IFERROR(SUMIFS('caseload data'!M:M,'caseload data'!$C:$C,'custody %'!$T$36,'caseload data'!$D:$D,"PO",'caseload data'!$B:$B,"custody")/SUMIFS('caseload data'!M:M,'caseload data'!$B:$B,"custody",'caseload data'!$C:$C,'custody %'!$T$36),"")</f>
        <v/>
      </c>
      <c r="AD38" s="167" t="str">
        <f>IFERROR(SUMIFS('caseload data'!N:N,'caseload data'!$C:$C,'custody %'!$T$36,'caseload data'!$D:$D,"PO",'caseload data'!$B:$B,"custody")/SUMIFS('caseload data'!N:N,'caseload data'!$B:$B,"custody",'caseload data'!$C:$C,'custody %'!$T$36),"")</f>
        <v/>
      </c>
      <c r="AE38" s="167" t="str">
        <f>IFERROR(SUMIFS('caseload data'!O:O,'caseload data'!$C:$C,'custody %'!$T$36,'caseload data'!$D:$D,"PO",'caseload data'!$B:$B,"custody")/SUMIFS('caseload data'!O:O,'caseload data'!$B:$B,"custody",'caseload data'!$C:$C,'custody %'!$T$36),"")</f>
        <v/>
      </c>
      <c r="AF38" s="167" t="str">
        <f>IFERROR(SUMIFS('caseload data'!P:P,'caseload data'!$C:$C,'custody %'!$T$36,'caseload data'!$D:$D,"PO",'caseload data'!$B:$B,"custody")/SUMIFS('caseload data'!P:P,'caseload data'!$B:$B,"custody",'caseload data'!$C:$C,'custody %'!$T$36),"")</f>
        <v/>
      </c>
      <c r="AG38" s="167" t="str">
        <f>IFERROR(SUMIFS('caseload data'!Q:Q,'caseload data'!$C:$C,'custody %'!$T$36,'caseload data'!$D:$D,"PO",'caseload data'!$B:$B,"custody")/SUMIFS('caseload data'!Q:Q,'caseload data'!$B:$B,"custody",'caseload data'!$C:$C,'custody %'!$T$36),"")</f>
        <v/>
      </c>
      <c r="AH38" s="167" t="str">
        <f>IFERROR(SUMIFS('caseload data'!R:R,'caseload data'!$C:$C,'custody %'!$T$36,'caseload data'!$D:$D,"PO",'caseload data'!$B:$B,"custody")/SUMIFS('caseload data'!R:R,'caseload data'!$B:$B,"custody",'caseload data'!$C:$C,'custody %'!$T$36),"")</f>
        <v/>
      </c>
      <c r="AI38" s="167"/>
      <c r="AJ38" s="167"/>
    </row>
    <row r="39" spans="2:36" x14ac:dyDescent="0.15">
      <c r="B39" s="97" t="s">
        <v>952</v>
      </c>
      <c r="C39" s="167" t="str">
        <f>IFERROR(SUMIFS('caseload data'!E:E,'caseload data'!$C:$C,'custody %'!$B$36,'caseload data'!$D:$D,"PSO",'caseload data'!$B:$B,"custody")/SUMIFS('caseload data'!E:E,'caseload data'!$B:$B,"custody",'caseload data'!$C:$C,'custody %'!$B$36),"")</f>
        <v/>
      </c>
      <c r="D39" s="167" t="str">
        <f>IFERROR(SUMIFS('caseload data'!F:F,'caseload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data'!$B:$B,"custody",'caseload data'!$C:$C,'custody %'!$B$36),"")</f>
        <v/>
      </c>
      <c r="F39" s="167" t="str">
        <f>IFERROR(SUMIFS('caseload data'!H:H,'caseload data'!$C:$C,'custody %'!$B$36,'caseload data'!$D:$D,"PSO",'caseload data'!$B:$B,"custody")/SUMIFS('caseload data'!H:H,'caseload data'!$B:$B,"custody",'caseload data'!$C:$C,'custody %'!$B$36),"")</f>
        <v/>
      </c>
      <c r="G39" s="167" t="str">
        <f>IFERROR(SUMIFS('caseload data'!I:I,'caseload data'!$C:$C,'custody %'!$B$36,'caseload data'!$D:$D,"PSO",'caseload data'!$B:$B,"custody")/SUMIFS('caseload data'!I:I,'caseload data'!$B:$B,"custody",'caseload data'!$C:$C,'custody %'!$B$36),"")</f>
        <v/>
      </c>
      <c r="H39" s="167" t="str">
        <f>IFERROR(SUMIFS('caseload data'!J:J,'caseload data'!$C:$C,'custody %'!$B$36,'caseload data'!$D:$D,"PSO",'caseload data'!$B:$B,"custody")/SUMIFS('caseload data'!J:J,'caseload data'!$B:$B,"custody",'caseload data'!$C:$C,'custody %'!$B$36),"")</f>
        <v/>
      </c>
      <c r="I39" s="167" t="str">
        <f>IFERROR(SUMIFS('caseload data'!K:K,'caseload data'!$C:$C,'custody %'!$B$36,'caseload data'!$D:$D,"PSO",'caseload data'!$B:$B,"custody")/SUMIFS('caseload data'!K:K,'caseload data'!$B:$B,"custody",'caseload data'!$C:$C,'custody %'!$B$36),"")</f>
        <v/>
      </c>
      <c r="J39" s="167" t="str">
        <f>IFERROR(SUMIFS('caseload data'!L:L,'caseload data'!$C:$C,'custody %'!$B$36,'caseload data'!$D:$D,"PSO",'caseload data'!$B:$B,"custody")/SUMIFS('caseload data'!L:L,'caseload data'!$B:$B,"custody",'caseload data'!$C:$C,'custody %'!$B$36),"")</f>
        <v/>
      </c>
      <c r="K39" s="167" t="str">
        <f>IFERROR(SUMIFS('caseload data'!M:M,'caseload data'!$C:$C,'custody %'!$B$36,'caseload data'!$D:$D,"PSO",'caseload data'!$B:$B,"custody")/SUMIFS('caseload data'!M:M,'caseload data'!$B:$B,"custody",'caseload data'!$C:$C,'custody %'!$B$36),"")</f>
        <v/>
      </c>
      <c r="L39" s="167" t="str">
        <f>IFERROR(SUMIFS('caseload data'!N:N,'caseload data'!$C:$C,'custody %'!$B$36,'caseload data'!$D:$D,"PSO",'caseload data'!$B:$B,"custody")/SUMIFS('caseload data'!N:N,'caseload data'!$B:$B,"custody",'caseload data'!$C:$C,'custody %'!$B$36),"")</f>
        <v/>
      </c>
      <c r="M39" s="167" t="str">
        <f>IFERROR(SUMIFS('caseload data'!O:O,'caseload data'!$C:$C,'custody %'!$B$36,'caseload data'!$D:$D,"PSO",'caseload data'!$B:$B,"custody")/SUMIFS('caseload data'!O:O,'caseload data'!$B:$B,"custody",'caseload data'!$C:$C,'custody %'!$B$36),"")</f>
        <v/>
      </c>
      <c r="N39" s="167" t="str">
        <f>IFERROR(SUMIFS('caseload data'!P:P,'caseload data'!$C:$C,'custody %'!$B$36,'caseload data'!$D:$D,"PSO",'caseload data'!$B:$B,"custody")/SUMIFS('caseload data'!P:P,'caseload data'!$B:$B,"custody",'caseload data'!$C:$C,'custody %'!$B$36),"")</f>
        <v/>
      </c>
      <c r="O39" s="167" t="str">
        <f>IFERROR(SUMIFS('caseload data'!Q:Q,'caseload data'!$C:$C,'custody %'!$B$36,'caseload data'!$D:$D,"PSO",'caseload data'!$B:$B,"custody")/SUMIFS('caseload data'!Q:Q,'caseload data'!$B:$B,"custody",'caseload data'!$C:$C,'custody %'!$B$36),"")</f>
        <v/>
      </c>
      <c r="P39" s="167" t="str">
        <f>IFERROR(SUMIFS('caseload data'!R:R,'caseload data'!$C:$C,'custody %'!$B$36,'caseload data'!$D:$D,"PSO",'caseload data'!$B:$B,"custody")/SUMIFS('caseload data'!R:R,'caseload data'!$B:$B,"custody",'caseload data'!$C:$C,'custody %'!$B$36),"")</f>
        <v/>
      </c>
      <c r="Q39" s="167" t="str">
        <f>IFERROR(SUMIFS('caseload data'!S:S,'caseload data'!$C:$C,'custody %'!$B$36,'caseload data'!$D:$D,"PSO",'caseload data'!$B:$B,"custody")/SUMIFS('caseload data'!S:S,'caseload data'!$B:$B,"custody",'caseload data'!$C:$C,'custody %'!$B$36),"")</f>
        <v/>
      </c>
      <c r="R39" s="167" t="str">
        <f>IFERROR(SUMIFS('caseload data'!T:T,'caseload data'!$C:$C,'custody %'!$B$36,'caseload data'!$D:$D,"PSO",'caseload data'!$B:$B,"custody")/SUMIFS('caseload data'!T:T,'caseload data'!$B:$B,"custody",'caseload data'!$C:$C,'custody %'!$B$36),"")</f>
        <v/>
      </c>
      <c r="S39" s="64"/>
      <c r="T39" s="97" t="s">
        <v>952</v>
      </c>
      <c r="U39" s="167" t="str">
        <f>IFERROR(SUMIFS('caseload data'!E:E,'caseload data'!$C:$C,'custody %'!$T$36,'caseload data'!$D:$D,"PSO",'caseload data'!$B:$B,"custody")/SUMIFS('caseload data'!E:E,'caseload data'!$B:$B,"custody",'caseload data'!$C:$C,'custody %'!$T$36),"")</f>
        <v/>
      </c>
      <c r="V39" s="167" t="str">
        <f>IFERROR(SUMIFS('caseload data'!F:F,'caseload data'!$C:$C,'custody %'!$T$36,'caseload data'!$D:$D,"PSO",'caseload data'!$B:$B,"custody")/SUMIFS('caseload data'!F:F,'caseload data'!$B:$B,"custody",'caseload data'!$C:$C,'custody %'!$T$36),"")</f>
        <v/>
      </c>
      <c r="W39" s="167" t="str">
        <f>IFERROR(SUMIFS('caseload data'!G:G,'caseload data'!$C:$C,'custody %'!$T$36,'caseload data'!$D:$D,"PSO",'caseload data'!$B:$B,"custody")/SUMIFS('caseload data'!G:G,'caseload data'!$B:$B,"custody",'caseload data'!$C:$C,'custody %'!$T$36),"")</f>
        <v/>
      </c>
      <c r="X39" s="167" t="str">
        <f>IFERROR(SUMIFS('caseload data'!H:H,'caseload data'!$C:$C,'custody %'!$T$36,'caseload data'!$D:$D,"PSO",'caseload data'!$B:$B,"custody")/SUMIFS('caseload data'!H:H,'caseload data'!$B:$B,"custody",'caseload data'!$C:$C,'custody %'!$T$36),"")</f>
        <v/>
      </c>
      <c r="Y39" s="167" t="str">
        <f>IFERROR(SUMIFS('caseload data'!I:I,'caseload data'!$C:$C,'custody %'!$T$36,'caseload data'!$D:$D,"PSO",'caseload data'!$B:$B,"custody")/SUMIFS('caseload data'!I:I,'caseload data'!$B:$B,"custody",'caseload data'!$C:$C,'custody %'!$T$36),"")</f>
        <v/>
      </c>
      <c r="Z39" s="167" t="str">
        <f>IFERROR(SUMIFS('caseload data'!J:J,'caseload data'!$C:$C,'custody %'!$T$36,'caseload data'!$D:$D,"PSO",'caseload data'!$B:$B,"custody")/SUMIFS('caseload data'!J:J,'caseload data'!$B:$B,"custody",'caseload data'!$C:$C,'custody %'!$T$36),"")</f>
        <v/>
      </c>
      <c r="AA39" s="167" t="str">
        <f>IFERROR(SUMIFS('caseload data'!K:K,'caseload data'!$C:$C,'custody %'!$T$36,'caseload data'!$D:$D,"PSO",'caseload data'!$B:$B,"custody")/SUMIFS('caseload data'!K:K,'caseload data'!$B:$B,"custody",'caseload data'!$C:$C,'custody %'!$T$36),"")</f>
        <v/>
      </c>
      <c r="AB39" s="167" t="str">
        <f>IFERROR(SUMIFS('caseload data'!L:L,'caseload data'!$C:$C,'custody %'!$T$36,'caseload data'!$D:$D,"PSO",'caseload data'!$B:$B,"custody")/SUMIFS('caseload data'!L:L,'caseload data'!$B:$B,"custody",'caseload data'!$C:$C,'custody %'!$T$36),"")</f>
        <v/>
      </c>
      <c r="AC39" s="167" t="str">
        <f>IFERROR(SUMIFS('caseload data'!M:M,'caseload data'!$C:$C,'custody %'!$T$36,'caseload data'!$D:$D,"PSO",'caseload data'!$B:$B,"custody")/SUMIFS('caseload data'!M:M,'caseload data'!$B:$B,"custody",'caseload data'!$C:$C,'custody %'!$T$36),"")</f>
        <v/>
      </c>
      <c r="AD39" s="167" t="str">
        <f>IFERROR(SUMIFS('caseload data'!N:N,'caseload data'!$C:$C,'custody %'!$T$36,'caseload data'!$D:$D,"PSO",'caseload data'!$B:$B,"custody")/SUMIFS('caseload data'!N:N,'caseload data'!$B:$B,"custody",'caseload data'!$C:$C,'custody %'!$T$36),"")</f>
        <v/>
      </c>
      <c r="AE39" s="167" t="str">
        <f>IFERROR(SUMIFS('caseload data'!O:O,'caseload data'!$C:$C,'custody %'!$T$36,'caseload data'!$D:$D,"PSO",'caseload data'!$B:$B,"custody")/SUMIFS('caseload data'!O:O,'caseload data'!$B:$B,"custody",'caseload data'!$C:$C,'custody %'!$T$36),"")</f>
        <v/>
      </c>
      <c r="AF39" s="167" t="str">
        <f>IFERROR(SUMIFS('caseload data'!P:P,'caseload data'!$C:$C,'custody %'!$T$36,'caseload data'!$D:$D,"PSO",'caseload data'!$B:$B,"custody")/SUMIFS('caseload data'!P:P,'caseload data'!$B:$B,"custody",'caseload data'!$C:$C,'custody %'!$T$36),"")</f>
        <v/>
      </c>
      <c r="AG39" s="167" t="str">
        <f>IFERROR(SUMIFS('caseload data'!Q:Q,'caseload data'!$C:$C,'custody %'!$T$36,'caseload data'!$D:$D,"PSO",'caseload data'!$B:$B,"custody")/SUMIFS('caseload data'!Q:Q,'caseload data'!$B:$B,"custody",'caseload data'!$C:$C,'custody %'!$T$36),"")</f>
        <v/>
      </c>
      <c r="AH39" s="167" t="str">
        <f>IFERROR(SUMIFS('caseload data'!R:R,'caseload data'!$C:$C,'custody %'!$T$36,'caseload data'!$D:$D,"PSO",'caseload data'!$B:$B,"custody")/SUMIFS('caseload data'!R:R,'caseload data'!$B:$B,"custody",'caseload data'!$C:$C,'custody %'!$T$36),"")</f>
        <v/>
      </c>
      <c r="AI39" s="167"/>
      <c r="AJ39" s="167"/>
    </row>
    <row r="40" spans="2:36" x14ac:dyDescent="0.15">
      <c r="B40" s="97" t="s">
        <v>953</v>
      </c>
      <c r="C40" s="167" t="str">
        <f>IFERROR(SUMIFS('caseload data'!E:E,'caseload data'!$C:$C,'custody %'!$B$36,'caseload data'!$D:$D,"TPO",'caseload data'!$B:$B,"custody")/SUMIFS('caseload data'!E:E,'caseload data'!$B:$B,"custody",'caseload data'!$C:$C,'custody %'!$B$36),"")</f>
        <v/>
      </c>
      <c r="D40" s="167" t="str">
        <f>IFERROR(SUMIFS('caseload data'!F:F,'caseload data'!$C:$C,'custody %'!$B$36,'caseload data'!$D:$D,"TPO",'caseload data'!$B:$B,"custody")/SUMIFS('caseload data'!F:F,'caseload data'!$B:$B,"custody",'caseload data'!$C:$C,'custody %'!$B$36),"")</f>
        <v/>
      </c>
      <c r="E40" s="167" t="str">
        <f>IFERROR(SUMIFS('caseload data'!G:G,'caseload data'!$C:$C,'custody %'!$B$36,'caseload data'!$D:$D,"TPO",'caseload data'!$B:$B,"custody")/SUMIFS('caseload data'!G:G,'caseload data'!$B:$B,"custody",'caseload data'!$C:$C,'custody %'!$B$36),"")</f>
        <v/>
      </c>
      <c r="F40" s="167" t="str">
        <f>IFERROR(SUMIFS('caseload data'!H:H,'caseload data'!$C:$C,'custody %'!$B$36,'caseload data'!$D:$D,"TPO",'caseload data'!$B:$B,"custody")/SUMIFS('caseload data'!H:H,'caseload data'!$B:$B,"custody",'caseload data'!$C:$C,'custody %'!$B$36),"")</f>
        <v/>
      </c>
      <c r="G40" s="167" t="str">
        <f>IFERROR(SUMIFS('caseload data'!I:I,'caseload data'!$C:$C,'custody %'!$B$36,'caseload data'!$D:$D,"TPO",'caseload data'!$B:$B,"custody")/SUMIFS('caseload data'!I:I,'caseload data'!$B:$B,"custody",'caseload data'!$C:$C,'custody %'!$B$36),"")</f>
        <v/>
      </c>
      <c r="H40" s="167" t="str">
        <f>IFERROR(SUMIFS('caseload data'!J:J,'caseload data'!$C:$C,'custody %'!$B$36,'caseload data'!$D:$D,"TPO",'caseload data'!$B:$B,"custody")/SUMIFS('caseload data'!J:J,'caseload data'!$B:$B,"custody",'caseload data'!$C:$C,'custody %'!$B$36),"")</f>
        <v/>
      </c>
      <c r="I40" s="167" t="str">
        <f>IFERROR(SUMIFS('caseload data'!K:K,'caseload data'!$C:$C,'custody %'!$B$36,'caseload data'!$D:$D,"TPO",'caseload data'!$B:$B,"custody")/SUMIFS('caseload data'!K:K,'caseload data'!$B:$B,"custody",'caseload data'!$C:$C,'custody %'!$B$36),"")</f>
        <v/>
      </c>
      <c r="J40" s="167" t="str">
        <f>IFERROR(SUMIFS('caseload data'!L:L,'caseload data'!$C:$C,'custody %'!$B$36,'caseload data'!$D:$D,"TPO",'caseload data'!$B:$B,"custody")/SUMIFS('caseload data'!L:L,'caseload data'!$B:$B,"custody",'caseload data'!$C:$C,'custody %'!$B$36),"")</f>
        <v/>
      </c>
      <c r="K40" s="167" t="str">
        <f>IFERROR(SUMIFS('caseload data'!M:M,'caseload data'!$C:$C,'custody %'!$B$36,'caseload data'!$D:$D,"TPO",'caseload data'!$B:$B,"custody")/SUMIFS('caseload data'!M:M,'caseload data'!$B:$B,"custody",'caseload data'!$C:$C,'custody %'!$B$36),"")</f>
        <v/>
      </c>
      <c r="L40" s="167" t="str">
        <f>IFERROR(SUMIFS('caseload data'!N:N,'caseload data'!$C:$C,'custody %'!$B$36,'caseload data'!$D:$D,"TPO",'caseload data'!$B:$B,"custody")/SUMIFS('caseload data'!N:N,'caseload data'!$B:$B,"custody",'caseload data'!$C:$C,'custody %'!$B$36),"")</f>
        <v/>
      </c>
      <c r="M40" s="167" t="str">
        <f>IFERROR(SUMIFS('caseload data'!O:O,'caseload data'!$C:$C,'custody %'!$B$36,'caseload data'!$D:$D,"TPO",'caseload data'!$B:$B,"custody")/SUMIFS('caseload data'!O:O,'caseload data'!$B:$B,"custody",'caseload data'!$C:$C,'custody %'!$B$36),"")</f>
        <v/>
      </c>
      <c r="N40" s="167" t="str">
        <f>IFERROR(SUMIFS('caseload data'!P:P,'caseload data'!$C:$C,'custody %'!$B$36,'caseload data'!$D:$D,"TPO",'caseload data'!$B:$B,"custody")/SUMIFS('caseload data'!P:P,'caseload data'!$B:$B,"custody",'caseload data'!$C:$C,'custody %'!$B$36),"")</f>
        <v/>
      </c>
      <c r="O40" s="167" t="str">
        <f>IFERROR(SUMIFS('caseload data'!Q:Q,'caseload data'!$C:$C,'custody %'!$B$36,'caseload data'!$D:$D,"TPO",'caseload data'!$B:$B,"custody")/SUMIFS('caseload data'!Q:Q,'caseload data'!$B:$B,"custody",'caseload data'!$C:$C,'custody %'!$B$36),"")</f>
        <v/>
      </c>
      <c r="P40" s="167" t="str">
        <f>IFERROR(SUMIFS('caseload data'!R:R,'caseload data'!$C:$C,'custody %'!$B$36,'caseload data'!$D:$D,"TPO",'caseload data'!$B:$B,"custody")/SUMIFS('caseload data'!R:R,'caseload data'!$B:$B,"custody",'caseload data'!$C:$C,'custody %'!$B$36),"")</f>
        <v/>
      </c>
      <c r="Q40" s="167" t="str">
        <f>IFERROR(SUMIFS('caseload data'!S:S,'caseload data'!$C:$C,'custody %'!$B$36,'caseload data'!$D:$D,"TPO",'caseload data'!$B:$B,"custody")/SUMIFS('caseload data'!S:S,'caseload data'!$B:$B,"custody",'caseload data'!$C:$C,'custody %'!$B$36),"")</f>
        <v/>
      </c>
      <c r="R40" s="167" t="str">
        <f>IFERROR(SUMIFS('caseload data'!T:T,'caseload data'!$C:$C,'custody %'!$B$36,'caseload data'!$D:$D,"TPO",'caseload data'!$B:$B,"custody")/SUMIFS('caseload data'!T:T,'caseload data'!$B:$B,"custody",'caseload data'!$C:$C,'custody %'!$B$36),"")</f>
        <v/>
      </c>
      <c r="S40" s="64"/>
      <c r="T40" s="97" t="s">
        <v>953</v>
      </c>
      <c r="U40" s="167" t="str">
        <f>IFERROR(SUMIFS('caseload data'!E:E,'caseload data'!$C:$C,'custody %'!$T$36,'caseload data'!$D:$D,"TPO",'caseload data'!$B:$B,"custody")/SUMIFS('caseload data'!E:E,'caseload data'!$B:$B,"custody",'caseload data'!$C:$C,'custody %'!$T$36),"")</f>
        <v/>
      </c>
      <c r="V40" s="167" t="str">
        <f>IFERROR(SUMIFS('caseload data'!F:F,'caseload data'!$C:$C,'custody %'!$T$36,'caseload data'!$D:$D,"TPO",'caseload data'!$B:$B,"custody")/SUMIFS('caseload data'!F:F,'caseload data'!$B:$B,"custody",'caseload data'!$C:$C,'custody %'!$T$36),"")</f>
        <v/>
      </c>
      <c r="W40" s="167" t="str">
        <f>IFERROR(SUMIFS('caseload data'!G:G,'caseload data'!$C:$C,'custody %'!$T$36,'caseload data'!$D:$D,"TPO",'caseload data'!$B:$B,"custody")/SUMIFS('caseload data'!G:G,'caseload data'!$B:$B,"custody",'caseload data'!$C:$C,'custody %'!$T$36),"")</f>
        <v/>
      </c>
      <c r="X40" s="167" t="str">
        <f>IFERROR(SUMIFS('caseload data'!H:H,'caseload data'!$C:$C,'custody %'!$T$36,'caseload data'!$D:$D,"TPO",'caseload data'!$B:$B,"custody")/SUMIFS('caseload data'!H:H,'caseload data'!$B:$B,"custody",'caseload data'!$C:$C,'custody %'!$T$36),"")</f>
        <v/>
      </c>
      <c r="Y40" s="167" t="str">
        <f>IFERROR(SUMIFS('caseload data'!I:I,'caseload data'!$C:$C,'custody %'!$T$36,'caseload data'!$D:$D,"TPO",'caseload data'!$B:$B,"custody")/SUMIFS('caseload data'!I:I,'caseload data'!$B:$B,"custody",'caseload data'!$C:$C,'custody %'!$T$36),"")</f>
        <v/>
      </c>
      <c r="Z40" s="167" t="str">
        <f>IFERROR(SUMIFS('caseload data'!J:J,'caseload data'!$C:$C,'custody %'!$T$36,'caseload data'!$D:$D,"TPO",'caseload data'!$B:$B,"custody")/SUMIFS('caseload data'!J:J,'caseload data'!$B:$B,"custody",'caseload data'!$C:$C,'custody %'!$T$36),"")</f>
        <v/>
      </c>
      <c r="AA40" s="167" t="str">
        <f>IFERROR(SUMIFS('caseload data'!K:K,'caseload data'!$C:$C,'custody %'!$T$36,'caseload data'!$D:$D,"TPO",'caseload data'!$B:$B,"custody")/SUMIFS('caseload data'!K:K,'caseload data'!$B:$B,"custody",'caseload data'!$C:$C,'custody %'!$T$36),"")</f>
        <v/>
      </c>
      <c r="AB40" s="167" t="str">
        <f>IFERROR(SUMIFS('caseload data'!L:L,'caseload data'!$C:$C,'custody %'!$T$36,'caseload data'!$D:$D,"TPO",'caseload data'!$B:$B,"custody")/SUMIFS('caseload data'!L:L,'caseload data'!$B:$B,"custody",'caseload data'!$C:$C,'custody %'!$T$36),"")</f>
        <v/>
      </c>
      <c r="AC40" s="167" t="str">
        <f>IFERROR(SUMIFS('caseload data'!M:M,'caseload data'!$C:$C,'custody %'!$T$36,'caseload data'!$D:$D,"TPO",'caseload data'!$B:$B,"custody")/SUMIFS('caseload data'!M:M,'caseload data'!$B:$B,"custody",'caseload data'!$C:$C,'custody %'!$T$36),"")</f>
        <v/>
      </c>
      <c r="AD40" s="167" t="str">
        <f>IFERROR(SUMIFS('caseload data'!N:N,'caseload data'!$C:$C,'custody %'!$T$36,'caseload data'!$D:$D,"TPO",'caseload data'!$B:$B,"custody")/SUMIFS('caseload data'!N:N,'caseload data'!$B:$B,"custody",'caseload data'!$C:$C,'custody %'!$T$36),"")</f>
        <v/>
      </c>
      <c r="AE40" s="167" t="str">
        <f>IFERROR(SUMIFS('caseload data'!O:O,'caseload data'!$C:$C,'custody %'!$T$36,'caseload data'!$D:$D,"TPO",'caseload data'!$B:$B,"custody")/SUMIFS('caseload data'!O:O,'caseload data'!$B:$B,"custody",'caseload data'!$C:$C,'custody %'!$T$36),"")</f>
        <v/>
      </c>
      <c r="AF40" s="167" t="str">
        <f>IFERROR(SUMIFS('caseload data'!P:P,'caseload data'!$C:$C,'custody %'!$T$36,'caseload data'!$D:$D,"TPO",'caseload data'!$B:$B,"custody")/SUMIFS('caseload data'!P:P,'caseload data'!$B:$B,"custody",'caseload data'!$C:$C,'custody %'!$T$36),"")</f>
        <v/>
      </c>
      <c r="AG40" s="167" t="str">
        <f>IFERROR(SUMIFS('caseload data'!Q:Q,'caseload data'!$C:$C,'custody %'!$T$36,'caseload data'!$D:$D,"TPO",'caseload data'!$B:$B,"custody")/SUMIFS('caseload data'!Q:Q,'caseload data'!$B:$B,"custody",'caseload data'!$C:$C,'custody %'!$T$36),"")</f>
        <v/>
      </c>
      <c r="AH40" s="167" t="str">
        <f>IFERROR(SUMIFS('caseload data'!R:R,'caseload data'!$C:$C,'custody %'!$T$36,'caseload data'!$D:$D,"TPO",'caseload data'!$B:$B,"custody")/SUMIFS('caseload data'!R:R,'caseload data'!$B:$B,"custody",'caseload data'!$C:$C,'custody %'!$T$36),"")</f>
        <v/>
      </c>
      <c r="AI40" s="167"/>
      <c r="AJ40" s="167"/>
    </row>
    <row r="41" spans="2:36" x14ac:dyDescent="0.15">
      <c r="B41" s="98" t="s">
        <v>954</v>
      </c>
      <c r="C41" s="167" t="str">
        <f>IFERROR(SUMIFS('caseload data'!E:E,'caseload data'!$C:$C,'custody %'!$B$36,'caseload data'!$D:$D,"SPO",'caseload data'!$B:$B,"custody")/SUMIFS('caseload data'!E:E,'caseload data'!$B:$B,"custody",'caseload data'!$C:$C,'custody %'!$B$36),"")</f>
        <v/>
      </c>
      <c r="D41" s="167" t="str">
        <f>IFERROR(SUMIFS('caseload data'!F:F,'caseload data'!$C:$C,'custody %'!$B$36,'caseload data'!$D:$D,"SPO",'caseload data'!$B:$B,"custody")/SUMIFS('caseload data'!F:F,'caseload data'!$B:$B,"custody",'caseload data'!$C:$C,'custody %'!$B$36),"")</f>
        <v/>
      </c>
      <c r="E41" s="167" t="str">
        <f>IFERROR(SUMIFS('caseload data'!G:G,'caseload data'!$C:$C,'custody %'!$B$36,'caseload data'!$D:$D,"SPO",'caseload data'!$B:$B,"custody")/SUMIFS('caseload data'!G:G,'caseload data'!$B:$B,"custody",'caseload data'!$C:$C,'custody %'!$B$36),"")</f>
        <v/>
      </c>
      <c r="F41" s="167" t="str">
        <f>IFERROR(SUMIFS('caseload data'!H:H,'caseload data'!$C:$C,'custody %'!$B$36,'caseload data'!$D:$D,"SPO",'caseload data'!$B:$B,"custody")/SUMIFS('caseload data'!H:H,'caseload data'!$B:$B,"custody",'caseload data'!$C:$C,'custody %'!$B$36),"")</f>
        <v/>
      </c>
      <c r="G41" s="167" t="str">
        <f>IFERROR(SUMIFS('caseload data'!I:I,'caseload data'!$C:$C,'custody %'!$B$36,'caseload data'!$D:$D,"SPO",'caseload data'!$B:$B,"custody")/SUMIFS('caseload data'!I:I,'caseload data'!$B:$B,"custody",'caseload data'!$C:$C,'custody %'!$B$36),"")</f>
        <v/>
      </c>
      <c r="H41" s="167" t="str">
        <f>IFERROR(SUMIFS('caseload data'!J:J,'caseload data'!$C:$C,'custody %'!$B$36,'caseload data'!$D:$D,"SPO",'caseload data'!$B:$B,"custody")/SUMIFS('caseload data'!J:J,'caseload data'!$B:$B,"custody",'caseload data'!$C:$C,'custody %'!$B$36),"")</f>
        <v/>
      </c>
      <c r="I41" s="167" t="str">
        <f>IFERROR(SUMIFS('caseload data'!K:K,'caseload data'!$C:$C,'custody %'!$B$36,'caseload data'!$D:$D,"SPO",'caseload data'!$B:$B,"custody")/SUMIFS('caseload data'!K:K,'caseload data'!$B:$B,"custody",'caseload data'!$C:$C,'custody %'!$B$36),"")</f>
        <v/>
      </c>
      <c r="J41" s="167" t="str">
        <f>IFERROR(SUMIFS('caseload data'!L:L,'caseload data'!$C:$C,'custody %'!$B$36,'caseload data'!$D:$D,"SPO",'caseload data'!$B:$B,"custody")/SUMIFS('caseload data'!L:L,'caseload data'!$B:$B,"custody",'caseload data'!$C:$C,'custody %'!$B$36),"")</f>
        <v/>
      </c>
      <c r="K41" s="167" t="str">
        <f>IFERROR(SUMIFS('caseload data'!M:M,'caseload data'!$C:$C,'custody %'!$B$36,'caseload data'!$D:$D,"SPO",'caseload data'!$B:$B,"custody")/SUMIFS('caseload data'!M:M,'caseload data'!$B:$B,"custody",'caseload data'!$C:$C,'custody %'!$B$36),"")</f>
        <v/>
      </c>
      <c r="L41" s="167" t="str">
        <f>IFERROR(SUMIFS('caseload data'!N:N,'caseload data'!$C:$C,'custody %'!$B$36,'caseload data'!$D:$D,"SPO",'caseload data'!$B:$B,"custody")/SUMIFS('caseload data'!N:N,'caseload data'!$B:$B,"custody",'caseload data'!$C:$C,'custody %'!$B$36),"")</f>
        <v/>
      </c>
      <c r="M41" s="167" t="str">
        <f>IFERROR(SUMIFS('caseload data'!O:O,'caseload data'!$C:$C,'custody %'!$B$36,'caseload data'!$D:$D,"SPO",'caseload data'!$B:$B,"custody")/SUMIFS('caseload data'!O:O,'caseload data'!$B:$B,"custody",'caseload data'!$C:$C,'custody %'!$B$36),"")</f>
        <v/>
      </c>
      <c r="N41" s="167" t="str">
        <f>IFERROR(SUMIFS('caseload data'!P:P,'caseload data'!$C:$C,'custody %'!$B$36,'caseload data'!$D:$D,"SPO",'caseload data'!$B:$B,"custody")/SUMIFS('caseload data'!P:P,'caseload data'!$B:$B,"custody",'caseload data'!$C:$C,'custody %'!$B$36),"")</f>
        <v/>
      </c>
      <c r="O41" s="167" t="str">
        <f>IFERROR(SUMIFS('caseload data'!Q:Q,'caseload data'!$C:$C,'custody %'!$B$36,'caseload data'!$D:$D,"SPO",'caseload data'!$B:$B,"custody")/SUMIFS('caseload data'!Q:Q,'caseload data'!$B:$B,"custody",'caseload data'!$C:$C,'custody %'!$B$36),"")</f>
        <v/>
      </c>
      <c r="P41" s="167" t="str">
        <f>IFERROR(SUMIFS('caseload data'!R:R,'caseload data'!$C:$C,'custody %'!$B$36,'caseload data'!$D:$D,"SPO",'caseload data'!$B:$B,"custody")/SUMIFS('caseload data'!R:R,'caseload data'!$B:$B,"custody",'caseload data'!$C:$C,'custody %'!$B$36),"")</f>
        <v/>
      </c>
      <c r="Q41" s="167" t="str">
        <f>IFERROR(SUMIFS('caseload data'!S:S,'caseload data'!$C:$C,'custody %'!$B$36,'caseload data'!$D:$D,"SPO",'caseload data'!$B:$B,"custody")/SUMIFS('caseload data'!S:S,'caseload data'!$B:$B,"custody",'caseload data'!$C:$C,'custody %'!$B$36),"")</f>
        <v/>
      </c>
      <c r="R41" s="167" t="str">
        <f>IFERROR(SUMIFS('caseload data'!T:T,'caseload data'!$C:$C,'custody %'!$B$36,'caseload data'!$D:$D,"SPO",'caseload data'!$B:$B,"custody")/SUMIFS('caseload data'!T:T,'caseload data'!$B:$B,"custody",'caseload data'!$C:$C,'custody %'!$B$36),"")</f>
        <v/>
      </c>
      <c r="S41" s="64"/>
      <c r="T41" s="98" t="s">
        <v>954</v>
      </c>
      <c r="U41" s="167" t="str">
        <f>IFERROR(SUMIFS('caseload data'!E:E,'caseload data'!$C:$C,'custody %'!$T$36,'caseload data'!$D:$D,"SPO",'caseload data'!$B:$B,"custody")/SUMIFS('caseload data'!E:E,'caseload data'!$B:$B,"custody",'caseload data'!$C:$C,'custody %'!$T$36),"")</f>
        <v/>
      </c>
      <c r="V41" s="167" t="str">
        <f>IFERROR(SUMIFS('caseload data'!F:F,'caseload data'!$C:$C,'custody %'!$T$36,'caseload data'!$D:$D,"SPO",'caseload data'!$B:$B,"custody")/SUMIFS('caseload data'!F:F,'caseload data'!$B:$B,"custody",'caseload data'!$C:$C,'custody %'!$T$36),"")</f>
        <v/>
      </c>
      <c r="W41" s="167" t="str">
        <f>IFERROR(SUMIFS('caseload data'!G:G,'caseload data'!$C:$C,'custody %'!$T$36,'caseload data'!$D:$D,"SPO",'caseload data'!$B:$B,"custody")/SUMIFS('caseload data'!G:G,'caseload data'!$B:$B,"custody",'caseload data'!$C:$C,'custody %'!$T$36),"")</f>
        <v/>
      </c>
      <c r="X41" s="167" t="str">
        <f>IFERROR(SUMIFS('caseload data'!H:H,'caseload data'!$C:$C,'custody %'!$T$36,'caseload data'!$D:$D,"SPO",'caseload data'!$B:$B,"custody")/SUMIFS('caseload data'!H:H,'caseload data'!$B:$B,"custody",'caseload data'!$C:$C,'custody %'!$T$36),"")</f>
        <v/>
      </c>
      <c r="Y41" s="167" t="str">
        <f>IFERROR(SUMIFS('caseload data'!I:I,'caseload data'!$C:$C,'custody %'!$T$36,'caseload data'!$D:$D,"SPO",'caseload data'!$B:$B,"custody")/SUMIFS('caseload data'!I:I,'caseload data'!$B:$B,"custody",'caseload data'!$C:$C,'custody %'!$T$36),"")</f>
        <v/>
      </c>
      <c r="Z41" s="167" t="str">
        <f>IFERROR(SUMIFS('caseload data'!J:J,'caseload data'!$C:$C,'custody %'!$T$36,'caseload data'!$D:$D,"SPO",'caseload data'!$B:$B,"custody")/SUMIFS('caseload data'!J:J,'caseload data'!$B:$B,"custody",'caseload data'!$C:$C,'custody %'!$T$36),"")</f>
        <v/>
      </c>
      <c r="AA41" s="167" t="str">
        <f>IFERROR(SUMIFS('caseload data'!K:K,'caseload data'!$C:$C,'custody %'!$T$36,'caseload data'!$D:$D,"SPO",'caseload data'!$B:$B,"custody")/SUMIFS('caseload data'!K:K,'caseload data'!$B:$B,"custody",'caseload data'!$C:$C,'custody %'!$T$36),"")</f>
        <v/>
      </c>
      <c r="AB41" s="167" t="str">
        <f>IFERROR(SUMIFS('caseload data'!L:L,'caseload data'!$C:$C,'custody %'!$T$36,'caseload data'!$D:$D,"SPO",'caseload data'!$B:$B,"custody")/SUMIFS('caseload data'!L:L,'caseload data'!$B:$B,"custody",'caseload data'!$C:$C,'custody %'!$T$36),"")</f>
        <v/>
      </c>
      <c r="AC41" s="167" t="str">
        <f>IFERROR(SUMIFS('caseload data'!M:M,'caseload data'!$C:$C,'custody %'!$T$36,'caseload data'!$D:$D,"SPO",'caseload data'!$B:$B,"custody")/SUMIFS('caseload data'!M:M,'caseload data'!$B:$B,"custody",'caseload data'!$C:$C,'custody %'!$T$36),"")</f>
        <v/>
      </c>
      <c r="AD41" s="167" t="str">
        <f>IFERROR(SUMIFS('caseload data'!N:N,'caseload data'!$C:$C,'custody %'!$T$36,'caseload data'!$D:$D,"SPO",'caseload data'!$B:$B,"custody")/SUMIFS('caseload data'!N:N,'caseload data'!$B:$B,"custody",'caseload data'!$C:$C,'custody %'!$T$36),"")</f>
        <v/>
      </c>
      <c r="AE41" s="167" t="str">
        <f>IFERROR(SUMIFS('caseload data'!O:O,'caseload data'!$C:$C,'custody %'!$T$36,'caseload data'!$D:$D,"SPO",'caseload data'!$B:$B,"custody")/SUMIFS('caseload data'!O:O,'caseload data'!$B:$B,"custody",'caseload data'!$C:$C,'custody %'!$T$36),"")</f>
        <v/>
      </c>
      <c r="AF41" s="167" t="str">
        <f>IFERROR(SUMIFS('caseload data'!P:P,'caseload data'!$C:$C,'custody %'!$T$36,'caseload data'!$D:$D,"SPO",'caseload data'!$B:$B,"custody")/SUMIFS('caseload data'!P:P,'caseload data'!$B:$B,"custody",'caseload data'!$C:$C,'custody %'!$T$36),"")</f>
        <v/>
      </c>
      <c r="AG41" s="167" t="str">
        <f>IFERROR(SUMIFS('caseload data'!Q:Q,'caseload data'!$C:$C,'custody %'!$T$36,'caseload data'!$D:$D,"SPO",'caseload data'!$B:$B,"custody")/SUMIFS('caseload data'!Q:Q,'caseload data'!$B:$B,"custody",'caseload data'!$C:$C,'custody %'!$T$36),"")</f>
        <v/>
      </c>
      <c r="AH41" s="167" t="str">
        <f>IFERROR(SUMIFS('caseload data'!R:R,'caseload data'!$C:$C,'custody %'!$T$36,'caseload data'!$D:$D,"SPO",'caseload data'!$B:$B,"custody")/SUMIFS('caseload data'!R:R,'caseload data'!$B:$B,"custody",'caseload data'!$C:$C,'custody %'!$T$36),"")</f>
        <v/>
      </c>
      <c r="AI41" s="167"/>
      <c r="AJ41" s="167"/>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row>
    <row r="43" spans="2:36" ht="29.25" customHeight="1" x14ac:dyDescent="0.15">
      <c r="B43" s="288">
        <f>HLOOKUP($B$5,Region_Table,12,0)</f>
        <v>0</v>
      </c>
      <c r="C43" s="548" t="s">
        <v>1073</v>
      </c>
      <c r="D43" s="549"/>
      <c r="E43" s="549"/>
      <c r="F43" s="549"/>
      <c r="G43" s="549"/>
      <c r="H43" s="549"/>
      <c r="I43" s="549"/>
      <c r="J43" s="549"/>
      <c r="K43" s="549"/>
      <c r="L43" s="549"/>
      <c r="M43" s="568"/>
      <c r="N43" s="568"/>
      <c r="O43" s="569"/>
      <c r="P43" s="543">
        <f>SUMIF('caseload data'!$C:$C,'custody %'!B43,'caseload data'!V:V)</f>
        <v>0</v>
      </c>
      <c r="Q43" s="560"/>
      <c r="R43" s="561"/>
      <c r="S43" s="64"/>
      <c r="T43" s="288">
        <f>HLOOKUP($B$5,Region_Table,13,0)</f>
        <v>0</v>
      </c>
      <c r="U43" s="548" t="s">
        <v>1073</v>
      </c>
      <c r="V43" s="549"/>
      <c r="W43" s="549"/>
      <c r="X43" s="549"/>
      <c r="Y43" s="549"/>
      <c r="Z43" s="549"/>
      <c r="AA43" s="549"/>
      <c r="AB43" s="549"/>
      <c r="AC43" s="568"/>
      <c r="AD43" s="568"/>
      <c r="AE43" s="569"/>
      <c r="AF43" s="543">
        <f>SUMIF('caseload data'!$C:$C,'custody %'!T43,'caseload data'!V:V)</f>
        <v>0</v>
      </c>
      <c r="AG43" s="560"/>
      <c r="AH43" s="561"/>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167" t="str">
        <f>IFERROR(SUMIFS('caseload data'!E:E,'caseload data'!$C:$C,'custody %'!$B$43,'caseload data'!$D:$D,"PO",'caseload data'!$B:$B,"custody")/SUMIFS('caseload data'!E:E,'caseload data'!$B:$B,"custody",'caseload data'!$C:$C,'custody %'!$B$43),"")</f>
        <v/>
      </c>
      <c r="D45" s="167" t="str">
        <f>IFERROR(SUMIFS('caseload data'!F:F,'caseload data'!$C:$C,'custody %'!$B$43,'caseload data'!$D:$D,"PO",'caseload data'!$B:$B,"custody")/SUMIFS('caseload data'!F:F,'caseload data'!$B:$B,"custody",'caseload data'!$C:$C,'custody %'!$B$43),"")</f>
        <v/>
      </c>
      <c r="E45" s="167" t="str">
        <f>IFERROR(SUMIFS('caseload data'!G:G,'caseload data'!$C:$C,'custody %'!$B$43,'caseload data'!$D:$D,"PO",'caseload data'!$B:$B,"custody")/SUMIFS('caseload data'!G:G,'caseload data'!$B:$B,"custody",'caseload data'!$C:$C,'custody %'!$B$43),"")</f>
        <v/>
      </c>
      <c r="F45" s="167" t="str">
        <f>IFERROR(SUMIFS('caseload data'!H:H,'caseload data'!$C:$C,'custody %'!$B$43,'caseload data'!$D:$D,"PO",'caseload data'!$B:$B,"custody")/SUMIFS('caseload data'!H:H,'caseload data'!$B:$B,"custody",'caseload data'!$C:$C,'custody %'!$B$43),"")</f>
        <v/>
      </c>
      <c r="G45" s="167" t="str">
        <f>IFERROR(SUMIFS('caseload data'!I:I,'caseload data'!$C:$C,'custody %'!$B$43,'caseload data'!$D:$D,"PO",'caseload data'!$B:$B,"custody")/SUMIFS('caseload data'!I:I,'caseload data'!$B:$B,"custody",'caseload data'!$C:$C,'custody %'!$B$43),"")</f>
        <v/>
      </c>
      <c r="H45" s="167" t="str">
        <f>IFERROR(SUMIFS('caseload data'!J:J,'caseload data'!$C:$C,'custody %'!$B$43,'caseload data'!$D:$D,"PO",'caseload data'!$B:$B,"custody")/SUMIFS('caseload data'!J:J,'caseload data'!$B:$B,"custody",'caseload data'!$C:$C,'custody %'!$B$43),"")</f>
        <v/>
      </c>
      <c r="I45" s="167" t="str">
        <f>IFERROR(SUMIFS('caseload data'!K:K,'caseload data'!$C:$C,'custody %'!$B$43,'caseload data'!$D:$D,"PO",'caseload data'!$B:$B,"custody")/SUMIFS('caseload data'!K:K,'caseload data'!$B:$B,"custody",'caseload data'!$C:$C,'custody %'!$B$43),"")</f>
        <v/>
      </c>
      <c r="J45" s="167" t="str">
        <f>IFERROR(SUMIFS('caseload data'!L:L,'caseload data'!$C:$C,'custody %'!$B$43,'caseload data'!$D:$D,"PO",'caseload data'!$B:$B,"custody")/SUMIFS('caseload data'!L:L,'caseload data'!$B:$B,"custody",'caseload data'!$C:$C,'custody %'!$B$43),"")</f>
        <v/>
      </c>
      <c r="K45" s="167" t="str">
        <f>IFERROR(SUMIFS('caseload data'!M:M,'caseload data'!$C:$C,'custody %'!$B$43,'caseload data'!$D:$D,"PO",'caseload data'!$B:$B,"custody")/SUMIFS('caseload data'!M:M,'caseload data'!$B:$B,"custody",'caseload data'!$C:$C,'custody %'!$B$43),"")</f>
        <v/>
      </c>
      <c r="L45" s="167" t="str">
        <f>IFERROR(SUMIFS('caseload data'!N:N,'caseload data'!$C:$C,'custody %'!$B$43,'caseload data'!$D:$D,"PO",'caseload data'!$B:$B,"custody")/SUMIFS('caseload data'!N:N,'caseload data'!$B:$B,"custody",'caseload data'!$C:$C,'custody %'!$B$43),"")</f>
        <v/>
      </c>
      <c r="M45" s="167" t="str">
        <f>IFERROR(SUMIFS('caseload data'!O:O,'caseload data'!$C:$C,'custody %'!$B$43,'caseload data'!$D:$D,"PO",'caseload data'!$B:$B,"custody")/SUMIFS('caseload data'!O:O,'caseload data'!$B:$B,"custody",'caseload data'!$C:$C,'custody %'!$B$43),"")</f>
        <v/>
      </c>
      <c r="N45" s="167" t="str">
        <f>IFERROR(SUMIFS('caseload data'!P:P,'caseload data'!$C:$C,'custody %'!$B$43,'caseload data'!$D:$D,"PO",'caseload data'!$B:$B,"custody")/SUMIFS('caseload data'!P:P,'caseload data'!$B:$B,"custody",'caseload data'!$C:$C,'custody %'!$B$43),"")</f>
        <v/>
      </c>
      <c r="O45" s="167" t="str">
        <f>IFERROR(SUMIFS('caseload data'!Q:Q,'caseload data'!$C:$C,'custody %'!$B$43,'caseload data'!$D:$D,"PO",'caseload data'!$B:$B,"custody")/SUMIFS('caseload data'!Q:Q,'caseload data'!$B:$B,"custody",'caseload data'!$C:$C,'custody %'!$B$43),"")</f>
        <v/>
      </c>
      <c r="P45" s="167" t="str">
        <f>IFERROR(SUMIFS('caseload data'!R:R,'caseload data'!$C:$C,'custody %'!$B$43,'caseload data'!$D:$D,"PO",'caseload data'!$B:$B,"custody")/SUMIFS('caseload data'!R:R,'caseload data'!$B:$B,"custody",'caseload data'!$C:$C,'custody %'!$B$43),"")</f>
        <v/>
      </c>
      <c r="Q45" s="167" t="str">
        <f>IFERROR(SUMIFS('caseload data'!S:S,'caseload data'!$C:$C,'custody %'!$B$43,'caseload data'!$D:$D,"PO",'caseload data'!$B:$B,"custody")/SUMIFS('caseload data'!S:S,'caseload data'!$B:$B,"custody",'caseload data'!$C:$C,'custody %'!$B$43),"")</f>
        <v/>
      </c>
      <c r="R45" s="167" t="str">
        <f>IFERROR(SUMIFS('caseload data'!T:T,'caseload data'!$C:$C,'custody %'!$B$43,'caseload data'!$D:$D,"PO",'caseload data'!$B:$B,"custody")/SUMIFS('caseload data'!T:T,'caseload data'!$B:$B,"custody",'caseload data'!$C:$C,'custody %'!$B$43),"")</f>
        <v/>
      </c>
      <c r="S45" s="64"/>
      <c r="T45" s="96" t="s">
        <v>947</v>
      </c>
      <c r="U45" s="167" t="str">
        <f>IFERROR(SUMIFS('caseload data'!E:E,'caseload data'!$C:$C,'custody %'!$T$43,'caseload data'!$D:$D,"PO",'caseload data'!$B:$B,"custody")/SUMIFS('caseload data'!E:E,'caseload data'!$B:$B,"custody",'caseload data'!$C:$C,'custody %'!$T$43),"")</f>
        <v/>
      </c>
      <c r="V45" s="167" t="str">
        <f>IFERROR(SUMIFS('caseload data'!F:F,'caseload data'!$C:$C,'custody %'!$T$43,'caseload data'!$D:$D,"PO",'caseload data'!$B:$B,"custody")/SUMIFS('caseload data'!F:F,'caseload data'!$B:$B,"custody",'caseload data'!$C:$C,'custody %'!$T$43),"")</f>
        <v/>
      </c>
      <c r="W45" s="167" t="str">
        <f>IFERROR(SUMIFS('caseload data'!G:G,'caseload data'!$C:$C,'custody %'!$T$43,'caseload data'!$D:$D,"PO",'caseload data'!$B:$B,"custody")/SUMIFS('caseload data'!G:G,'caseload data'!$B:$B,"custody",'caseload data'!$C:$C,'custody %'!$T$43),"")</f>
        <v/>
      </c>
      <c r="X45" s="167" t="str">
        <f>IFERROR(SUMIFS('caseload data'!H:H,'caseload data'!$C:$C,'custody %'!$T$43,'caseload data'!$D:$D,"PO",'caseload data'!$B:$B,"custody")/SUMIFS('caseload data'!H:H,'caseload data'!$B:$B,"custody",'caseload data'!$C:$C,'custody %'!$T$43),"")</f>
        <v/>
      </c>
      <c r="Y45" s="167" t="str">
        <f>IFERROR(SUMIFS('caseload data'!I:I,'caseload data'!$C:$C,'custody %'!$T$43,'caseload data'!$D:$D,"PO",'caseload data'!$B:$B,"custody")/SUMIFS('caseload data'!I:I,'caseload data'!$B:$B,"custody",'caseload data'!$C:$C,'custody %'!$T$43),"")</f>
        <v/>
      </c>
      <c r="Z45" s="167" t="str">
        <f>IFERROR(SUMIFS('caseload data'!J:J,'caseload data'!$C:$C,'custody %'!$T$43,'caseload data'!$D:$D,"PO",'caseload data'!$B:$B,"custody")/SUMIFS('caseload data'!J:J,'caseload data'!$B:$B,"custody",'caseload data'!$C:$C,'custody %'!$T$43),"")</f>
        <v/>
      </c>
      <c r="AA45" s="167" t="str">
        <f>IFERROR(SUMIFS('caseload data'!K:K,'caseload data'!$C:$C,'custody %'!$T$43,'caseload data'!$D:$D,"PO",'caseload data'!$B:$B,"custody")/SUMIFS('caseload data'!K:K,'caseload data'!$B:$B,"custody",'caseload data'!$C:$C,'custody %'!$T$43),"")</f>
        <v/>
      </c>
      <c r="AB45" s="167" t="str">
        <f>IFERROR(SUMIFS('caseload data'!L:L,'caseload data'!$C:$C,'custody %'!$T$43,'caseload data'!$D:$D,"PO",'caseload data'!$B:$B,"custody")/SUMIFS('caseload data'!L:L,'caseload data'!$B:$B,"custody",'caseload data'!$C:$C,'custody %'!$T$43),"")</f>
        <v/>
      </c>
      <c r="AC45" s="167" t="str">
        <f>IFERROR(SUMIFS('caseload data'!M:M,'caseload data'!$C:$C,'custody %'!$T$43,'caseload data'!$D:$D,"PO",'caseload data'!$B:$B,"custody")/SUMIFS('caseload data'!M:M,'caseload data'!$B:$B,"custody",'caseload data'!$C:$C,'custody %'!$T$43),"")</f>
        <v/>
      </c>
      <c r="AD45" s="167" t="str">
        <f>IFERROR(SUMIFS('caseload data'!N:N,'caseload data'!$C:$C,'custody %'!$T$43,'caseload data'!$D:$D,"PO",'caseload data'!$B:$B,"custody")/SUMIFS('caseload data'!N:N,'caseload data'!$B:$B,"custody",'caseload data'!$C:$C,'custody %'!$T$43),"")</f>
        <v/>
      </c>
      <c r="AE45" s="167" t="str">
        <f>IFERROR(SUMIFS('caseload data'!O:O,'caseload data'!$C:$C,'custody %'!$T$43,'caseload data'!$D:$D,"PO",'caseload data'!$B:$B,"custody")/SUMIFS('caseload data'!O:O,'caseload data'!$B:$B,"custody",'caseload data'!$C:$C,'custody %'!$T$43),"")</f>
        <v/>
      </c>
      <c r="AF45" s="167" t="str">
        <f>IFERROR(SUMIFS('caseload data'!P:P,'caseload data'!$C:$C,'custody %'!$T$43,'caseload data'!$D:$D,"PO",'caseload data'!$B:$B,"custody")/SUMIFS('caseload data'!P:P,'caseload data'!$B:$B,"custody",'caseload data'!$C:$C,'custody %'!$T$43),"")</f>
        <v/>
      </c>
      <c r="AG45" s="167" t="str">
        <f>IFERROR(SUMIFS('caseload data'!Q:Q,'caseload data'!$C:$C,'custody %'!$T$43,'caseload data'!$D:$D,"PO",'caseload data'!$B:$B,"custody")/SUMIFS('caseload data'!Q:Q,'caseload data'!$B:$B,"custody",'caseload data'!$C:$C,'custody %'!$T$43),"")</f>
        <v/>
      </c>
      <c r="AH45" s="167" t="str">
        <f>IFERROR(SUMIFS('caseload data'!R:R,'caseload data'!$C:$C,'custody %'!$T$43,'caseload data'!$D:$D,"PO",'caseload data'!$B:$B,"custody")/SUMIFS('caseload data'!R:R,'caseload data'!$B:$B,"custody",'caseload data'!$C:$C,'custody %'!$T$43),"")</f>
        <v/>
      </c>
      <c r="AI45" s="167"/>
      <c r="AJ45" s="167"/>
    </row>
    <row r="46" spans="2:36" x14ac:dyDescent="0.15">
      <c r="B46" s="97" t="s">
        <v>952</v>
      </c>
      <c r="C46" s="167" t="str">
        <f>IFERROR(SUMIFS('caseload data'!E:E,'caseload data'!$C:$C,'custody %'!$B$43,'caseload data'!$D:$D,"PSO",'caseload data'!$B:$B,"custody")/SUMIFS('caseload data'!E:E,'caseload data'!$B:$B,"custody",'caseload data'!$C:$C,'custody %'!$B$43),"")</f>
        <v/>
      </c>
      <c r="D46" s="167" t="str">
        <f>IFERROR(SUMIFS('caseload data'!F:F,'caseload data'!$C:$C,'custody %'!$B$43,'caseload data'!$D:$D,"PSO",'caseload data'!$B:$B,"custody")/SUMIFS('caseload data'!F:F,'caseload data'!$B:$B,"custody",'caseload data'!$C:$C,'custody %'!$B$43),"")</f>
        <v/>
      </c>
      <c r="E46" s="167" t="str">
        <f>IFERROR(SUMIFS('caseload data'!G:G,'caseload data'!$C:$C,'custody %'!$B$43,'caseload data'!$D:$D,"PSO",'caseload data'!$B:$B,"custody")/SUMIFS('caseload data'!G:G,'caseload data'!$B:$B,"custody",'caseload data'!$C:$C,'custody %'!$B$43),"")</f>
        <v/>
      </c>
      <c r="F46" s="167" t="str">
        <f>IFERROR(SUMIFS('caseload data'!H:H,'caseload data'!$C:$C,'custody %'!$B$43,'caseload data'!$D:$D,"PSO",'caseload data'!$B:$B,"custody")/SUMIFS('caseload data'!H:H,'caseload data'!$B:$B,"custody",'caseload data'!$C:$C,'custody %'!$B$43),"")</f>
        <v/>
      </c>
      <c r="G46" s="167" t="str">
        <f>IFERROR(SUMIFS('caseload data'!I:I,'caseload data'!$C:$C,'custody %'!$B$43,'caseload data'!$D:$D,"PSO",'caseload data'!$B:$B,"custody")/SUMIFS('caseload data'!I:I,'caseload data'!$B:$B,"custody",'caseload data'!$C:$C,'custody %'!$B$43),"")</f>
        <v/>
      </c>
      <c r="H46" s="167" t="str">
        <f>IFERROR(SUMIFS('caseload data'!J:J,'caseload data'!$C:$C,'custody %'!$B$43,'caseload data'!$D:$D,"PSO",'caseload data'!$B:$B,"custody")/SUMIFS('caseload data'!J:J,'caseload data'!$B:$B,"custody",'caseload data'!$C:$C,'custody %'!$B$43),"")</f>
        <v/>
      </c>
      <c r="I46" s="167" t="str">
        <f>IFERROR(SUMIFS('caseload data'!K:K,'caseload data'!$C:$C,'custody %'!$B$43,'caseload data'!$D:$D,"PSO",'caseload data'!$B:$B,"custody")/SUMIFS('caseload data'!K:K,'caseload data'!$B:$B,"custody",'caseload data'!$C:$C,'custody %'!$B$43),"")</f>
        <v/>
      </c>
      <c r="J46" s="167" t="str">
        <f>IFERROR(SUMIFS('caseload data'!L:L,'caseload data'!$C:$C,'custody %'!$B$43,'caseload data'!$D:$D,"PSO",'caseload data'!$B:$B,"custody")/SUMIFS('caseload data'!L:L,'caseload data'!$B:$B,"custody",'caseload data'!$C:$C,'custody %'!$B$43),"")</f>
        <v/>
      </c>
      <c r="K46" s="167" t="str">
        <f>IFERROR(SUMIFS('caseload data'!M:M,'caseload data'!$C:$C,'custody %'!$B$43,'caseload data'!$D:$D,"PSO",'caseload data'!$B:$B,"custody")/SUMIFS('caseload data'!M:M,'caseload data'!$B:$B,"custody",'caseload data'!$C:$C,'custody %'!$B$43),"")</f>
        <v/>
      </c>
      <c r="L46" s="167" t="str">
        <f>IFERROR(SUMIFS('caseload data'!N:N,'caseload data'!$C:$C,'custody %'!$B$43,'caseload data'!$D:$D,"PSO",'caseload data'!$B:$B,"custody")/SUMIFS('caseload data'!N:N,'caseload data'!$B:$B,"custody",'caseload data'!$C:$C,'custody %'!$B$43),"")</f>
        <v/>
      </c>
      <c r="M46" s="167" t="str">
        <f>IFERROR(SUMIFS('caseload data'!O:O,'caseload data'!$C:$C,'custody %'!$B$43,'caseload data'!$D:$D,"PSO",'caseload data'!$B:$B,"custody")/SUMIFS('caseload data'!O:O,'caseload data'!$B:$B,"custody",'caseload data'!$C:$C,'custody %'!$B$43),"")</f>
        <v/>
      </c>
      <c r="N46" s="167" t="str">
        <f>IFERROR(SUMIFS('caseload data'!P:P,'caseload data'!$C:$C,'custody %'!$B$43,'caseload data'!$D:$D,"PSO",'caseload data'!$B:$B,"custody")/SUMIFS('caseload data'!P:P,'caseload data'!$B:$B,"custody",'caseload data'!$C:$C,'custody %'!$B$43),"")</f>
        <v/>
      </c>
      <c r="O46" s="167" t="str">
        <f>IFERROR(SUMIFS('caseload data'!Q:Q,'caseload data'!$C:$C,'custody %'!$B$43,'caseload data'!$D:$D,"PSO",'caseload data'!$B:$B,"custody")/SUMIFS('caseload data'!Q:Q,'caseload data'!$B:$B,"custody",'caseload data'!$C:$C,'custody %'!$B$43),"")</f>
        <v/>
      </c>
      <c r="P46" s="167" t="str">
        <f>IFERROR(SUMIFS('caseload data'!R:R,'caseload data'!$C:$C,'custody %'!$B$43,'caseload data'!$D:$D,"PSO",'caseload data'!$B:$B,"custody")/SUMIFS('caseload data'!R:R,'caseload data'!$B:$B,"custody",'caseload data'!$C:$C,'custody %'!$B$43),"")</f>
        <v/>
      </c>
      <c r="Q46" s="167" t="str">
        <f>IFERROR(SUMIFS('caseload data'!S:S,'caseload data'!$C:$C,'custody %'!$B$43,'caseload data'!$D:$D,"PSO",'caseload data'!$B:$B,"custody")/SUMIFS('caseload data'!S:S,'caseload data'!$B:$B,"custody",'caseload data'!$C:$C,'custody %'!$B$43),"")</f>
        <v/>
      </c>
      <c r="R46" s="167" t="str">
        <f>IFERROR(SUMIFS('caseload data'!T:T,'caseload data'!$C:$C,'custody %'!$B$43,'caseload data'!$D:$D,"PSO",'caseload data'!$B:$B,"custody")/SUMIFS('caseload data'!T:T,'caseload data'!$B:$B,"custody",'caseload data'!$C:$C,'custody %'!$B$43),"")</f>
        <v/>
      </c>
      <c r="S46" s="64"/>
      <c r="T46" s="97" t="s">
        <v>952</v>
      </c>
      <c r="U46" s="167" t="str">
        <f>IFERROR(SUMIFS('caseload data'!E:E,'caseload data'!$C:$C,'custody %'!$T$43,'caseload data'!$D:$D,"PSO",'caseload data'!$B:$B,"custody")/SUMIFS('caseload data'!E:E,'caseload data'!$B:$B,"custody",'caseload data'!$C:$C,'custody %'!$T$43),"")</f>
        <v/>
      </c>
      <c r="V46" s="167" t="str">
        <f>IFERROR(SUMIFS('caseload data'!F:F,'caseload data'!$C:$C,'custody %'!$T$43,'caseload data'!$D:$D,"PSO",'caseload data'!$B:$B,"custody")/SUMIFS('caseload data'!F:F,'caseload data'!$B:$B,"custody",'caseload data'!$C:$C,'custody %'!$T$43),"")</f>
        <v/>
      </c>
      <c r="W46" s="167" t="str">
        <f>IFERROR(SUMIFS('caseload data'!G:G,'caseload data'!$C:$C,'custody %'!$T$43,'caseload data'!$D:$D,"PSO",'caseload data'!$B:$B,"custody")/SUMIFS('caseload data'!G:G,'caseload data'!$B:$B,"custody",'caseload data'!$C:$C,'custody %'!$T$43),"")</f>
        <v/>
      </c>
      <c r="X46" s="167" t="str">
        <f>IFERROR(SUMIFS('caseload data'!H:H,'caseload data'!$C:$C,'custody %'!$T$43,'caseload data'!$D:$D,"PSO",'caseload data'!$B:$B,"custody")/SUMIFS('caseload data'!H:H,'caseload data'!$B:$B,"custody",'caseload data'!$C:$C,'custody %'!$T$43),"")</f>
        <v/>
      </c>
      <c r="Y46" s="167" t="str">
        <f>IFERROR(SUMIFS('caseload data'!I:I,'caseload data'!$C:$C,'custody %'!$T$43,'caseload data'!$D:$D,"PSO",'caseload data'!$B:$B,"custody")/SUMIFS('caseload data'!I:I,'caseload data'!$B:$B,"custody",'caseload data'!$C:$C,'custody %'!$T$43),"")</f>
        <v/>
      </c>
      <c r="Z46" s="167" t="str">
        <f>IFERROR(SUMIFS('caseload data'!J:J,'caseload data'!$C:$C,'custody %'!$T$43,'caseload data'!$D:$D,"PSO",'caseload data'!$B:$B,"custody")/SUMIFS('caseload data'!J:J,'caseload data'!$B:$B,"custody",'caseload data'!$C:$C,'custody %'!$T$43),"")</f>
        <v/>
      </c>
      <c r="AA46" s="167" t="str">
        <f>IFERROR(SUMIFS('caseload data'!K:K,'caseload data'!$C:$C,'custody %'!$T$43,'caseload data'!$D:$D,"PSO",'caseload data'!$B:$B,"custody")/SUMIFS('caseload data'!K:K,'caseload data'!$B:$B,"custody",'caseload data'!$C:$C,'custody %'!$T$43),"")</f>
        <v/>
      </c>
      <c r="AB46" s="167" t="str">
        <f>IFERROR(SUMIFS('caseload data'!L:L,'caseload data'!$C:$C,'custody %'!$T$43,'caseload data'!$D:$D,"PSO",'caseload data'!$B:$B,"custody")/SUMIFS('caseload data'!L:L,'caseload data'!$B:$B,"custody",'caseload data'!$C:$C,'custody %'!$T$43),"")</f>
        <v/>
      </c>
      <c r="AC46" s="167" t="str">
        <f>IFERROR(SUMIFS('caseload data'!M:M,'caseload data'!$C:$C,'custody %'!$T$43,'caseload data'!$D:$D,"PSO",'caseload data'!$B:$B,"custody")/SUMIFS('caseload data'!M:M,'caseload data'!$B:$B,"custody",'caseload data'!$C:$C,'custody %'!$T$43),"")</f>
        <v/>
      </c>
      <c r="AD46" s="167" t="str">
        <f>IFERROR(SUMIFS('caseload data'!N:N,'caseload data'!$C:$C,'custody %'!$T$43,'caseload data'!$D:$D,"PSO",'caseload data'!$B:$B,"custody")/SUMIFS('caseload data'!N:N,'caseload data'!$B:$B,"custody",'caseload data'!$C:$C,'custody %'!$T$43),"")</f>
        <v/>
      </c>
      <c r="AE46" s="167" t="str">
        <f>IFERROR(SUMIFS('caseload data'!O:O,'caseload data'!$C:$C,'custody %'!$T$43,'caseload data'!$D:$D,"PSO",'caseload data'!$B:$B,"custody")/SUMIFS('caseload data'!O:O,'caseload data'!$B:$B,"custody",'caseload data'!$C:$C,'custody %'!$T$43),"")</f>
        <v/>
      </c>
      <c r="AF46" s="167" t="str">
        <f>IFERROR(SUMIFS('caseload data'!P:P,'caseload data'!$C:$C,'custody %'!$T$43,'caseload data'!$D:$D,"PSO",'caseload data'!$B:$B,"custody")/SUMIFS('caseload data'!P:P,'caseload data'!$B:$B,"custody",'caseload data'!$C:$C,'custody %'!$T$43),"")</f>
        <v/>
      </c>
      <c r="AG46" s="167" t="str">
        <f>IFERROR(SUMIFS('caseload data'!Q:Q,'caseload data'!$C:$C,'custody %'!$T$43,'caseload data'!$D:$D,"PSO",'caseload data'!$B:$B,"custody")/SUMIFS('caseload data'!Q:Q,'caseload data'!$B:$B,"custody",'caseload data'!$C:$C,'custody %'!$T$43),"")</f>
        <v/>
      </c>
      <c r="AH46" s="167" t="str">
        <f>IFERROR(SUMIFS('caseload data'!R:R,'caseload data'!$C:$C,'custody %'!$T$43,'caseload data'!$D:$D,"PSO",'caseload data'!$B:$B,"custody")/SUMIFS('caseload data'!R:R,'caseload data'!$B:$B,"custody",'caseload data'!$C:$C,'custody %'!$T$43),"")</f>
        <v/>
      </c>
      <c r="AI46" s="167"/>
      <c r="AJ46" s="167"/>
    </row>
    <row r="47" spans="2:36" x14ac:dyDescent="0.15">
      <c r="B47" s="97" t="s">
        <v>953</v>
      </c>
      <c r="C47" s="167" t="str">
        <f>IFERROR(SUMIFS('caseload data'!E:E,'caseload data'!$C:$C,'custody %'!$B$43,'caseload data'!$D:$D,"TPO",'caseload data'!$B:$B,"custody")/SUMIFS('caseload data'!E:E,'caseload data'!$B:$B,"custody",'caseload data'!$C:$C,'custody %'!$B$43),"")</f>
        <v/>
      </c>
      <c r="D47" s="167" t="str">
        <f>IFERROR(SUMIFS('caseload data'!F:F,'caseload data'!$C:$C,'custody %'!$B$43,'caseload data'!$D:$D,"TPO",'caseload data'!$B:$B,"custody")/SUMIFS('caseload data'!F:F,'caseload data'!$B:$B,"custody",'caseload data'!$C:$C,'custody %'!$B$43),"")</f>
        <v/>
      </c>
      <c r="E47" s="167" t="str">
        <f>IFERROR(SUMIFS('caseload data'!G:G,'caseload data'!$C:$C,'custody %'!$B$43,'caseload data'!$D:$D,"TPO",'caseload data'!$B:$B,"custody")/SUMIFS('caseload data'!G:G,'caseload data'!$B:$B,"custody",'caseload data'!$C:$C,'custody %'!$B$43),"")</f>
        <v/>
      </c>
      <c r="F47" s="167" t="str">
        <f>IFERROR(SUMIFS('caseload data'!H:H,'caseload data'!$C:$C,'custody %'!$B$43,'caseload data'!$D:$D,"TPO",'caseload data'!$B:$B,"custody")/SUMIFS('caseload data'!H:H,'caseload data'!$B:$B,"custody",'caseload data'!$C:$C,'custody %'!$B$43),"")</f>
        <v/>
      </c>
      <c r="G47" s="167" t="str">
        <f>IFERROR(SUMIFS('caseload data'!I:I,'caseload data'!$C:$C,'custody %'!$B$43,'caseload data'!$D:$D,"TPO",'caseload data'!$B:$B,"custody")/SUMIFS('caseload data'!I:I,'caseload data'!$B:$B,"custody",'caseload data'!$C:$C,'custody %'!$B$43),"")</f>
        <v/>
      </c>
      <c r="H47" s="167" t="str">
        <f>IFERROR(SUMIFS('caseload data'!J:J,'caseload data'!$C:$C,'custody %'!$B$43,'caseload data'!$D:$D,"TPO",'caseload data'!$B:$B,"custody")/SUMIFS('caseload data'!J:J,'caseload data'!$B:$B,"custody",'caseload data'!$C:$C,'custody %'!$B$43),"")</f>
        <v/>
      </c>
      <c r="I47" s="167" t="str">
        <f>IFERROR(SUMIFS('caseload data'!K:K,'caseload data'!$C:$C,'custody %'!$B$43,'caseload data'!$D:$D,"TPO",'caseload data'!$B:$B,"custody")/SUMIFS('caseload data'!K:K,'caseload data'!$B:$B,"custody",'caseload data'!$C:$C,'custody %'!$B$43),"")</f>
        <v/>
      </c>
      <c r="J47" s="167" t="str">
        <f>IFERROR(SUMIFS('caseload data'!L:L,'caseload data'!$C:$C,'custody %'!$B$43,'caseload data'!$D:$D,"TPO",'caseload data'!$B:$B,"custody")/SUMIFS('caseload data'!L:L,'caseload data'!$B:$B,"custody",'caseload data'!$C:$C,'custody %'!$B$43),"")</f>
        <v/>
      </c>
      <c r="K47" s="167" t="str">
        <f>IFERROR(SUMIFS('caseload data'!M:M,'caseload data'!$C:$C,'custody %'!$B$43,'caseload data'!$D:$D,"TPO",'caseload data'!$B:$B,"custody")/SUMIFS('caseload data'!M:M,'caseload data'!$B:$B,"custody",'caseload data'!$C:$C,'custody %'!$B$43),"")</f>
        <v/>
      </c>
      <c r="L47" s="167" t="str">
        <f>IFERROR(SUMIFS('caseload data'!N:N,'caseload data'!$C:$C,'custody %'!$B$43,'caseload data'!$D:$D,"TPO",'caseload data'!$B:$B,"custody")/SUMIFS('caseload data'!N:N,'caseload data'!$B:$B,"custody",'caseload data'!$C:$C,'custody %'!$B$43),"")</f>
        <v/>
      </c>
      <c r="M47" s="167" t="str">
        <f>IFERROR(SUMIFS('caseload data'!O:O,'caseload data'!$C:$C,'custody %'!$B$43,'caseload data'!$D:$D,"TPO",'caseload data'!$B:$B,"custody")/SUMIFS('caseload data'!O:O,'caseload data'!$B:$B,"custody",'caseload data'!$C:$C,'custody %'!$B$43),"")</f>
        <v/>
      </c>
      <c r="N47" s="167" t="str">
        <f>IFERROR(SUMIFS('caseload data'!P:P,'caseload data'!$C:$C,'custody %'!$B$43,'caseload data'!$D:$D,"TPO",'caseload data'!$B:$B,"custody")/SUMIFS('caseload data'!P:P,'caseload data'!$B:$B,"custody",'caseload data'!$C:$C,'custody %'!$B$43),"")</f>
        <v/>
      </c>
      <c r="O47" s="167" t="str">
        <f>IFERROR(SUMIFS('caseload data'!Q:Q,'caseload data'!$C:$C,'custody %'!$B$43,'caseload data'!$D:$D,"TPO",'caseload data'!$B:$B,"custody")/SUMIFS('caseload data'!Q:Q,'caseload data'!$B:$B,"custody",'caseload data'!$C:$C,'custody %'!$B$43),"")</f>
        <v/>
      </c>
      <c r="P47" s="167" t="str">
        <f>IFERROR(SUMIFS('caseload data'!R:R,'caseload data'!$C:$C,'custody %'!$B$43,'caseload data'!$D:$D,"TPO",'caseload data'!$B:$B,"custody")/SUMIFS('caseload data'!R:R,'caseload data'!$B:$B,"custody",'caseload data'!$C:$C,'custody %'!$B$43),"")</f>
        <v/>
      </c>
      <c r="Q47" s="167" t="str">
        <f>IFERROR(SUMIFS('caseload data'!S:S,'caseload data'!$C:$C,'custody %'!$B$43,'caseload data'!$D:$D,"TPO",'caseload data'!$B:$B,"custody")/SUMIFS('caseload data'!S:S,'caseload data'!$B:$B,"custody",'caseload data'!$C:$C,'custody %'!$B$43),"")</f>
        <v/>
      </c>
      <c r="R47" s="167" t="str">
        <f>IFERROR(SUMIFS('caseload data'!T:T,'caseload data'!$C:$C,'custody %'!$B$43,'caseload data'!$D:$D,"TPO",'caseload data'!$B:$B,"custody")/SUMIFS('caseload data'!T:T,'caseload data'!$B:$B,"custody",'caseload data'!$C:$C,'custody %'!$B$43),"")</f>
        <v/>
      </c>
      <c r="S47" s="64"/>
      <c r="T47" s="97" t="s">
        <v>953</v>
      </c>
      <c r="U47" s="167" t="str">
        <f>IFERROR(SUMIFS('caseload data'!E:E,'caseload data'!$C:$C,'custody %'!$T$43,'caseload data'!$D:$D,"TPO",'caseload data'!$B:$B,"custody")/SUMIFS('caseload data'!E:E,'caseload data'!$B:$B,"custody",'caseload data'!$C:$C,'custody %'!$T$43),"")</f>
        <v/>
      </c>
      <c r="V47" s="167" t="str">
        <f>IFERROR(SUMIFS('caseload data'!F:F,'caseload data'!$C:$C,'custody %'!$T$43,'caseload data'!$D:$D,"TPO",'caseload data'!$B:$B,"custody")/SUMIFS('caseload data'!F:F,'caseload data'!$B:$B,"custody",'caseload data'!$C:$C,'custody %'!$T$43),"")</f>
        <v/>
      </c>
      <c r="W47" s="167" t="str">
        <f>IFERROR(SUMIFS('caseload data'!G:G,'caseload data'!$C:$C,'custody %'!$T$43,'caseload data'!$D:$D,"TPO",'caseload data'!$B:$B,"custody")/SUMIFS('caseload data'!G:G,'caseload data'!$B:$B,"custody",'caseload data'!$C:$C,'custody %'!$T$43),"")</f>
        <v/>
      </c>
      <c r="X47" s="167" t="str">
        <f>IFERROR(SUMIFS('caseload data'!H:H,'caseload data'!$C:$C,'custody %'!$T$43,'caseload data'!$D:$D,"TPO",'caseload data'!$B:$B,"custody")/SUMIFS('caseload data'!H:H,'caseload data'!$B:$B,"custody",'caseload data'!$C:$C,'custody %'!$T$43),"")</f>
        <v/>
      </c>
      <c r="Y47" s="167" t="str">
        <f>IFERROR(SUMIFS('caseload data'!I:I,'caseload data'!$C:$C,'custody %'!$T$43,'caseload data'!$D:$D,"TPO",'caseload data'!$B:$B,"custody")/SUMIFS('caseload data'!I:I,'caseload data'!$B:$B,"custody",'caseload data'!$C:$C,'custody %'!$T$43),"")</f>
        <v/>
      </c>
      <c r="Z47" s="167" t="str">
        <f>IFERROR(SUMIFS('caseload data'!J:J,'caseload data'!$C:$C,'custody %'!$T$43,'caseload data'!$D:$D,"TPO",'caseload data'!$B:$B,"custody")/SUMIFS('caseload data'!J:J,'caseload data'!$B:$B,"custody",'caseload data'!$C:$C,'custody %'!$T$43),"")</f>
        <v/>
      </c>
      <c r="AA47" s="167" t="str">
        <f>IFERROR(SUMIFS('caseload data'!K:K,'caseload data'!$C:$C,'custody %'!$T$43,'caseload data'!$D:$D,"TPO",'caseload data'!$B:$B,"custody")/SUMIFS('caseload data'!K:K,'caseload data'!$B:$B,"custody",'caseload data'!$C:$C,'custody %'!$T$43),"")</f>
        <v/>
      </c>
      <c r="AB47" s="167" t="str">
        <f>IFERROR(SUMIFS('caseload data'!L:L,'caseload data'!$C:$C,'custody %'!$T$43,'caseload data'!$D:$D,"TPO",'caseload data'!$B:$B,"custody")/SUMIFS('caseload data'!L:L,'caseload data'!$B:$B,"custody",'caseload data'!$C:$C,'custody %'!$T$43),"")</f>
        <v/>
      </c>
      <c r="AC47" s="167" t="str">
        <f>IFERROR(SUMIFS('caseload data'!M:M,'caseload data'!$C:$C,'custody %'!$T$43,'caseload data'!$D:$D,"TPO",'caseload data'!$B:$B,"custody")/SUMIFS('caseload data'!M:M,'caseload data'!$B:$B,"custody",'caseload data'!$C:$C,'custody %'!$T$43),"")</f>
        <v/>
      </c>
      <c r="AD47" s="167" t="str">
        <f>IFERROR(SUMIFS('caseload data'!N:N,'caseload data'!$C:$C,'custody %'!$T$43,'caseload data'!$D:$D,"TPO",'caseload data'!$B:$B,"custody")/SUMIFS('caseload data'!N:N,'caseload data'!$B:$B,"custody",'caseload data'!$C:$C,'custody %'!$T$43),"")</f>
        <v/>
      </c>
      <c r="AE47" s="167" t="str">
        <f>IFERROR(SUMIFS('caseload data'!O:O,'caseload data'!$C:$C,'custody %'!$T$43,'caseload data'!$D:$D,"TPO",'caseload data'!$B:$B,"custody")/SUMIFS('caseload data'!O:O,'caseload data'!$B:$B,"custody",'caseload data'!$C:$C,'custody %'!$T$43),"")</f>
        <v/>
      </c>
      <c r="AF47" s="167" t="str">
        <f>IFERROR(SUMIFS('caseload data'!P:P,'caseload data'!$C:$C,'custody %'!$T$43,'caseload data'!$D:$D,"TPO",'caseload data'!$B:$B,"custody")/SUMIFS('caseload data'!P:P,'caseload data'!$B:$B,"custody",'caseload data'!$C:$C,'custody %'!$T$43),"")</f>
        <v/>
      </c>
      <c r="AG47" s="167" t="str">
        <f>IFERROR(SUMIFS('caseload data'!Q:Q,'caseload data'!$C:$C,'custody %'!$T$43,'caseload data'!$D:$D,"TPO",'caseload data'!$B:$B,"custody")/SUMIFS('caseload data'!Q:Q,'caseload data'!$B:$B,"custody",'caseload data'!$C:$C,'custody %'!$T$43),"")</f>
        <v/>
      </c>
      <c r="AH47" s="167" t="str">
        <f>IFERROR(SUMIFS('caseload data'!R:R,'caseload data'!$C:$C,'custody %'!$T$43,'caseload data'!$D:$D,"TPO",'caseload data'!$B:$B,"custody")/SUMIFS('caseload data'!R:R,'caseload data'!$B:$B,"custody",'caseload data'!$C:$C,'custody %'!$T$43),"")</f>
        <v/>
      </c>
      <c r="AI47" s="167"/>
      <c r="AJ47" s="167"/>
    </row>
    <row r="48" spans="2:36" x14ac:dyDescent="0.15">
      <c r="B48" s="98" t="s">
        <v>954</v>
      </c>
      <c r="C48" s="167" t="str">
        <f>IFERROR(SUMIFS('caseload data'!E:E,'caseload data'!$C:$C,'custody %'!$B$43,'caseload data'!$D:$D,"SPO",'caseload data'!$B:$B,"custody")/SUMIFS('caseload data'!E:E,'caseload data'!$B:$B,"custody",'caseload data'!$C:$C,'custody %'!$B$43),"")</f>
        <v/>
      </c>
      <c r="D48" s="167" t="str">
        <f>IFERROR(SUMIFS('caseload data'!F:F,'caseload data'!$C:$C,'custody %'!$B$43,'caseload data'!$D:$D,"SPO",'caseload data'!$B:$B,"custody")/SUMIFS('caseload data'!F:F,'caseload data'!$B:$B,"custody",'caseload data'!$C:$C,'custody %'!$B$43),"")</f>
        <v/>
      </c>
      <c r="E48" s="167" t="str">
        <f>IFERROR(SUMIFS('caseload data'!G:G,'caseload data'!$C:$C,'custody %'!$B$43,'caseload data'!$D:$D,"SPO",'caseload data'!$B:$B,"custody")/SUMIFS('caseload data'!G:G,'caseload data'!$B:$B,"custody",'caseload data'!$C:$C,'custody %'!$B$43),"")</f>
        <v/>
      </c>
      <c r="F48" s="167" t="str">
        <f>IFERROR(SUMIFS('caseload data'!H:H,'caseload data'!$C:$C,'custody %'!$B$43,'caseload data'!$D:$D,"SPO",'caseload data'!$B:$B,"custody")/SUMIFS('caseload data'!H:H,'caseload data'!$B:$B,"custody",'caseload data'!$C:$C,'custody %'!$B$43),"")</f>
        <v/>
      </c>
      <c r="G48" s="167" t="str">
        <f>IFERROR(SUMIFS('caseload data'!I:I,'caseload data'!$C:$C,'custody %'!$B$43,'caseload data'!$D:$D,"SPO",'caseload data'!$B:$B,"custody")/SUMIFS('caseload data'!I:I,'caseload data'!$B:$B,"custody",'caseload data'!$C:$C,'custody %'!$B$43),"")</f>
        <v/>
      </c>
      <c r="H48" s="167" t="str">
        <f>IFERROR(SUMIFS('caseload data'!J:J,'caseload data'!$C:$C,'custody %'!$B$43,'caseload data'!$D:$D,"SPO",'caseload data'!$B:$B,"custody")/SUMIFS('caseload data'!J:J,'caseload data'!$B:$B,"custody",'caseload data'!$C:$C,'custody %'!$B$43),"")</f>
        <v/>
      </c>
      <c r="I48" s="167" t="str">
        <f>IFERROR(SUMIFS('caseload data'!K:K,'caseload data'!$C:$C,'custody %'!$B$43,'caseload data'!$D:$D,"SPO",'caseload data'!$B:$B,"custody")/SUMIFS('caseload data'!K:K,'caseload data'!$B:$B,"custody",'caseload data'!$C:$C,'custody %'!$B$43),"")</f>
        <v/>
      </c>
      <c r="J48" s="167" t="str">
        <f>IFERROR(SUMIFS('caseload data'!L:L,'caseload data'!$C:$C,'custody %'!$B$43,'caseload data'!$D:$D,"SPO",'caseload data'!$B:$B,"custody")/SUMIFS('caseload data'!L:L,'caseload data'!$B:$B,"custody",'caseload data'!$C:$C,'custody %'!$B$43),"")</f>
        <v/>
      </c>
      <c r="K48" s="167" t="str">
        <f>IFERROR(SUMIFS('caseload data'!M:M,'caseload data'!$C:$C,'custody %'!$B$43,'caseload data'!$D:$D,"SPO",'caseload data'!$B:$B,"custody")/SUMIFS('caseload data'!M:M,'caseload data'!$B:$B,"custody",'caseload data'!$C:$C,'custody %'!$B$43),"")</f>
        <v/>
      </c>
      <c r="L48" s="167" t="str">
        <f>IFERROR(SUMIFS('caseload data'!N:N,'caseload data'!$C:$C,'custody %'!$B$43,'caseload data'!$D:$D,"SPO",'caseload data'!$B:$B,"custody")/SUMIFS('caseload data'!N:N,'caseload data'!$B:$B,"custody",'caseload data'!$C:$C,'custody %'!$B$43),"")</f>
        <v/>
      </c>
      <c r="M48" s="167" t="str">
        <f>IFERROR(SUMIFS('caseload data'!O:O,'caseload data'!$C:$C,'custody %'!$B$43,'caseload data'!$D:$D,"SPO",'caseload data'!$B:$B,"custody")/SUMIFS('caseload data'!O:O,'caseload data'!$B:$B,"custody",'caseload data'!$C:$C,'custody %'!$B$43),"")</f>
        <v/>
      </c>
      <c r="N48" s="167" t="str">
        <f>IFERROR(SUMIFS('caseload data'!P:P,'caseload data'!$C:$C,'custody %'!$B$43,'caseload data'!$D:$D,"SPO",'caseload data'!$B:$B,"custody")/SUMIFS('caseload data'!P:P,'caseload data'!$B:$B,"custody",'caseload data'!$C:$C,'custody %'!$B$43),"")</f>
        <v/>
      </c>
      <c r="O48" s="167" t="str">
        <f>IFERROR(SUMIFS('caseload data'!Q:Q,'caseload data'!$C:$C,'custody %'!$B$43,'caseload data'!$D:$D,"SPO",'caseload data'!$B:$B,"custody")/SUMIFS('caseload data'!Q:Q,'caseload data'!$B:$B,"custody",'caseload data'!$C:$C,'custody %'!$B$43),"")</f>
        <v/>
      </c>
      <c r="P48" s="167" t="str">
        <f>IFERROR(SUMIFS('caseload data'!R:R,'caseload data'!$C:$C,'custody %'!$B$43,'caseload data'!$D:$D,"SPO",'caseload data'!$B:$B,"custody")/SUMIFS('caseload data'!R:R,'caseload data'!$B:$B,"custody",'caseload data'!$C:$C,'custody %'!$B$43),"")</f>
        <v/>
      </c>
      <c r="Q48" s="167" t="str">
        <f>IFERROR(SUMIFS('caseload data'!S:S,'caseload data'!$C:$C,'custody %'!$B$43,'caseload data'!$D:$D,"SPO",'caseload data'!$B:$B,"custody")/SUMIFS('caseload data'!S:S,'caseload data'!$B:$B,"custody",'caseload data'!$C:$C,'custody %'!$B$43),"")</f>
        <v/>
      </c>
      <c r="R48" s="167" t="str">
        <f>IFERROR(SUMIFS('caseload data'!T:T,'caseload data'!$C:$C,'custody %'!$B$43,'caseload data'!$D:$D,"SPO",'caseload data'!$B:$B,"custody")/SUMIFS('caseload data'!T:T,'caseload data'!$B:$B,"custody",'caseload data'!$C:$C,'custody %'!$B$43),"")</f>
        <v/>
      </c>
      <c r="S48" s="64"/>
      <c r="T48" s="98" t="s">
        <v>954</v>
      </c>
      <c r="U48" s="167" t="str">
        <f>IFERROR(SUMIFS('caseload data'!E:E,'caseload data'!$C:$C,'custody %'!$T$43,'caseload data'!$D:$D,"SPO",'caseload data'!$B:$B,"custody")/SUMIFS('caseload data'!E:E,'caseload data'!$B:$B,"custody",'caseload data'!$C:$C,'custody %'!$T$43),"")</f>
        <v/>
      </c>
      <c r="V48" s="167" t="str">
        <f>IFERROR(SUMIFS('caseload data'!F:F,'caseload data'!$C:$C,'custody %'!$T$43,'caseload data'!$D:$D,"SPO",'caseload data'!$B:$B,"custody")/SUMIFS('caseload data'!F:F,'caseload data'!$B:$B,"custody",'caseload data'!$C:$C,'custody %'!$T$43),"")</f>
        <v/>
      </c>
      <c r="W48" s="167" t="str">
        <f>IFERROR(SUMIFS('caseload data'!G:G,'caseload data'!$C:$C,'custody %'!$T$43,'caseload data'!$D:$D,"SPO",'caseload data'!$B:$B,"custody")/SUMIFS('caseload data'!G:G,'caseload data'!$B:$B,"custody",'caseload data'!$C:$C,'custody %'!$T$43),"")</f>
        <v/>
      </c>
      <c r="X48" s="167" t="str">
        <f>IFERROR(SUMIFS('caseload data'!H:H,'caseload data'!$C:$C,'custody %'!$T$43,'caseload data'!$D:$D,"SPO",'caseload data'!$B:$B,"custody")/SUMIFS('caseload data'!H:H,'caseload data'!$B:$B,"custody",'caseload data'!$C:$C,'custody %'!$T$43),"")</f>
        <v/>
      </c>
      <c r="Y48" s="167" t="str">
        <f>IFERROR(SUMIFS('caseload data'!I:I,'caseload data'!$C:$C,'custody %'!$T$43,'caseload data'!$D:$D,"SPO",'caseload data'!$B:$B,"custody")/SUMIFS('caseload data'!I:I,'caseload data'!$B:$B,"custody",'caseload data'!$C:$C,'custody %'!$T$43),"")</f>
        <v/>
      </c>
      <c r="Z48" s="167" t="str">
        <f>IFERROR(SUMIFS('caseload data'!J:J,'caseload data'!$C:$C,'custody %'!$T$43,'caseload data'!$D:$D,"SPO",'caseload data'!$B:$B,"custody")/SUMIFS('caseload data'!J:J,'caseload data'!$B:$B,"custody",'caseload data'!$C:$C,'custody %'!$T$43),"")</f>
        <v/>
      </c>
      <c r="AA48" s="167" t="str">
        <f>IFERROR(SUMIFS('caseload data'!K:K,'caseload data'!$C:$C,'custody %'!$T$43,'caseload data'!$D:$D,"SPO",'caseload data'!$B:$B,"custody")/SUMIFS('caseload data'!K:K,'caseload data'!$B:$B,"custody",'caseload data'!$C:$C,'custody %'!$T$43),"")</f>
        <v/>
      </c>
      <c r="AB48" s="167" t="str">
        <f>IFERROR(SUMIFS('caseload data'!L:L,'caseload data'!$C:$C,'custody %'!$T$43,'caseload data'!$D:$D,"SPO",'caseload data'!$B:$B,"custody")/SUMIFS('caseload data'!L:L,'caseload data'!$B:$B,"custody",'caseload data'!$C:$C,'custody %'!$T$43),"")</f>
        <v/>
      </c>
      <c r="AC48" s="167" t="str">
        <f>IFERROR(SUMIFS('caseload data'!M:M,'caseload data'!$C:$C,'custody %'!$T$43,'caseload data'!$D:$D,"SPO",'caseload data'!$B:$B,"custody")/SUMIFS('caseload data'!M:M,'caseload data'!$B:$B,"custody",'caseload data'!$C:$C,'custody %'!$T$43),"")</f>
        <v/>
      </c>
      <c r="AD48" s="167" t="str">
        <f>IFERROR(SUMIFS('caseload data'!N:N,'caseload data'!$C:$C,'custody %'!$T$43,'caseload data'!$D:$D,"SPO",'caseload data'!$B:$B,"custody")/SUMIFS('caseload data'!N:N,'caseload data'!$B:$B,"custody",'caseload data'!$C:$C,'custody %'!$T$43),"")</f>
        <v/>
      </c>
      <c r="AE48" s="167" t="str">
        <f>IFERROR(SUMIFS('caseload data'!O:O,'caseload data'!$C:$C,'custody %'!$T$43,'caseload data'!$D:$D,"SPO",'caseload data'!$B:$B,"custody")/SUMIFS('caseload data'!O:O,'caseload data'!$B:$B,"custody",'caseload data'!$C:$C,'custody %'!$T$43),"")</f>
        <v/>
      </c>
      <c r="AF48" s="167" t="str">
        <f>IFERROR(SUMIFS('caseload data'!P:P,'caseload data'!$C:$C,'custody %'!$T$43,'caseload data'!$D:$D,"SPO",'caseload data'!$B:$B,"custody")/SUMIFS('caseload data'!P:P,'caseload data'!$B:$B,"custody",'caseload data'!$C:$C,'custody %'!$T$43),"")</f>
        <v/>
      </c>
      <c r="AG48" s="167" t="str">
        <f>IFERROR(SUMIFS('caseload data'!Q:Q,'caseload data'!$C:$C,'custody %'!$T$43,'caseload data'!$D:$D,"SPO",'caseload data'!$B:$B,"custody")/SUMIFS('caseload data'!Q:Q,'caseload data'!$B:$B,"custody",'caseload data'!$C:$C,'custody %'!$T$43),"")</f>
        <v/>
      </c>
      <c r="AH48" s="167" t="str">
        <f>IFERROR(SUMIFS('caseload data'!R:R,'caseload data'!$C:$C,'custody %'!$T$43,'caseload data'!$D:$D,"SPO",'caseload data'!$B:$B,"custody")/SUMIFS('caseload data'!R:R,'caseload data'!$B:$B,"custody",'caseload data'!$C:$C,'custody %'!$T$43),"")</f>
        <v/>
      </c>
      <c r="AI48" s="167"/>
      <c r="AJ48" s="167"/>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row>
    <row r="50" spans="2:36" ht="30" customHeight="1" x14ac:dyDescent="0.15">
      <c r="B50" s="288">
        <f>HLOOKUP($B$5,Region_Table,14,0)</f>
        <v>0</v>
      </c>
      <c r="C50" s="548" t="s">
        <v>1073</v>
      </c>
      <c r="D50" s="549"/>
      <c r="E50" s="549"/>
      <c r="F50" s="549"/>
      <c r="G50" s="549"/>
      <c r="H50" s="549"/>
      <c r="I50" s="549"/>
      <c r="J50" s="549"/>
      <c r="K50" s="549"/>
      <c r="L50" s="549"/>
      <c r="M50" s="568"/>
      <c r="N50" s="568"/>
      <c r="O50" s="569"/>
      <c r="P50" s="543">
        <f>SUMIF('caseload data'!$C:$C,'custody %'!B50,'caseload data'!V:V)</f>
        <v>0</v>
      </c>
      <c r="Q50" s="560"/>
      <c r="R50" s="561"/>
      <c r="S50" s="64"/>
      <c r="T50" s="288">
        <f>HLOOKUP($B$5,Region_Table,15,0)</f>
        <v>0</v>
      </c>
      <c r="U50" s="548" t="s">
        <v>1073</v>
      </c>
      <c r="V50" s="549"/>
      <c r="W50" s="549"/>
      <c r="X50" s="549"/>
      <c r="Y50" s="549"/>
      <c r="Z50" s="549"/>
      <c r="AA50" s="549"/>
      <c r="AB50" s="549"/>
      <c r="AC50" s="568"/>
      <c r="AD50" s="568"/>
      <c r="AE50" s="569"/>
      <c r="AF50" s="543">
        <f>SUMIF('caseload data'!$C:$C,'custody %'!T50,'caseload data'!V:V)</f>
        <v>0</v>
      </c>
      <c r="AG50" s="560"/>
      <c r="AH50" s="561"/>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167" t="str">
        <f>IFERROR(SUMIFS('caseload data'!E:E,'caseload data'!$C:$C,'custody %'!$B$50,'caseload data'!$D:$D,"PO",'caseload data'!$B:$B,"custody")/SUMIFS('caseload data'!E:E,'caseload data'!$B:$B,"custody",'caseload data'!$C:$C,'custody %'!$B$50),"")</f>
        <v/>
      </c>
      <c r="D52" s="167" t="str">
        <f>IFERROR(SUMIFS('caseload data'!F:F,'caseload data'!$C:$C,'custody %'!$B$50,'caseload data'!$D:$D,"PO",'caseload data'!$B:$B,"custody")/SUMIFS('caseload data'!F:F,'caseload data'!$B:$B,"custody",'caseload data'!$C:$C,'custody %'!$B$50),"")</f>
        <v/>
      </c>
      <c r="E52" s="167" t="str">
        <f>IFERROR(SUMIFS('caseload data'!G:G,'caseload data'!$C:$C,'custody %'!$B$50,'caseload data'!$D:$D,"PO",'caseload data'!$B:$B,"custody")/SUMIFS('caseload data'!G:G,'caseload data'!$B:$B,"custody",'caseload data'!$C:$C,'custody %'!$B$50),"")</f>
        <v/>
      </c>
      <c r="F52" s="167" t="str">
        <f>IFERROR(SUMIFS('caseload data'!H:H,'caseload data'!$C:$C,'custody %'!$B$50,'caseload data'!$D:$D,"PO",'caseload data'!$B:$B,"custody")/SUMIFS('caseload data'!H:H,'caseload data'!$B:$B,"custody",'caseload data'!$C:$C,'custody %'!$B$50),"")</f>
        <v/>
      </c>
      <c r="G52" s="167" t="str">
        <f>IFERROR(SUMIFS('caseload data'!I:I,'caseload data'!$C:$C,'custody %'!$B$50,'caseload data'!$D:$D,"PO",'caseload data'!$B:$B,"custody")/SUMIFS('caseload data'!I:I,'caseload data'!$B:$B,"custody",'caseload data'!$C:$C,'custody %'!$B$50),"")</f>
        <v/>
      </c>
      <c r="H52" s="167" t="str">
        <f>IFERROR(SUMIFS('caseload data'!J:J,'caseload data'!$C:$C,'custody %'!$B$50,'caseload data'!$D:$D,"PO",'caseload data'!$B:$B,"custody")/SUMIFS('caseload data'!J:J,'caseload data'!$B:$B,"custody",'caseload data'!$C:$C,'custody %'!$B$50),"")</f>
        <v/>
      </c>
      <c r="I52" s="167" t="str">
        <f>IFERROR(SUMIFS('caseload data'!K:K,'caseload data'!$C:$C,'custody %'!$B$50,'caseload data'!$D:$D,"PO",'caseload data'!$B:$B,"custody")/SUMIFS('caseload data'!K:K,'caseload data'!$B:$B,"custody",'caseload data'!$C:$C,'custody %'!$B$50),"")</f>
        <v/>
      </c>
      <c r="J52" s="167" t="str">
        <f>IFERROR(SUMIFS('caseload data'!L:L,'caseload data'!$C:$C,'custody %'!$B$50,'caseload data'!$D:$D,"PO",'caseload data'!$B:$B,"custody")/SUMIFS('caseload data'!L:L,'caseload data'!$B:$B,"custody",'caseload data'!$C:$C,'custody %'!$B$50),"")</f>
        <v/>
      </c>
      <c r="K52" s="167" t="str">
        <f>IFERROR(SUMIFS('caseload data'!M:M,'caseload data'!$C:$C,'custody %'!$B$50,'caseload data'!$D:$D,"PO",'caseload data'!$B:$B,"custody")/SUMIFS('caseload data'!M:M,'caseload data'!$B:$B,"custody",'caseload data'!$C:$C,'custody %'!$B$50),"")</f>
        <v/>
      </c>
      <c r="L52" s="167" t="str">
        <f>IFERROR(SUMIFS('caseload data'!N:N,'caseload data'!$C:$C,'custody %'!$B$50,'caseload data'!$D:$D,"PO",'caseload data'!$B:$B,"custody")/SUMIFS('caseload data'!N:N,'caseload data'!$B:$B,"custody",'caseload data'!$C:$C,'custody %'!$B$50),"")</f>
        <v/>
      </c>
      <c r="M52" s="167" t="str">
        <f>IFERROR(SUMIFS('caseload data'!O:O,'caseload data'!$C:$C,'custody %'!$B$50,'caseload data'!$D:$D,"PO",'caseload data'!$B:$B,"custody")/SUMIFS('caseload data'!O:O,'caseload data'!$B:$B,"custody",'caseload data'!$C:$C,'custody %'!$B$50),"")</f>
        <v/>
      </c>
      <c r="N52" s="167" t="str">
        <f>IFERROR(SUMIFS('caseload data'!P:P,'caseload data'!$C:$C,'custody %'!$B$50,'caseload data'!$D:$D,"PO",'caseload data'!$B:$B,"custody")/SUMIFS('caseload data'!P:P,'caseload data'!$B:$B,"custody",'caseload data'!$C:$C,'custody %'!$B$50),"")</f>
        <v/>
      </c>
      <c r="O52" s="167" t="str">
        <f>IFERROR(SUMIFS('caseload data'!Q:Q,'caseload data'!$C:$C,'custody %'!$B$50,'caseload data'!$D:$D,"PO",'caseload data'!$B:$B,"custody")/SUMIFS('caseload data'!Q:Q,'caseload data'!$B:$B,"custody",'caseload data'!$C:$C,'custody %'!$B$50),"")</f>
        <v/>
      </c>
      <c r="P52" s="167" t="str">
        <f>IFERROR(SUMIFS('caseload data'!R:R,'caseload data'!$C:$C,'custody %'!$B$50,'caseload data'!$D:$D,"PO",'caseload data'!$B:$B,"custody")/SUMIFS('caseload data'!R:R,'caseload data'!$B:$B,"custody",'caseload data'!$C:$C,'custody %'!$B$50),"")</f>
        <v/>
      </c>
      <c r="Q52" s="167" t="str">
        <f>IFERROR(SUMIFS('caseload data'!S:S,'caseload data'!$C:$C,'custody %'!$B$50,'caseload data'!$D:$D,"PO",'caseload data'!$B:$B,"custody")/SUMIFS('caseload data'!S:S,'caseload data'!$B:$B,"custody",'caseload data'!$C:$C,'custody %'!$B$50),"")</f>
        <v/>
      </c>
      <c r="R52" s="167" t="str">
        <f>IFERROR(SUMIFS('caseload data'!T:T,'caseload data'!$C:$C,'custody %'!$B$50,'caseload data'!$D:$D,"PO",'caseload data'!$B:$B,"custody")/SUMIFS('caseload data'!T:T,'caseload data'!$B:$B,"custody",'caseload data'!$C:$C,'custody %'!$B$50),"")</f>
        <v/>
      </c>
      <c r="S52" s="64"/>
      <c r="T52" s="96" t="s">
        <v>947</v>
      </c>
      <c r="U52" s="167" t="str">
        <f>IFERROR(SUMIFS('caseload data'!E:E,'caseload data'!$C:$C,'custody %'!$T$50,'caseload data'!$D:$D,"PO",'caseload data'!$B:$B,"custody")/SUMIFS('caseload data'!E:E,'caseload data'!$B:$B,"custody",'caseload data'!$C:$C,'custody %'!$T$50),"")</f>
        <v/>
      </c>
      <c r="V52" s="167" t="str">
        <f>IFERROR(SUMIFS('caseload data'!F:F,'caseload data'!$C:$C,'custody %'!$T$50,'caseload data'!$D:$D,"PO",'caseload data'!$B:$B,"custody")/SUMIFS('caseload data'!F:F,'caseload data'!$B:$B,"custody",'caseload data'!$C:$C,'custody %'!$T$50),"")</f>
        <v/>
      </c>
      <c r="W52" s="167" t="str">
        <f>IFERROR(SUMIFS('caseload data'!G:G,'caseload data'!$C:$C,'custody %'!$T$50,'caseload data'!$D:$D,"PO",'caseload data'!$B:$B,"custody")/SUMIFS('caseload data'!G:G,'caseload data'!$B:$B,"custody",'caseload data'!$C:$C,'custody %'!$T$50),"")</f>
        <v/>
      </c>
      <c r="X52" s="167" t="str">
        <f>IFERROR(SUMIFS('caseload data'!H:H,'caseload data'!$C:$C,'custody %'!$T$50,'caseload data'!$D:$D,"PO",'caseload data'!$B:$B,"custody")/SUMIFS('caseload data'!H:H,'caseload data'!$B:$B,"custody",'caseload data'!$C:$C,'custody %'!$T$50),"")</f>
        <v/>
      </c>
      <c r="Y52" s="167" t="str">
        <f>IFERROR(SUMIFS('caseload data'!I:I,'caseload data'!$C:$C,'custody %'!$T$50,'caseload data'!$D:$D,"PO",'caseload data'!$B:$B,"custody")/SUMIFS('caseload data'!I:I,'caseload data'!$B:$B,"custody",'caseload data'!$C:$C,'custody %'!$T$50),"")</f>
        <v/>
      </c>
      <c r="Z52" s="167" t="str">
        <f>IFERROR(SUMIFS('caseload data'!J:J,'caseload data'!$C:$C,'custody %'!$T$50,'caseload data'!$D:$D,"PO",'caseload data'!$B:$B,"custody")/SUMIFS('caseload data'!J:J,'caseload data'!$B:$B,"custody",'caseload data'!$C:$C,'custody %'!$T$50),"")</f>
        <v/>
      </c>
      <c r="AA52" s="167" t="str">
        <f>IFERROR(SUMIFS('caseload data'!K:K,'caseload data'!$C:$C,'custody %'!$T$50,'caseload data'!$D:$D,"PO",'caseload data'!$B:$B,"custody")/SUMIFS('caseload data'!K:K,'caseload data'!$B:$B,"custody",'caseload data'!$C:$C,'custody %'!$T$50),"")</f>
        <v/>
      </c>
      <c r="AB52" s="167" t="str">
        <f>IFERROR(SUMIFS('caseload data'!L:L,'caseload data'!$C:$C,'custody %'!$T$50,'caseload data'!$D:$D,"PO",'caseload data'!$B:$B,"custody")/SUMIFS('caseload data'!L:L,'caseload data'!$B:$B,"custody",'caseload data'!$C:$C,'custody %'!$T$50),"")</f>
        <v/>
      </c>
      <c r="AC52" s="167" t="str">
        <f>IFERROR(SUMIFS('caseload data'!M:M,'caseload data'!$C:$C,'custody %'!$T$50,'caseload data'!$D:$D,"PO",'caseload data'!$B:$B,"custody")/SUMIFS('caseload data'!M:M,'caseload data'!$B:$B,"custody",'caseload data'!$C:$C,'custody %'!$T$50),"")</f>
        <v/>
      </c>
      <c r="AD52" s="167" t="str">
        <f>IFERROR(SUMIFS('caseload data'!N:N,'caseload data'!$C:$C,'custody %'!$T$50,'caseload data'!$D:$D,"PO",'caseload data'!$B:$B,"custody")/SUMIFS('caseload data'!N:N,'caseload data'!$B:$B,"custody",'caseload data'!$C:$C,'custody %'!$T$50),"")</f>
        <v/>
      </c>
      <c r="AE52" s="167" t="str">
        <f>IFERROR(SUMIFS('caseload data'!O:O,'caseload data'!$C:$C,'custody %'!$T$50,'caseload data'!$D:$D,"PO",'caseload data'!$B:$B,"custody")/SUMIFS('caseload data'!O:O,'caseload data'!$B:$B,"custody",'caseload data'!$C:$C,'custody %'!$T$50),"")</f>
        <v/>
      </c>
      <c r="AF52" s="167" t="str">
        <f>IFERROR(SUMIFS('caseload data'!P:P,'caseload data'!$C:$C,'custody %'!$T$50,'caseload data'!$D:$D,"PO",'caseload data'!$B:$B,"custody")/SUMIFS('caseload data'!P:P,'caseload data'!$B:$B,"custody",'caseload data'!$C:$C,'custody %'!$T$50),"")</f>
        <v/>
      </c>
      <c r="AG52" s="167" t="str">
        <f>IFERROR(SUMIFS('caseload data'!Q:Q,'caseload data'!$C:$C,'custody %'!$T$50,'caseload data'!$D:$D,"PO",'caseload data'!$B:$B,"custody")/SUMIFS('caseload data'!Q:Q,'caseload data'!$B:$B,"custody",'caseload data'!$C:$C,'custody %'!$T$50),"")</f>
        <v/>
      </c>
      <c r="AH52" s="167" t="str">
        <f>IFERROR(SUMIFS('caseload data'!R:R,'caseload data'!$C:$C,'custody %'!$T$50,'caseload data'!$D:$D,"PO",'caseload data'!$B:$B,"custody")/SUMIFS('caseload data'!R:R,'caseload data'!$B:$B,"custody",'caseload data'!$C:$C,'custody %'!$T$50),"")</f>
        <v/>
      </c>
      <c r="AI52" s="167"/>
      <c r="AJ52" s="167"/>
    </row>
    <row r="53" spans="2:36" x14ac:dyDescent="0.15">
      <c r="B53" s="97" t="s">
        <v>952</v>
      </c>
      <c r="C53" s="167" t="str">
        <f>IFERROR(SUMIFS('caseload data'!E:E,'caseload data'!$C:$C,'custody %'!$B$50,'caseload data'!$D:$D,"PSO",'caseload data'!$B:$B,"custody")/SUMIFS('caseload data'!E:E,'caseload data'!$B:$B,"custody",'caseload data'!$C:$C,'custody %'!$B$50),"")</f>
        <v/>
      </c>
      <c r="D53" s="167" t="str">
        <f>IFERROR(SUMIFS('caseload data'!F:F,'caseload data'!$C:$C,'custody %'!$B$50,'caseload data'!$D:$D,"PSO",'caseload data'!$B:$B,"custody")/SUMIFS('caseload data'!F:F,'caseload data'!$B:$B,"custody",'caseload data'!$C:$C,'custody %'!$B$50),"")</f>
        <v/>
      </c>
      <c r="E53" s="167" t="str">
        <f>IFERROR(SUMIFS('caseload data'!G:G,'caseload data'!$C:$C,'custody %'!$B$50,'caseload data'!$D:$D,"PSO",'caseload data'!$B:$B,"custody")/SUMIFS('caseload data'!G:G,'caseload data'!$B:$B,"custody",'caseload data'!$C:$C,'custody %'!$B$50),"")</f>
        <v/>
      </c>
      <c r="F53" s="167" t="str">
        <f>IFERROR(SUMIFS('caseload data'!H:H,'caseload data'!$C:$C,'custody %'!$B$50,'caseload data'!$D:$D,"PSO",'caseload data'!$B:$B,"custody")/SUMIFS('caseload data'!H:H,'caseload data'!$B:$B,"custody",'caseload data'!$C:$C,'custody %'!$B$50),"")</f>
        <v/>
      </c>
      <c r="G53" s="167" t="str">
        <f>IFERROR(SUMIFS('caseload data'!I:I,'caseload data'!$C:$C,'custody %'!$B$50,'caseload data'!$D:$D,"PSO",'caseload data'!$B:$B,"custody")/SUMIFS('caseload data'!I:I,'caseload data'!$B:$B,"custody",'caseload data'!$C:$C,'custody %'!$B$50),"")</f>
        <v/>
      </c>
      <c r="H53" s="167" t="str">
        <f>IFERROR(SUMIFS('caseload data'!J:J,'caseload data'!$C:$C,'custody %'!$B$50,'caseload data'!$D:$D,"PSO",'caseload data'!$B:$B,"custody")/SUMIFS('caseload data'!J:J,'caseload data'!$B:$B,"custody",'caseload data'!$C:$C,'custody %'!$B$50),"")</f>
        <v/>
      </c>
      <c r="I53" s="167" t="str">
        <f>IFERROR(SUMIFS('caseload data'!K:K,'caseload data'!$C:$C,'custody %'!$B$50,'caseload data'!$D:$D,"PSO",'caseload data'!$B:$B,"custody")/SUMIFS('caseload data'!K:K,'caseload data'!$B:$B,"custody",'caseload data'!$C:$C,'custody %'!$B$50),"")</f>
        <v/>
      </c>
      <c r="J53" s="167" t="str">
        <f>IFERROR(SUMIFS('caseload data'!L:L,'caseload data'!$C:$C,'custody %'!$B$50,'caseload data'!$D:$D,"PSO",'caseload data'!$B:$B,"custody")/SUMIFS('caseload data'!L:L,'caseload data'!$B:$B,"custody",'caseload data'!$C:$C,'custody %'!$B$50),"")</f>
        <v/>
      </c>
      <c r="K53" s="167" t="str">
        <f>IFERROR(SUMIFS('caseload data'!M:M,'caseload data'!$C:$C,'custody %'!$B$50,'caseload data'!$D:$D,"PSO",'caseload data'!$B:$B,"custody")/SUMIFS('caseload data'!M:M,'caseload data'!$B:$B,"custody",'caseload data'!$C:$C,'custody %'!$B$50),"")</f>
        <v/>
      </c>
      <c r="L53" s="167" t="str">
        <f>IFERROR(SUMIFS('caseload data'!N:N,'caseload data'!$C:$C,'custody %'!$B$50,'caseload data'!$D:$D,"PSO",'caseload data'!$B:$B,"custody")/SUMIFS('caseload data'!N:N,'caseload data'!$B:$B,"custody",'caseload data'!$C:$C,'custody %'!$B$50),"")</f>
        <v/>
      </c>
      <c r="M53" s="167" t="str">
        <f>IFERROR(SUMIFS('caseload data'!O:O,'caseload data'!$C:$C,'custody %'!$B$50,'caseload data'!$D:$D,"PSO",'caseload data'!$B:$B,"custody")/SUMIFS('caseload data'!O:O,'caseload data'!$B:$B,"custody",'caseload data'!$C:$C,'custody %'!$B$50),"")</f>
        <v/>
      </c>
      <c r="N53" s="167" t="str">
        <f>IFERROR(SUMIFS('caseload data'!P:P,'caseload data'!$C:$C,'custody %'!$B$50,'caseload data'!$D:$D,"PSO",'caseload data'!$B:$B,"custody")/SUMIFS('caseload data'!P:P,'caseload data'!$B:$B,"custody",'caseload data'!$C:$C,'custody %'!$B$50),"")</f>
        <v/>
      </c>
      <c r="O53" s="167" t="str">
        <f>IFERROR(SUMIFS('caseload data'!Q:Q,'caseload data'!$C:$C,'custody %'!$B$50,'caseload data'!$D:$D,"PSO",'caseload data'!$B:$B,"custody")/SUMIFS('caseload data'!Q:Q,'caseload data'!$B:$B,"custody",'caseload data'!$C:$C,'custody %'!$B$50),"")</f>
        <v/>
      </c>
      <c r="P53" s="167" t="str">
        <f>IFERROR(SUMIFS('caseload data'!R:R,'caseload data'!$C:$C,'custody %'!$B$50,'caseload data'!$D:$D,"PSO",'caseload data'!$B:$B,"custody")/SUMIFS('caseload data'!R:R,'caseload data'!$B:$B,"custody",'caseload data'!$C:$C,'custody %'!$B$50),"")</f>
        <v/>
      </c>
      <c r="Q53" s="167" t="str">
        <f>IFERROR(SUMIFS('caseload data'!S:S,'caseload data'!$C:$C,'custody %'!$B$50,'caseload data'!$D:$D,"PSO",'caseload data'!$B:$B,"custody")/SUMIFS('caseload data'!S:S,'caseload data'!$B:$B,"custody",'caseload data'!$C:$C,'custody %'!$B$50),"")</f>
        <v/>
      </c>
      <c r="R53" s="167" t="str">
        <f>IFERROR(SUMIFS('caseload data'!T:T,'caseload data'!$C:$C,'custody %'!$B$50,'caseload data'!$D:$D,"PSO",'caseload data'!$B:$B,"custody")/SUMIFS('caseload data'!T:T,'caseload data'!$B:$B,"custody",'caseload data'!$C:$C,'custody %'!$B$50),"")</f>
        <v/>
      </c>
      <c r="S53" s="64"/>
      <c r="T53" s="97" t="s">
        <v>952</v>
      </c>
      <c r="U53" s="167" t="str">
        <f>IFERROR(SUMIFS('caseload data'!E:E,'caseload data'!$C:$C,'custody %'!$T$50,'caseload data'!$D:$D,"PSO",'caseload data'!$B:$B,"custody")/SUMIFS('caseload data'!E:E,'caseload data'!$B:$B,"custody",'caseload data'!$C:$C,'custody %'!$T$50),"")</f>
        <v/>
      </c>
      <c r="V53" s="167" t="str">
        <f>IFERROR(SUMIFS('caseload data'!F:F,'caseload data'!$C:$C,'custody %'!$T$50,'caseload data'!$D:$D,"PSO",'caseload data'!$B:$B,"custody")/SUMIFS('caseload data'!F:F,'caseload data'!$B:$B,"custody",'caseload data'!$C:$C,'custody %'!$T$50),"")</f>
        <v/>
      </c>
      <c r="W53" s="167" t="str">
        <f>IFERROR(SUMIFS('caseload data'!G:G,'caseload data'!$C:$C,'custody %'!$T$50,'caseload data'!$D:$D,"PSO",'caseload data'!$B:$B,"custody")/SUMIFS('caseload data'!G:G,'caseload data'!$B:$B,"custody",'caseload data'!$C:$C,'custody %'!$T$50),"")</f>
        <v/>
      </c>
      <c r="X53" s="167" t="str">
        <f>IFERROR(SUMIFS('caseload data'!H:H,'caseload data'!$C:$C,'custody %'!$T$50,'caseload data'!$D:$D,"PSO",'caseload data'!$B:$B,"custody")/SUMIFS('caseload data'!H:H,'caseload data'!$B:$B,"custody",'caseload data'!$C:$C,'custody %'!$T$50),"")</f>
        <v/>
      </c>
      <c r="Y53" s="167" t="str">
        <f>IFERROR(SUMIFS('caseload data'!I:I,'caseload data'!$C:$C,'custody %'!$T$50,'caseload data'!$D:$D,"PSO",'caseload data'!$B:$B,"custody")/SUMIFS('caseload data'!I:I,'caseload data'!$B:$B,"custody",'caseload data'!$C:$C,'custody %'!$T$50),"")</f>
        <v/>
      </c>
      <c r="Z53" s="167" t="str">
        <f>IFERROR(SUMIFS('caseload data'!J:J,'caseload data'!$C:$C,'custody %'!$T$50,'caseload data'!$D:$D,"PSO",'caseload data'!$B:$B,"custody")/SUMIFS('caseload data'!J:J,'caseload data'!$B:$B,"custody",'caseload data'!$C:$C,'custody %'!$T$50),"")</f>
        <v/>
      </c>
      <c r="AA53" s="167" t="str">
        <f>IFERROR(SUMIFS('caseload data'!K:K,'caseload data'!$C:$C,'custody %'!$T$50,'caseload data'!$D:$D,"PSO",'caseload data'!$B:$B,"custody")/SUMIFS('caseload data'!K:K,'caseload data'!$B:$B,"custody",'caseload data'!$C:$C,'custody %'!$T$50),"")</f>
        <v/>
      </c>
      <c r="AB53" s="167" t="str">
        <f>IFERROR(SUMIFS('caseload data'!L:L,'caseload data'!$C:$C,'custody %'!$T$50,'caseload data'!$D:$D,"PSO",'caseload data'!$B:$B,"custody")/SUMIFS('caseload data'!L:L,'caseload data'!$B:$B,"custody",'caseload data'!$C:$C,'custody %'!$T$50),"")</f>
        <v/>
      </c>
      <c r="AC53" s="167" t="str">
        <f>IFERROR(SUMIFS('caseload data'!M:M,'caseload data'!$C:$C,'custody %'!$T$50,'caseload data'!$D:$D,"PSO",'caseload data'!$B:$B,"custody")/SUMIFS('caseload data'!M:M,'caseload data'!$B:$B,"custody",'caseload data'!$C:$C,'custody %'!$T$50),"")</f>
        <v/>
      </c>
      <c r="AD53" s="167" t="str">
        <f>IFERROR(SUMIFS('caseload data'!N:N,'caseload data'!$C:$C,'custody %'!$T$50,'caseload data'!$D:$D,"PSO",'caseload data'!$B:$B,"custody")/SUMIFS('caseload data'!N:N,'caseload data'!$B:$B,"custody",'caseload data'!$C:$C,'custody %'!$T$50),"")</f>
        <v/>
      </c>
      <c r="AE53" s="167" t="str">
        <f>IFERROR(SUMIFS('caseload data'!O:O,'caseload data'!$C:$C,'custody %'!$T$50,'caseload data'!$D:$D,"PSO",'caseload data'!$B:$B,"custody")/SUMIFS('caseload data'!O:O,'caseload data'!$B:$B,"custody",'caseload data'!$C:$C,'custody %'!$T$50),"")</f>
        <v/>
      </c>
      <c r="AF53" s="167" t="str">
        <f>IFERROR(SUMIFS('caseload data'!P:P,'caseload data'!$C:$C,'custody %'!$T$50,'caseload data'!$D:$D,"PSO",'caseload data'!$B:$B,"custody")/SUMIFS('caseload data'!P:P,'caseload data'!$B:$B,"custody",'caseload data'!$C:$C,'custody %'!$T$50),"")</f>
        <v/>
      </c>
      <c r="AG53" s="167" t="str">
        <f>IFERROR(SUMIFS('caseload data'!Q:Q,'caseload data'!$C:$C,'custody %'!$T$50,'caseload data'!$D:$D,"PSO",'caseload data'!$B:$B,"custody")/SUMIFS('caseload data'!Q:Q,'caseload data'!$B:$B,"custody",'caseload data'!$C:$C,'custody %'!$T$50),"")</f>
        <v/>
      </c>
      <c r="AH53" s="167" t="str">
        <f>IFERROR(SUMIFS('caseload data'!R:R,'caseload data'!$C:$C,'custody %'!$T$50,'caseload data'!$D:$D,"PSO",'caseload data'!$B:$B,"custody")/SUMIFS('caseload data'!R:R,'caseload data'!$B:$B,"custody",'caseload data'!$C:$C,'custody %'!$T$50),"")</f>
        <v/>
      </c>
      <c r="AI53" s="167"/>
      <c r="AJ53" s="167"/>
    </row>
    <row r="54" spans="2:36" x14ac:dyDescent="0.15">
      <c r="B54" s="97" t="s">
        <v>953</v>
      </c>
      <c r="C54" s="167" t="str">
        <f>IFERROR(SUMIFS('caseload data'!E:E,'caseload data'!$C:$C,'custody %'!$B$50,'caseload data'!$D:$D,"TPO",'caseload data'!$B:$B,"custody")/SUMIFS('caseload data'!E:E,'caseload data'!$B:$B,"custody",'caseload data'!$C:$C,'custody %'!$B$50),"")</f>
        <v/>
      </c>
      <c r="D54" s="167" t="str">
        <f>IFERROR(SUMIFS('caseload data'!F:F,'caseload data'!$C:$C,'custody %'!$B$50,'caseload data'!$D:$D,"TPO",'caseload data'!$B:$B,"custody")/SUMIFS('caseload data'!F:F,'caseload data'!$B:$B,"custody",'caseload data'!$C:$C,'custody %'!$B$50),"")</f>
        <v/>
      </c>
      <c r="E54" s="167" t="str">
        <f>IFERROR(SUMIFS('caseload data'!G:G,'caseload data'!$C:$C,'custody %'!$B$50,'caseload data'!$D:$D,"TPO",'caseload data'!$B:$B,"custody")/SUMIFS('caseload data'!G:G,'caseload data'!$B:$B,"custody",'caseload data'!$C:$C,'custody %'!$B$50),"")</f>
        <v/>
      </c>
      <c r="F54" s="167" t="str">
        <f>IFERROR(SUMIFS('caseload data'!H:H,'caseload data'!$C:$C,'custody %'!$B$50,'caseload data'!$D:$D,"TPO",'caseload data'!$B:$B,"custody")/SUMIFS('caseload data'!H:H,'caseload data'!$B:$B,"custody",'caseload data'!$C:$C,'custody %'!$B$50),"")</f>
        <v/>
      </c>
      <c r="G54" s="167" t="str">
        <f>IFERROR(SUMIFS('caseload data'!I:I,'caseload data'!$C:$C,'custody %'!$B$50,'caseload data'!$D:$D,"TPO",'caseload data'!$B:$B,"custody")/SUMIFS('caseload data'!I:I,'caseload data'!$B:$B,"custody",'caseload data'!$C:$C,'custody %'!$B$50),"")</f>
        <v/>
      </c>
      <c r="H54" s="167" t="str">
        <f>IFERROR(SUMIFS('caseload data'!J:J,'caseload data'!$C:$C,'custody %'!$B$50,'caseload data'!$D:$D,"TPO",'caseload data'!$B:$B,"custody")/SUMIFS('caseload data'!J:J,'caseload data'!$B:$B,"custody",'caseload data'!$C:$C,'custody %'!$B$50),"")</f>
        <v/>
      </c>
      <c r="I54" s="167" t="str">
        <f>IFERROR(SUMIFS('caseload data'!K:K,'caseload data'!$C:$C,'custody %'!$B$50,'caseload data'!$D:$D,"TPO",'caseload data'!$B:$B,"custody")/SUMIFS('caseload data'!K:K,'caseload data'!$B:$B,"custody",'caseload data'!$C:$C,'custody %'!$B$50),"")</f>
        <v/>
      </c>
      <c r="J54" s="167" t="str">
        <f>IFERROR(SUMIFS('caseload data'!L:L,'caseload data'!$C:$C,'custody %'!$B$50,'caseload data'!$D:$D,"TPO",'caseload data'!$B:$B,"custody")/SUMIFS('caseload data'!L:L,'caseload data'!$B:$B,"custody",'caseload data'!$C:$C,'custody %'!$B$50),"")</f>
        <v/>
      </c>
      <c r="K54" s="167" t="str">
        <f>IFERROR(SUMIFS('caseload data'!M:M,'caseload data'!$C:$C,'custody %'!$B$50,'caseload data'!$D:$D,"TPO",'caseload data'!$B:$B,"custody")/SUMIFS('caseload data'!M:M,'caseload data'!$B:$B,"custody",'caseload data'!$C:$C,'custody %'!$B$50),"")</f>
        <v/>
      </c>
      <c r="L54" s="167" t="str">
        <f>IFERROR(SUMIFS('caseload data'!N:N,'caseload data'!$C:$C,'custody %'!$B$50,'caseload data'!$D:$D,"TPO",'caseload data'!$B:$B,"custody")/SUMIFS('caseload data'!N:N,'caseload data'!$B:$B,"custody",'caseload data'!$C:$C,'custody %'!$B$50),"")</f>
        <v/>
      </c>
      <c r="M54" s="167" t="str">
        <f>IFERROR(SUMIFS('caseload data'!O:O,'caseload data'!$C:$C,'custody %'!$B$50,'caseload data'!$D:$D,"TPO",'caseload data'!$B:$B,"custody")/SUMIFS('caseload data'!O:O,'caseload data'!$B:$B,"custody",'caseload data'!$C:$C,'custody %'!$B$50),"")</f>
        <v/>
      </c>
      <c r="N54" s="167" t="str">
        <f>IFERROR(SUMIFS('caseload data'!P:P,'caseload data'!$C:$C,'custody %'!$B$50,'caseload data'!$D:$D,"TPO",'caseload data'!$B:$B,"custody")/SUMIFS('caseload data'!P:P,'caseload data'!$B:$B,"custody",'caseload data'!$C:$C,'custody %'!$B$50),"")</f>
        <v/>
      </c>
      <c r="O54" s="167" t="str">
        <f>IFERROR(SUMIFS('caseload data'!Q:Q,'caseload data'!$C:$C,'custody %'!$B$50,'caseload data'!$D:$D,"TPO",'caseload data'!$B:$B,"custody")/SUMIFS('caseload data'!Q:Q,'caseload data'!$B:$B,"custody",'caseload data'!$C:$C,'custody %'!$B$50),"")</f>
        <v/>
      </c>
      <c r="P54" s="167" t="str">
        <f>IFERROR(SUMIFS('caseload data'!R:R,'caseload data'!$C:$C,'custody %'!$B$50,'caseload data'!$D:$D,"TPO",'caseload data'!$B:$B,"custody")/SUMIFS('caseload data'!R:R,'caseload data'!$B:$B,"custody",'caseload data'!$C:$C,'custody %'!$B$50),"")</f>
        <v/>
      </c>
      <c r="Q54" s="167" t="str">
        <f>IFERROR(SUMIFS('caseload data'!S:S,'caseload data'!$C:$C,'custody %'!$B$50,'caseload data'!$D:$D,"TPO",'caseload data'!$B:$B,"custody")/SUMIFS('caseload data'!S:S,'caseload data'!$B:$B,"custody",'caseload data'!$C:$C,'custody %'!$B$50),"")</f>
        <v/>
      </c>
      <c r="R54" s="167" t="str">
        <f>IFERROR(SUMIFS('caseload data'!T:T,'caseload data'!$C:$C,'custody %'!$B$50,'caseload data'!$D:$D,"TPO",'caseload data'!$B:$B,"custody")/SUMIFS('caseload data'!T:T,'caseload data'!$B:$B,"custody",'caseload data'!$C:$C,'custody %'!$B$50),"")</f>
        <v/>
      </c>
      <c r="S54" s="64"/>
      <c r="T54" s="97" t="s">
        <v>953</v>
      </c>
      <c r="U54" s="167" t="str">
        <f>IFERROR(SUMIFS('caseload data'!E:E,'caseload data'!$C:$C,'custody %'!$T$50,'caseload data'!$D:$D,"TPO",'caseload data'!$B:$B,"custody")/SUMIFS('caseload data'!E:E,'caseload data'!$B:$B,"custody",'caseload data'!$C:$C,'custody %'!$T$50),"")</f>
        <v/>
      </c>
      <c r="V54" s="167" t="str">
        <f>IFERROR(SUMIFS('caseload data'!F:F,'caseload data'!$C:$C,'custody %'!$T$50,'caseload data'!$D:$D,"TPO",'caseload data'!$B:$B,"custody")/SUMIFS('caseload data'!F:F,'caseload data'!$B:$B,"custody",'caseload data'!$C:$C,'custody %'!$T$50),"")</f>
        <v/>
      </c>
      <c r="W54" s="167" t="str">
        <f>IFERROR(SUMIFS('caseload data'!G:G,'caseload data'!$C:$C,'custody %'!$T$50,'caseload data'!$D:$D,"TPO",'caseload data'!$B:$B,"custody")/SUMIFS('caseload data'!G:G,'caseload data'!$B:$B,"custody",'caseload data'!$C:$C,'custody %'!$T$50),"")</f>
        <v/>
      </c>
      <c r="X54" s="167" t="str">
        <f>IFERROR(SUMIFS('caseload data'!H:H,'caseload data'!$C:$C,'custody %'!$T$50,'caseload data'!$D:$D,"TPO",'caseload data'!$B:$B,"custody")/SUMIFS('caseload data'!H:H,'caseload data'!$B:$B,"custody",'caseload data'!$C:$C,'custody %'!$T$50),"")</f>
        <v/>
      </c>
      <c r="Y54" s="167" t="str">
        <f>IFERROR(SUMIFS('caseload data'!I:I,'caseload data'!$C:$C,'custody %'!$T$50,'caseload data'!$D:$D,"TPO",'caseload data'!$B:$B,"custody")/SUMIFS('caseload data'!I:I,'caseload data'!$B:$B,"custody",'caseload data'!$C:$C,'custody %'!$T$50),"")</f>
        <v/>
      </c>
      <c r="Z54" s="167" t="str">
        <f>IFERROR(SUMIFS('caseload data'!J:J,'caseload data'!$C:$C,'custody %'!$T$50,'caseload data'!$D:$D,"TPO",'caseload data'!$B:$B,"custody")/SUMIFS('caseload data'!J:J,'caseload data'!$B:$B,"custody",'caseload data'!$C:$C,'custody %'!$T$50),"")</f>
        <v/>
      </c>
      <c r="AA54" s="167" t="str">
        <f>IFERROR(SUMIFS('caseload data'!K:K,'caseload data'!$C:$C,'custody %'!$T$50,'caseload data'!$D:$D,"TPO",'caseload data'!$B:$B,"custody")/SUMIFS('caseload data'!K:K,'caseload data'!$B:$B,"custody",'caseload data'!$C:$C,'custody %'!$T$50),"")</f>
        <v/>
      </c>
      <c r="AB54" s="167" t="str">
        <f>IFERROR(SUMIFS('caseload data'!L:L,'caseload data'!$C:$C,'custody %'!$T$50,'caseload data'!$D:$D,"TPO",'caseload data'!$B:$B,"custody")/SUMIFS('caseload data'!L:L,'caseload data'!$B:$B,"custody",'caseload data'!$C:$C,'custody %'!$T$50),"")</f>
        <v/>
      </c>
      <c r="AC54" s="167" t="str">
        <f>IFERROR(SUMIFS('caseload data'!M:M,'caseload data'!$C:$C,'custody %'!$T$50,'caseload data'!$D:$D,"TPO",'caseload data'!$B:$B,"custody")/SUMIFS('caseload data'!M:M,'caseload data'!$B:$B,"custody",'caseload data'!$C:$C,'custody %'!$T$50),"")</f>
        <v/>
      </c>
      <c r="AD54" s="167" t="str">
        <f>IFERROR(SUMIFS('caseload data'!N:N,'caseload data'!$C:$C,'custody %'!$T$50,'caseload data'!$D:$D,"TPO",'caseload data'!$B:$B,"custody")/SUMIFS('caseload data'!N:N,'caseload data'!$B:$B,"custody",'caseload data'!$C:$C,'custody %'!$T$50),"")</f>
        <v/>
      </c>
      <c r="AE54" s="167" t="str">
        <f>IFERROR(SUMIFS('caseload data'!O:O,'caseload data'!$C:$C,'custody %'!$T$50,'caseload data'!$D:$D,"TPO",'caseload data'!$B:$B,"custody")/SUMIFS('caseload data'!O:O,'caseload data'!$B:$B,"custody",'caseload data'!$C:$C,'custody %'!$T$50),"")</f>
        <v/>
      </c>
      <c r="AF54" s="167" t="str">
        <f>IFERROR(SUMIFS('caseload data'!P:P,'caseload data'!$C:$C,'custody %'!$T$50,'caseload data'!$D:$D,"TPO",'caseload data'!$B:$B,"custody")/SUMIFS('caseload data'!P:P,'caseload data'!$B:$B,"custody",'caseload data'!$C:$C,'custody %'!$T$50),"")</f>
        <v/>
      </c>
      <c r="AG54" s="167" t="str">
        <f>IFERROR(SUMIFS('caseload data'!Q:Q,'caseload data'!$C:$C,'custody %'!$T$50,'caseload data'!$D:$D,"TPO",'caseload data'!$B:$B,"custody")/SUMIFS('caseload data'!Q:Q,'caseload data'!$B:$B,"custody",'caseload data'!$C:$C,'custody %'!$T$50),"")</f>
        <v/>
      </c>
      <c r="AH54" s="167" t="str">
        <f>IFERROR(SUMIFS('caseload data'!R:R,'caseload data'!$C:$C,'custody %'!$T$50,'caseload data'!$D:$D,"TPO",'caseload data'!$B:$B,"custody")/SUMIFS('caseload data'!R:R,'caseload data'!$B:$B,"custody",'caseload data'!$C:$C,'custody %'!$T$50),"")</f>
        <v/>
      </c>
      <c r="AI54" s="167"/>
      <c r="AJ54" s="167"/>
    </row>
    <row r="55" spans="2:36" x14ac:dyDescent="0.15">
      <c r="B55" s="98" t="s">
        <v>954</v>
      </c>
      <c r="C55" s="167" t="str">
        <f>IFERROR(SUMIFS('caseload data'!E:E,'caseload data'!$C:$C,'custody %'!$B$50,'caseload data'!$D:$D,"SPO",'caseload data'!$B:$B,"custody")/SUMIFS('caseload data'!E:E,'caseload data'!$B:$B,"custody",'caseload data'!$C:$C,'custody %'!$B$50),"")</f>
        <v/>
      </c>
      <c r="D55" s="167" t="str">
        <f>IFERROR(SUMIFS('caseload data'!F:F,'caseload data'!$C:$C,'custody %'!$B$50,'caseload data'!$D:$D,"SPO",'caseload data'!$B:$B,"custody")/SUMIFS('caseload data'!F:F,'caseload data'!$B:$B,"custody",'caseload data'!$C:$C,'custody %'!$B$50),"")</f>
        <v/>
      </c>
      <c r="E55" s="167" t="str">
        <f>IFERROR(SUMIFS('caseload data'!G:G,'caseload data'!$C:$C,'custody %'!$B$50,'caseload data'!$D:$D,"SPO",'caseload data'!$B:$B,"custody")/SUMIFS('caseload data'!G:G,'caseload data'!$B:$B,"custody",'caseload data'!$C:$C,'custody %'!$B$50),"")</f>
        <v/>
      </c>
      <c r="F55" s="167" t="str">
        <f>IFERROR(SUMIFS('caseload data'!H:H,'caseload data'!$C:$C,'custody %'!$B$50,'caseload data'!$D:$D,"SPO",'caseload data'!$B:$B,"custody")/SUMIFS('caseload data'!H:H,'caseload data'!$B:$B,"custody",'caseload data'!$C:$C,'custody %'!$B$50),"")</f>
        <v/>
      </c>
      <c r="G55" s="167" t="str">
        <f>IFERROR(SUMIFS('caseload data'!I:I,'caseload data'!$C:$C,'custody %'!$B$50,'caseload data'!$D:$D,"SPO",'caseload data'!$B:$B,"custody")/SUMIFS('caseload data'!I:I,'caseload data'!$B:$B,"custody",'caseload data'!$C:$C,'custody %'!$B$50),"")</f>
        <v/>
      </c>
      <c r="H55" s="167" t="str">
        <f>IFERROR(SUMIFS('caseload data'!J:J,'caseload data'!$C:$C,'custody %'!$B$50,'caseload data'!$D:$D,"SPO",'caseload data'!$B:$B,"custody")/SUMIFS('caseload data'!J:J,'caseload data'!$B:$B,"custody",'caseload data'!$C:$C,'custody %'!$B$50),"")</f>
        <v/>
      </c>
      <c r="I55" s="167" t="str">
        <f>IFERROR(SUMIFS('caseload data'!K:K,'caseload data'!$C:$C,'custody %'!$B$50,'caseload data'!$D:$D,"SPO",'caseload data'!$B:$B,"custody")/SUMIFS('caseload data'!K:K,'caseload data'!$B:$B,"custody",'caseload data'!$C:$C,'custody %'!$B$50),"")</f>
        <v/>
      </c>
      <c r="J55" s="167" t="str">
        <f>IFERROR(SUMIFS('caseload data'!L:L,'caseload data'!$C:$C,'custody %'!$B$50,'caseload data'!$D:$D,"SPO",'caseload data'!$B:$B,"custody")/SUMIFS('caseload data'!L:L,'caseload data'!$B:$B,"custody",'caseload data'!$C:$C,'custody %'!$B$50),"")</f>
        <v/>
      </c>
      <c r="K55" s="167" t="str">
        <f>IFERROR(SUMIFS('caseload data'!M:M,'caseload data'!$C:$C,'custody %'!$B$50,'caseload data'!$D:$D,"SPO",'caseload data'!$B:$B,"custody")/SUMIFS('caseload data'!M:M,'caseload data'!$B:$B,"custody",'caseload data'!$C:$C,'custody %'!$B$50),"")</f>
        <v/>
      </c>
      <c r="L55" s="167" t="str">
        <f>IFERROR(SUMIFS('caseload data'!N:N,'caseload data'!$C:$C,'custody %'!$B$50,'caseload data'!$D:$D,"SPO",'caseload data'!$B:$B,"custody")/SUMIFS('caseload data'!N:N,'caseload data'!$B:$B,"custody",'caseload data'!$C:$C,'custody %'!$B$50),"")</f>
        <v/>
      </c>
      <c r="M55" s="167" t="str">
        <f>IFERROR(SUMIFS('caseload data'!O:O,'caseload data'!$C:$C,'custody %'!$B$50,'caseload data'!$D:$D,"SPO",'caseload data'!$B:$B,"custody")/SUMIFS('caseload data'!O:O,'caseload data'!$B:$B,"custody",'caseload data'!$C:$C,'custody %'!$B$50),"")</f>
        <v/>
      </c>
      <c r="N55" s="167" t="str">
        <f>IFERROR(SUMIFS('caseload data'!P:P,'caseload data'!$C:$C,'custody %'!$B$50,'caseload data'!$D:$D,"SPO",'caseload data'!$B:$B,"custody")/SUMIFS('caseload data'!P:P,'caseload data'!$B:$B,"custody",'caseload data'!$C:$C,'custody %'!$B$50),"")</f>
        <v/>
      </c>
      <c r="O55" s="167" t="str">
        <f>IFERROR(SUMIFS('caseload data'!Q:Q,'caseload data'!$C:$C,'custody %'!$B$50,'caseload data'!$D:$D,"SPO",'caseload data'!$B:$B,"custody")/SUMIFS('caseload data'!Q:Q,'caseload data'!$B:$B,"custody",'caseload data'!$C:$C,'custody %'!$B$50),"")</f>
        <v/>
      </c>
      <c r="P55" s="167" t="str">
        <f>IFERROR(SUMIFS('caseload data'!R:R,'caseload data'!$C:$C,'custody %'!$B$50,'caseload data'!$D:$D,"SPO",'caseload data'!$B:$B,"custody")/SUMIFS('caseload data'!R:R,'caseload data'!$B:$B,"custody",'caseload data'!$C:$C,'custody %'!$B$50),"")</f>
        <v/>
      </c>
      <c r="Q55" s="167" t="str">
        <f>IFERROR(SUMIFS('caseload data'!S:S,'caseload data'!$C:$C,'custody %'!$B$50,'caseload data'!$D:$D,"SPO",'caseload data'!$B:$B,"custody")/SUMIFS('caseload data'!S:S,'caseload data'!$B:$B,"custody",'caseload data'!$C:$C,'custody %'!$B$50),"")</f>
        <v/>
      </c>
      <c r="R55" s="167" t="str">
        <f>IFERROR(SUMIFS('caseload data'!T:T,'caseload data'!$C:$C,'custody %'!$B$50,'caseload data'!$D:$D,"SPO",'caseload data'!$B:$B,"custody")/SUMIFS('caseload data'!T:T,'caseload data'!$B:$B,"custody",'caseload data'!$C:$C,'custody %'!$B$50),"")</f>
        <v/>
      </c>
      <c r="S55" s="64"/>
      <c r="T55" s="98" t="s">
        <v>954</v>
      </c>
      <c r="U55" s="167" t="str">
        <f>IFERROR(SUMIFS('caseload data'!E:E,'caseload data'!$C:$C,'custody %'!$T$50,'caseload data'!$D:$D,"SPO",'caseload data'!$B:$B,"custody")/SUMIFS('caseload data'!E:E,'caseload data'!$B:$B,"custody",'caseload data'!$C:$C,'custody %'!$T$50),"")</f>
        <v/>
      </c>
      <c r="V55" s="167" t="str">
        <f>IFERROR(SUMIFS('caseload data'!F:F,'caseload data'!$C:$C,'custody %'!$T$50,'caseload data'!$D:$D,"SPO",'caseload data'!$B:$B,"custody")/SUMIFS('caseload data'!F:F,'caseload data'!$B:$B,"custody",'caseload data'!$C:$C,'custody %'!$T$50),"")</f>
        <v/>
      </c>
      <c r="W55" s="167" t="str">
        <f>IFERROR(SUMIFS('caseload data'!G:G,'caseload data'!$C:$C,'custody %'!$T$50,'caseload data'!$D:$D,"SPO",'caseload data'!$B:$B,"custody")/SUMIFS('caseload data'!G:G,'caseload data'!$B:$B,"custody",'caseload data'!$C:$C,'custody %'!$T$50),"")</f>
        <v/>
      </c>
      <c r="X55" s="167" t="str">
        <f>IFERROR(SUMIFS('caseload data'!H:H,'caseload data'!$C:$C,'custody %'!$T$50,'caseload data'!$D:$D,"SPO",'caseload data'!$B:$B,"custody")/SUMIFS('caseload data'!H:H,'caseload data'!$B:$B,"custody",'caseload data'!$C:$C,'custody %'!$T$50),"")</f>
        <v/>
      </c>
      <c r="Y55" s="167" t="str">
        <f>IFERROR(SUMIFS('caseload data'!I:I,'caseload data'!$C:$C,'custody %'!$T$50,'caseload data'!$D:$D,"SPO",'caseload data'!$B:$B,"custody")/SUMIFS('caseload data'!I:I,'caseload data'!$B:$B,"custody",'caseload data'!$C:$C,'custody %'!$T$50),"")</f>
        <v/>
      </c>
      <c r="Z55" s="167" t="str">
        <f>IFERROR(SUMIFS('caseload data'!J:J,'caseload data'!$C:$C,'custody %'!$T$50,'caseload data'!$D:$D,"SPO",'caseload data'!$B:$B,"custody")/SUMIFS('caseload data'!J:J,'caseload data'!$B:$B,"custody",'caseload data'!$C:$C,'custody %'!$T$50),"")</f>
        <v/>
      </c>
      <c r="AA55" s="167" t="str">
        <f>IFERROR(SUMIFS('caseload data'!K:K,'caseload data'!$C:$C,'custody %'!$T$50,'caseload data'!$D:$D,"SPO",'caseload data'!$B:$B,"custody")/SUMIFS('caseload data'!K:K,'caseload data'!$B:$B,"custody",'caseload data'!$C:$C,'custody %'!$T$50),"")</f>
        <v/>
      </c>
      <c r="AB55" s="167" t="str">
        <f>IFERROR(SUMIFS('caseload data'!L:L,'caseload data'!$C:$C,'custody %'!$T$50,'caseload data'!$D:$D,"SPO",'caseload data'!$B:$B,"custody")/SUMIFS('caseload data'!L:L,'caseload data'!$B:$B,"custody",'caseload data'!$C:$C,'custody %'!$T$50),"")</f>
        <v/>
      </c>
      <c r="AC55" s="167" t="str">
        <f>IFERROR(SUMIFS('caseload data'!M:M,'caseload data'!$C:$C,'custody %'!$T$50,'caseload data'!$D:$D,"SPO",'caseload data'!$B:$B,"custody")/SUMIFS('caseload data'!M:M,'caseload data'!$B:$B,"custody",'caseload data'!$C:$C,'custody %'!$T$50),"")</f>
        <v/>
      </c>
      <c r="AD55" s="167" t="str">
        <f>IFERROR(SUMIFS('caseload data'!N:N,'caseload data'!$C:$C,'custody %'!$T$50,'caseload data'!$D:$D,"SPO",'caseload data'!$B:$B,"custody")/SUMIFS('caseload data'!N:N,'caseload data'!$B:$B,"custody",'caseload data'!$C:$C,'custody %'!$T$50),"")</f>
        <v/>
      </c>
      <c r="AE55" s="167" t="str">
        <f>IFERROR(SUMIFS('caseload data'!O:O,'caseload data'!$C:$C,'custody %'!$T$50,'caseload data'!$D:$D,"SPO",'caseload data'!$B:$B,"custody")/SUMIFS('caseload data'!O:O,'caseload data'!$B:$B,"custody",'caseload data'!$C:$C,'custody %'!$T$50),"")</f>
        <v/>
      </c>
      <c r="AF55" s="167" t="str">
        <f>IFERROR(SUMIFS('caseload data'!P:P,'caseload data'!$C:$C,'custody %'!$T$50,'caseload data'!$D:$D,"SPO",'caseload data'!$B:$B,"custody")/SUMIFS('caseload data'!P:P,'caseload data'!$B:$B,"custody",'caseload data'!$C:$C,'custody %'!$T$50),"")</f>
        <v/>
      </c>
      <c r="AG55" s="167" t="str">
        <f>IFERROR(SUMIFS('caseload data'!Q:Q,'caseload data'!$C:$C,'custody %'!$T$50,'caseload data'!$D:$D,"SPO",'caseload data'!$B:$B,"custody")/SUMIFS('caseload data'!Q:Q,'caseload data'!$B:$B,"custody",'caseload data'!$C:$C,'custody %'!$T$50),"")</f>
        <v/>
      </c>
      <c r="AH55" s="167" t="str">
        <f>IFERROR(SUMIFS('caseload data'!R:R,'caseload data'!$C:$C,'custody %'!$T$50,'caseload data'!$D:$D,"SPO",'caseload data'!$B:$B,"custody")/SUMIFS('caseload data'!R:R,'caseload data'!$B:$B,"custody",'caseload data'!$C:$C,'custody %'!$T$50),"")</f>
        <v/>
      </c>
      <c r="AI55" s="167"/>
      <c r="AJ55" s="167"/>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row>
    <row r="57" spans="2:36" ht="28.5" customHeight="1" x14ac:dyDescent="0.15">
      <c r="B57" s="288">
        <f>HLOOKUP($B$5,Region_Table,16,0)</f>
        <v>0</v>
      </c>
      <c r="C57" s="548" t="s">
        <v>1073</v>
      </c>
      <c r="D57" s="549"/>
      <c r="E57" s="549"/>
      <c r="F57" s="549"/>
      <c r="G57" s="549"/>
      <c r="H57" s="549"/>
      <c r="I57" s="549"/>
      <c r="J57" s="549"/>
      <c r="K57" s="549"/>
      <c r="L57" s="549"/>
      <c r="M57" s="568"/>
      <c r="N57" s="568"/>
      <c r="O57" s="569"/>
      <c r="P57" s="543">
        <f>SUMIF('caseload data'!$C:$C,'custody %'!B57,'caseload data'!V:V)</f>
        <v>0</v>
      </c>
      <c r="Q57" s="560"/>
      <c r="R57" s="561"/>
      <c r="S57" s="64"/>
      <c r="T57" s="288">
        <f>HLOOKUP($B$5,Region_Table,17,0)</f>
        <v>0</v>
      </c>
      <c r="U57" s="548" t="s">
        <v>1073</v>
      </c>
      <c r="V57" s="549"/>
      <c r="W57" s="549"/>
      <c r="X57" s="549"/>
      <c r="Y57" s="549"/>
      <c r="Z57" s="549"/>
      <c r="AA57" s="549"/>
      <c r="AB57" s="549"/>
      <c r="AC57" s="568"/>
      <c r="AD57" s="568"/>
      <c r="AE57" s="569"/>
      <c r="AF57" s="543">
        <f>SUMIF('caseload data'!$C:$C,'custody %'!T57,'caseload data'!V:V)</f>
        <v>0</v>
      </c>
      <c r="AG57" s="560"/>
      <c r="AH57" s="561"/>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167" t="str">
        <f>IFERROR(SUMIFS('caseload data'!E:E,'caseload data'!$C:$C,'custody %'!$B$57,'caseload data'!$D:$D,"PO",'caseload data'!$B:$B,"custody")/SUMIFS('caseload data'!E:E,'caseload data'!$B:$B,"custody",'caseload data'!$C:$C,'custody %'!$B$57),"")</f>
        <v/>
      </c>
      <c r="D59" s="167" t="str">
        <f>IFERROR(SUMIFS('caseload data'!F:F,'caseload data'!$C:$C,'custody %'!$B$57,'caseload data'!$D:$D,"PO",'caseload data'!$B:$B,"custody")/SUMIFS('caseload data'!F:F,'caseload data'!$B:$B,"custody",'caseload data'!$C:$C,'custody %'!$B$57),"")</f>
        <v/>
      </c>
      <c r="E59" s="167" t="str">
        <f>IFERROR(SUMIFS('caseload data'!G:G,'caseload data'!$C:$C,'custody %'!$B$57,'caseload data'!$D:$D,"PO",'caseload data'!$B:$B,"custody")/SUMIFS('caseload data'!G:G,'caseload data'!$B:$B,"custody",'caseload data'!$C:$C,'custody %'!$B$57),"")</f>
        <v/>
      </c>
      <c r="F59" s="167" t="str">
        <f>IFERROR(SUMIFS('caseload data'!H:H,'caseload data'!$C:$C,'custody %'!$B$57,'caseload data'!$D:$D,"PO",'caseload data'!$B:$B,"custody")/SUMIFS('caseload data'!H:H,'caseload data'!$B:$B,"custody",'caseload data'!$C:$C,'custody %'!$B$57),"")</f>
        <v/>
      </c>
      <c r="G59" s="167" t="str">
        <f>IFERROR(SUMIFS('caseload data'!I:I,'caseload data'!$C:$C,'custody %'!$B$57,'caseload data'!$D:$D,"PO",'caseload data'!$B:$B,"custody")/SUMIFS('caseload data'!I:I,'caseload data'!$B:$B,"custody",'caseload data'!$C:$C,'custody %'!$B$57),"")</f>
        <v/>
      </c>
      <c r="H59" s="167" t="str">
        <f>IFERROR(SUMIFS('caseload data'!J:J,'caseload data'!$C:$C,'custody %'!$B$57,'caseload data'!$D:$D,"PO",'caseload data'!$B:$B,"custody")/SUMIFS('caseload data'!J:J,'caseload data'!$B:$B,"custody",'caseload data'!$C:$C,'custody %'!$B$57),"")</f>
        <v/>
      </c>
      <c r="I59" s="167" t="str">
        <f>IFERROR(SUMIFS('caseload data'!K:K,'caseload data'!$C:$C,'custody %'!$B$57,'caseload data'!$D:$D,"PO",'caseload data'!$B:$B,"custody")/SUMIFS('caseload data'!K:K,'caseload data'!$B:$B,"custody",'caseload data'!$C:$C,'custody %'!$B$57),"")</f>
        <v/>
      </c>
      <c r="J59" s="167" t="str">
        <f>IFERROR(SUMIFS('caseload data'!L:L,'caseload data'!$C:$C,'custody %'!$B$57,'caseload data'!$D:$D,"PO",'caseload data'!$B:$B,"custody")/SUMIFS('caseload data'!L:L,'caseload data'!$B:$B,"custody",'caseload data'!$C:$C,'custody %'!$B$57),"")</f>
        <v/>
      </c>
      <c r="K59" s="167" t="str">
        <f>IFERROR(SUMIFS('caseload data'!M:M,'caseload data'!$C:$C,'custody %'!$B$57,'caseload data'!$D:$D,"PO",'caseload data'!$B:$B,"custody")/SUMIFS('caseload data'!M:M,'caseload data'!$B:$B,"custody",'caseload data'!$C:$C,'custody %'!$B$57),"")</f>
        <v/>
      </c>
      <c r="L59" s="167" t="str">
        <f>IFERROR(SUMIFS('caseload data'!N:N,'caseload data'!$C:$C,'custody %'!$B$57,'caseload data'!$D:$D,"PO",'caseload data'!$B:$B,"custody")/SUMIFS('caseload data'!N:N,'caseload data'!$B:$B,"custody",'caseload data'!$C:$C,'custody %'!$B$57),"")</f>
        <v/>
      </c>
      <c r="M59" s="167" t="str">
        <f>IFERROR(SUMIFS('caseload data'!O:O,'caseload data'!$C:$C,'custody %'!$B$57,'caseload data'!$D:$D,"PO",'caseload data'!$B:$B,"custody")/SUMIFS('caseload data'!O:O,'caseload data'!$B:$B,"custody",'caseload data'!$C:$C,'custody %'!$B$57),"")</f>
        <v/>
      </c>
      <c r="N59" s="167" t="str">
        <f>IFERROR(SUMIFS('caseload data'!P:P,'caseload data'!$C:$C,'custody %'!$B$57,'caseload data'!$D:$D,"PO",'caseload data'!$B:$B,"custody")/SUMIFS('caseload data'!P:P,'caseload data'!$B:$B,"custody",'caseload data'!$C:$C,'custody %'!$B$57),"")</f>
        <v/>
      </c>
      <c r="O59" s="167" t="str">
        <f>IFERROR(SUMIFS('caseload data'!Q:Q,'caseload data'!$C:$C,'custody %'!$B$57,'caseload data'!$D:$D,"PO",'caseload data'!$B:$B,"custody")/SUMIFS('caseload data'!Q:Q,'caseload data'!$B:$B,"custody",'caseload data'!$C:$C,'custody %'!$B$57),"")</f>
        <v/>
      </c>
      <c r="P59" s="167" t="str">
        <f>IFERROR(SUMIFS('caseload data'!R:R,'caseload data'!$C:$C,'custody %'!$B$57,'caseload data'!$D:$D,"PO",'caseload data'!$B:$B,"custody")/SUMIFS('caseload data'!R:R,'caseload data'!$B:$B,"custody",'caseload data'!$C:$C,'custody %'!$B$57),"")</f>
        <v/>
      </c>
      <c r="Q59" s="167" t="str">
        <f>IFERROR(SUMIFS('caseload data'!S:S,'caseload data'!$C:$C,'custody %'!$B$57,'caseload data'!$D:$D,"PO",'caseload data'!$B:$B,"custody")/SUMIFS('caseload data'!S:S,'caseload data'!$B:$B,"custody",'caseload data'!$C:$C,'custody %'!$B$57),"")</f>
        <v/>
      </c>
      <c r="R59" s="167" t="str">
        <f>IFERROR(SUMIFS('caseload data'!T:T,'caseload data'!$C:$C,'custody %'!$B$57,'caseload data'!$D:$D,"PO",'caseload data'!$B:$B,"custody")/SUMIFS('caseload data'!T:T,'caseload data'!$B:$B,"custody",'caseload data'!$C:$C,'custody %'!$B$57),"")</f>
        <v/>
      </c>
      <c r="S59" s="64"/>
      <c r="T59" s="96" t="s">
        <v>947</v>
      </c>
      <c r="U59" s="167" t="str">
        <f>IFERROR(SUMIFS('caseload data'!E:E,'caseload data'!$C:$C,'custody %'!$T$57,'caseload data'!$D:$D,"PO",'caseload data'!$B:$B,"custody")/SUMIFS('caseload data'!E:E,'caseload data'!$B:$B,"custody",'caseload data'!$C:$C,'custody %'!$T$57),"")</f>
        <v/>
      </c>
      <c r="V59" s="167" t="str">
        <f>IFERROR(SUMIFS('caseload data'!F:F,'caseload data'!$C:$C,'custody %'!$T$57,'caseload data'!$D:$D,"PO",'caseload data'!$B:$B,"custody")/SUMIFS('caseload data'!F:F,'caseload data'!$B:$B,"custody",'caseload data'!$C:$C,'custody %'!$T$57),"")</f>
        <v/>
      </c>
      <c r="W59" s="167" t="str">
        <f>IFERROR(SUMIFS('caseload data'!G:G,'caseload data'!$C:$C,'custody %'!$T$57,'caseload data'!$D:$D,"PO",'caseload data'!$B:$B,"custody")/SUMIFS('caseload data'!G:G,'caseload data'!$B:$B,"custody",'caseload data'!$C:$C,'custody %'!$T$57),"")</f>
        <v/>
      </c>
      <c r="X59" s="167" t="str">
        <f>IFERROR(SUMIFS('caseload data'!H:H,'caseload data'!$C:$C,'custody %'!$T$57,'caseload data'!$D:$D,"PO",'caseload data'!$B:$B,"custody")/SUMIFS('caseload data'!H:H,'caseload data'!$B:$B,"custody",'caseload data'!$C:$C,'custody %'!$T$57),"")</f>
        <v/>
      </c>
      <c r="Y59" s="167" t="str">
        <f>IFERROR(SUMIFS('caseload data'!I:I,'caseload data'!$C:$C,'custody %'!$T$57,'caseload data'!$D:$D,"PO",'caseload data'!$B:$B,"custody")/SUMIFS('caseload data'!I:I,'caseload data'!$B:$B,"custody",'caseload data'!$C:$C,'custody %'!$T$57),"")</f>
        <v/>
      </c>
      <c r="Z59" s="167" t="str">
        <f>IFERROR(SUMIFS('caseload data'!J:J,'caseload data'!$C:$C,'custody %'!$T$57,'caseload data'!$D:$D,"PO",'caseload data'!$B:$B,"custody")/SUMIFS('caseload data'!J:J,'caseload data'!$B:$B,"custody",'caseload data'!$C:$C,'custody %'!$T$57),"")</f>
        <v/>
      </c>
      <c r="AA59" s="167" t="str">
        <f>IFERROR(SUMIFS('caseload data'!K:K,'caseload data'!$C:$C,'custody %'!$T$57,'caseload data'!$D:$D,"PO",'caseload data'!$B:$B,"custody")/SUMIFS('caseload data'!K:K,'caseload data'!$B:$B,"custody",'caseload data'!$C:$C,'custody %'!$T$57),"")</f>
        <v/>
      </c>
      <c r="AB59" s="167" t="str">
        <f>IFERROR(SUMIFS('caseload data'!L:L,'caseload data'!$C:$C,'custody %'!$T$57,'caseload data'!$D:$D,"PO",'caseload data'!$B:$B,"custody")/SUMIFS('caseload data'!L:L,'caseload data'!$B:$B,"custody",'caseload data'!$C:$C,'custody %'!$T$57),"")</f>
        <v/>
      </c>
      <c r="AC59" s="167" t="str">
        <f>IFERROR(SUMIFS('caseload data'!M:M,'caseload data'!$C:$C,'custody %'!$T$57,'caseload data'!$D:$D,"PO",'caseload data'!$B:$B,"custody")/SUMIFS('caseload data'!M:M,'caseload data'!$B:$B,"custody",'caseload data'!$C:$C,'custody %'!$T$57),"")</f>
        <v/>
      </c>
      <c r="AD59" s="167" t="str">
        <f>IFERROR(SUMIFS('caseload data'!N:N,'caseload data'!$C:$C,'custody %'!$T$57,'caseload data'!$D:$D,"PO",'caseload data'!$B:$B,"custody")/SUMIFS('caseload data'!N:N,'caseload data'!$B:$B,"custody",'caseload data'!$C:$C,'custody %'!$T$57),"")</f>
        <v/>
      </c>
      <c r="AE59" s="167" t="str">
        <f>IFERROR(SUMIFS('caseload data'!O:O,'caseload data'!$C:$C,'custody %'!$T$57,'caseload data'!$D:$D,"PO",'caseload data'!$B:$B,"custody")/SUMIFS('caseload data'!O:O,'caseload data'!$B:$B,"custody",'caseload data'!$C:$C,'custody %'!$T$57),"")</f>
        <v/>
      </c>
      <c r="AF59" s="167" t="str">
        <f>IFERROR(SUMIFS('caseload data'!P:P,'caseload data'!$C:$C,'custody %'!$T$57,'caseload data'!$D:$D,"PO",'caseload data'!$B:$B,"custody")/SUMIFS('caseload data'!P:P,'caseload data'!$B:$B,"custody",'caseload data'!$C:$C,'custody %'!$T$57),"")</f>
        <v/>
      </c>
      <c r="AG59" s="167" t="str">
        <f>IFERROR(SUMIFS('caseload data'!Q:Q,'caseload data'!$C:$C,'custody %'!$T$57,'caseload data'!$D:$D,"PO",'caseload data'!$B:$B,"custody")/SUMIFS('caseload data'!Q:Q,'caseload data'!$B:$B,"custody",'caseload data'!$C:$C,'custody %'!$T$57),"")</f>
        <v/>
      </c>
      <c r="AH59" s="167" t="str">
        <f>IFERROR(SUMIFS('caseload data'!R:R,'caseload data'!$C:$C,'custody %'!$T$57,'caseload data'!$D:$D,"PO",'caseload data'!$B:$B,"custody")/SUMIFS('caseload data'!R:R,'caseload data'!$B:$B,"custody",'caseload data'!$C:$C,'custody %'!$T$57),"")</f>
        <v/>
      </c>
      <c r="AI59" s="167"/>
      <c r="AJ59" s="167"/>
    </row>
    <row r="60" spans="2:36" x14ac:dyDescent="0.15">
      <c r="B60" s="97" t="s">
        <v>952</v>
      </c>
      <c r="C60" s="167" t="str">
        <f>IFERROR(SUMIFS('caseload data'!E:E,'caseload data'!$C:$C,'custody %'!$B$57,'caseload data'!$D:$D,"PSO",'caseload data'!$B:$B,"custody")/SUMIFS('caseload data'!E:E,'caseload data'!$B:$B,"custody",'caseload data'!$C:$C,'custody %'!$B$57),"")</f>
        <v/>
      </c>
      <c r="D60" s="167" t="str">
        <f>IFERROR(SUMIFS('caseload data'!F:F,'caseload data'!$C:$C,'custody %'!$B$57,'caseload data'!$D:$D,"PSO",'caseload data'!$B:$B,"custody")/SUMIFS('caseload data'!F:F,'caseload data'!$B:$B,"custody",'caseload data'!$C:$C,'custody %'!$B$57),"")</f>
        <v/>
      </c>
      <c r="E60" s="167" t="str">
        <f>IFERROR(SUMIFS('caseload data'!G:G,'caseload data'!$C:$C,'custody %'!$B$57,'caseload data'!$D:$D,"PSO",'caseload data'!$B:$B,"custody")/SUMIFS('caseload data'!G:G,'caseload data'!$B:$B,"custody",'caseload data'!$C:$C,'custody %'!$B$57),"")</f>
        <v/>
      </c>
      <c r="F60" s="167" t="str">
        <f>IFERROR(SUMIFS('caseload data'!H:H,'caseload data'!$C:$C,'custody %'!$B$57,'caseload data'!$D:$D,"PSO",'caseload data'!$B:$B,"custody")/SUMIFS('caseload data'!H:H,'caseload data'!$B:$B,"custody",'caseload data'!$C:$C,'custody %'!$B$57),"")</f>
        <v/>
      </c>
      <c r="G60" s="167" t="str">
        <f>IFERROR(SUMIFS('caseload data'!I:I,'caseload data'!$C:$C,'custody %'!$B$57,'caseload data'!$D:$D,"PSO",'caseload data'!$B:$B,"custody")/SUMIFS('caseload data'!I:I,'caseload data'!$B:$B,"custody",'caseload data'!$C:$C,'custody %'!$B$57),"")</f>
        <v/>
      </c>
      <c r="H60" s="167" t="str">
        <f>IFERROR(SUMIFS('caseload data'!J:J,'caseload data'!$C:$C,'custody %'!$B$57,'caseload data'!$D:$D,"PSO",'caseload data'!$B:$B,"custody")/SUMIFS('caseload data'!J:J,'caseload data'!$B:$B,"custody",'caseload data'!$C:$C,'custody %'!$B$57),"")</f>
        <v/>
      </c>
      <c r="I60" s="167" t="str">
        <f>IFERROR(SUMIFS('caseload data'!K:K,'caseload data'!$C:$C,'custody %'!$B$57,'caseload data'!$D:$D,"PSO",'caseload data'!$B:$B,"custody")/SUMIFS('caseload data'!K:K,'caseload data'!$B:$B,"custody",'caseload data'!$C:$C,'custody %'!$B$57),"")</f>
        <v/>
      </c>
      <c r="J60" s="167" t="str">
        <f>IFERROR(SUMIFS('caseload data'!L:L,'caseload data'!$C:$C,'custody %'!$B$57,'caseload data'!$D:$D,"PSO",'caseload data'!$B:$B,"custody")/SUMIFS('caseload data'!L:L,'caseload data'!$B:$B,"custody",'caseload data'!$C:$C,'custody %'!$B$57),"")</f>
        <v/>
      </c>
      <c r="K60" s="167" t="str">
        <f>IFERROR(SUMIFS('caseload data'!M:M,'caseload data'!$C:$C,'custody %'!$B$57,'caseload data'!$D:$D,"PSO",'caseload data'!$B:$B,"custody")/SUMIFS('caseload data'!M:M,'caseload data'!$B:$B,"custody",'caseload data'!$C:$C,'custody %'!$B$57),"")</f>
        <v/>
      </c>
      <c r="L60" s="167" t="str">
        <f>IFERROR(SUMIFS('caseload data'!N:N,'caseload data'!$C:$C,'custody %'!$B$57,'caseload data'!$D:$D,"PSO",'caseload data'!$B:$B,"custody")/SUMIFS('caseload data'!N:N,'caseload data'!$B:$B,"custody",'caseload data'!$C:$C,'custody %'!$B$57),"")</f>
        <v/>
      </c>
      <c r="M60" s="167" t="str">
        <f>IFERROR(SUMIFS('caseload data'!O:O,'caseload data'!$C:$C,'custody %'!$B$57,'caseload data'!$D:$D,"PSO",'caseload data'!$B:$B,"custody")/SUMIFS('caseload data'!O:O,'caseload data'!$B:$B,"custody",'caseload data'!$C:$C,'custody %'!$B$57),"")</f>
        <v/>
      </c>
      <c r="N60" s="167" t="str">
        <f>IFERROR(SUMIFS('caseload data'!P:P,'caseload data'!$C:$C,'custody %'!$B$57,'caseload data'!$D:$D,"PSO",'caseload data'!$B:$B,"custody")/SUMIFS('caseload data'!P:P,'caseload data'!$B:$B,"custody",'caseload data'!$C:$C,'custody %'!$B$57),"")</f>
        <v/>
      </c>
      <c r="O60" s="167" t="str">
        <f>IFERROR(SUMIFS('caseload data'!Q:Q,'caseload data'!$C:$C,'custody %'!$B$57,'caseload data'!$D:$D,"PSO",'caseload data'!$B:$B,"custody")/SUMIFS('caseload data'!Q:Q,'caseload data'!$B:$B,"custody",'caseload data'!$C:$C,'custody %'!$B$57),"")</f>
        <v/>
      </c>
      <c r="P60" s="167" t="str">
        <f>IFERROR(SUMIFS('caseload data'!R:R,'caseload data'!$C:$C,'custody %'!$B$57,'caseload data'!$D:$D,"PSO",'caseload data'!$B:$B,"custody")/SUMIFS('caseload data'!R:R,'caseload data'!$B:$B,"custody",'caseload data'!$C:$C,'custody %'!$B$57),"")</f>
        <v/>
      </c>
      <c r="Q60" s="167" t="str">
        <f>IFERROR(SUMIFS('caseload data'!S:S,'caseload data'!$C:$C,'custody %'!$B$57,'caseload data'!$D:$D,"PSO",'caseload data'!$B:$B,"custody")/SUMIFS('caseload data'!S:S,'caseload data'!$B:$B,"custody",'caseload data'!$C:$C,'custody %'!$B$57),"")</f>
        <v/>
      </c>
      <c r="R60" s="167" t="str">
        <f>IFERROR(SUMIFS('caseload data'!T:T,'caseload data'!$C:$C,'custody %'!$B$57,'caseload data'!$D:$D,"PSO",'caseload data'!$B:$B,"custody")/SUMIFS('caseload data'!T:T,'caseload data'!$B:$B,"custody",'caseload data'!$C:$C,'custody %'!$B$57),"")</f>
        <v/>
      </c>
      <c r="S60" s="64"/>
      <c r="T60" s="97" t="s">
        <v>952</v>
      </c>
      <c r="U60" s="167" t="str">
        <f>IFERROR(SUMIFS('caseload data'!E:E,'caseload data'!$C:$C,'custody %'!$T$57,'caseload data'!$D:$D,"PSO",'caseload data'!$B:$B,"custody")/SUMIFS('caseload data'!E:E,'caseload data'!$B:$B,"custody",'caseload data'!$C:$C,'custody %'!$T$57),"")</f>
        <v/>
      </c>
      <c r="V60" s="167" t="str">
        <f>IFERROR(SUMIFS('caseload data'!F:F,'caseload data'!$C:$C,'custody %'!$T$57,'caseload data'!$D:$D,"PSO",'caseload data'!$B:$B,"custody")/SUMIFS('caseload data'!F:F,'caseload data'!$B:$B,"custody",'caseload data'!$C:$C,'custody %'!$T$57),"")</f>
        <v/>
      </c>
      <c r="W60" s="167" t="str">
        <f>IFERROR(SUMIFS('caseload data'!G:G,'caseload data'!$C:$C,'custody %'!$T$57,'caseload data'!$D:$D,"PSO",'caseload data'!$B:$B,"custody")/SUMIFS('caseload data'!G:G,'caseload data'!$B:$B,"custody",'caseload data'!$C:$C,'custody %'!$T$57),"")</f>
        <v/>
      </c>
      <c r="X60" s="167" t="str">
        <f>IFERROR(SUMIFS('caseload data'!H:H,'caseload data'!$C:$C,'custody %'!$T$57,'caseload data'!$D:$D,"PSO",'caseload data'!$B:$B,"custody")/SUMIFS('caseload data'!H:H,'caseload data'!$B:$B,"custody",'caseload data'!$C:$C,'custody %'!$T$57),"")</f>
        <v/>
      </c>
      <c r="Y60" s="167" t="str">
        <f>IFERROR(SUMIFS('caseload data'!I:I,'caseload data'!$C:$C,'custody %'!$T$57,'caseload data'!$D:$D,"PSO",'caseload data'!$B:$B,"custody")/SUMIFS('caseload data'!I:I,'caseload data'!$B:$B,"custody",'caseload data'!$C:$C,'custody %'!$T$57),"")</f>
        <v/>
      </c>
      <c r="Z60" s="167" t="str">
        <f>IFERROR(SUMIFS('caseload data'!J:J,'caseload data'!$C:$C,'custody %'!$T$57,'caseload data'!$D:$D,"PSO",'caseload data'!$B:$B,"custody")/SUMIFS('caseload data'!J:J,'caseload data'!$B:$B,"custody",'caseload data'!$C:$C,'custody %'!$T$57),"")</f>
        <v/>
      </c>
      <c r="AA60" s="167" t="str">
        <f>IFERROR(SUMIFS('caseload data'!K:K,'caseload data'!$C:$C,'custody %'!$T$57,'caseload data'!$D:$D,"PSO",'caseload data'!$B:$B,"custody")/SUMIFS('caseload data'!K:K,'caseload data'!$B:$B,"custody",'caseload data'!$C:$C,'custody %'!$T$57),"")</f>
        <v/>
      </c>
      <c r="AB60" s="167" t="str">
        <f>IFERROR(SUMIFS('caseload data'!L:L,'caseload data'!$C:$C,'custody %'!$T$57,'caseload data'!$D:$D,"PSO",'caseload data'!$B:$B,"custody")/SUMIFS('caseload data'!L:L,'caseload data'!$B:$B,"custody",'caseload data'!$C:$C,'custody %'!$T$57),"")</f>
        <v/>
      </c>
      <c r="AC60" s="167" t="str">
        <f>IFERROR(SUMIFS('caseload data'!M:M,'caseload data'!$C:$C,'custody %'!$T$57,'caseload data'!$D:$D,"PSO",'caseload data'!$B:$B,"custody")/SUMIFS('caseload data'!M:M,'caseload data'!$B:$B,"custody",'caseload data'!$C:$C,'custody %'!$T$57),"")</f>
        <v/>
      </c>
      <c r="AD60" s="167" t="str">
        <f>IFERROR(SUMIFS('caseload data'!N:N,'caseload data'!$C:$C,'custody %'!$T$57,'caseload data'!$D:$D,"PSO",'caseload data'!$B:$B,"custody")/SUMIFS('caseload data'!N:N,'caseload data'!$B:$B,"custody",'caseload data'!$C:$C,'custody %'!$T$57),"")</f>
        <v/>
      </c>
      <c r="AE60" s="167" t="str">
        <f>IFERROR(SUMIFS('caseload data'!O:O,'caseload data'!$C:$C,'custody %'!$T$57,'caseload data'!$D:$D,"PSO",'caseload data'!$B:$B,"custody")/SUMIFS('caseload data'!O:O,'caseload data'!$B:$B,"custody",'caseload data'!$C:$C,'custody %'!$T$57),"")</f>
        <v/>
      </c>
      <c r="AF60" s="167" t="str">
        <f>IFERROR(SUMIFS('caseload data'!P:P,'caseload data'!$C:$C,'custody %'!$T$57,'caseload data'!$D:$D,"PSO",'caseload data'!$B:$B,"custody")/SUMIFS('caseload data'!P:P,'caseload data'!$B:$B,"custody",'caseload data'!$C:$C,'custody %'!$T$57),"")</f>
        <v/>
      </c>
      <c r="AG60" s="167" t="str">
        <f>IFERROR(SUMIFS('caseload data'!Q:Q,'caseload data'!$C:$C,'custody %'!$T$57,'caseload data'!$D:$D,"PSO",'caseload data'!$B:$B,"custody")/SUMIFS('caseload data'!Q:Q,'caseload data'!$B:$B,"custody",'caseload data'!$C:$C,'custody %'!$T$57),"")</f>
        <v/>
      </c>
      <c r="AH60" s="167" t="str">
        <f>IFERROR(SUMIFS('caseload data'!R:R,'caseload data'!$C:$C,'custody %'!$T$57,'caseload data'!$D:$D,"PSO",'caseload data'!$B:$B,"custody")/SUMIFS('caseload data'!R:R,'caseload data'!$B:$B,"custody",'caseload data'!$C:$C,'custody %'!$T$57),"")</f>
        <v/>
      </c>
      <c r="AI60" s="167"/>
      <c r="AJ60" s="167"/>
    </row>
    <row r="61" spans="2:36" x14ac:dyDescent="0.15">
      <c r="B61" s="97" t="s">
        <v>953</v>
      </c>
      <c r="C61" s="167" t="str">
        <f>IFERROR(SUMIFS('caseload data'!E:E,'caseload data'!$C:$C,'custody %'!$B$57,'caseload data'!$D:$D,"TPO",'caseload data'!$B:$B,"custody")/SUMIFS('caseload data'!E:E,'caseload data'!$B:$B,"custody",'caseload data'!$C:$C,'custody %'!$B$57),"")</f>
        <v/>
      </c>
      <c r="D61" s="167" t="str">
        <f>IFERROR(SUMIFS('caseload data'!F:F,'caseload data'!$C:$C,'custody %'!$B$57,'caseload data'!$D:$D,"TPO",'caseload data'!$B:$B,"custody")/SUMIFS('caseload data'!F:F,'caseload data'!$B:$B,"custody",'caseload data'!$C:$C,'custody %'!$B$57),"")</f>
        <v/>
      </c>
      <c r="E61" s="167" t="str">
        <f>IFERROR(SUMIFS('caseload data'!G:G,'caseload data'!$C:$C,'custody %'!$B$57,'caseload data'!$D:$D,"TPO",'caseload data'!$B:$B,"custody")/SUMIFS('caseload data'!G:G,'caseload data'!$B:$B,"custody",'caseload data'!$C:$C,'custody %'!$B$57),"")</f>
        <v/>
      </c>
      <c r="F61" s="167" t="str">
        <f>IFERROR(SUMIFS('caseload data'!H:H,'caseload data'!$C:$C,'custody %'!$B$57,'caseload data'!$D:$D,"TPO",'caseload data'!$B:$B,"custody")/SUMIFS('caseload data'!H:H,'caseload data'!$B:$B,"custody",'caseload data'!$C:$C,'custody %'!$B$57),"")</f>
        <v/>
      </c>
      <c r="G61" s="167" t="str">
        <f>IFERROR(SUMIFS('caseload data'!I:I,'caseload data'!$C:$C,'custody %'!$B$57,'caseload data'!$D:$D,"TPO",'caseload data'!$B:$B,"custody")/SUMIFS('caseload data'!I:I,'caseload data'!$B:$B,"custody",'caseload data'!$C:$C,'custody %'!$B$57),"")</f>
        <v/>
      </c>
      <c r="H61" s="167" t="str">
        <f>IFERROR(SUMIFS('caseload data'!J:J,'caseload data'!$C:$C,'custody %'!$B$57,'caseload data'!$D:$D,"TPO",'caseload data'!$B:$B,"custody")/SUMIFS('caseload data'!J:J,'caseload data'!$B:$B,"custody",'caseload data'!$C:$C,'custody %'!$B$57),"")</f>
        <v/>
      </c>
      <c r="I61" s="167" t="str">
        <f>IFERROR(SUMIFS('caseload data'!K:K,'caseload data'!$C:$C,'custody %'!$B$57,'caseload data'!$D:$D,"TPO",'caseload data'!$B:$B,"custody")/SUMIFS('caseload data'!K:K,'caseload data'!$B:$B,"custody",'caseload data'!$C:$C,'custody %'!$B$57),"")</f>
        <v/>
      </c>
      <c r="J61" s="167" t="str">
        <f>IFERROR(SUMIFS('caseload data'!L:L,'caseload data'!$C:$C,'custody %'!$B$57,'caseload data'!$D:$D,"TPO",'caseload data'!$B:$B,"custody")/SUMIFS('caseload data'!L:L,'caseload data'!$B:$B,"custody",'caseload data'!$C:$C,'custody %'!$B$57),"")</f>
        <v/>
      </c>
      <c r="K61" s="167" t="str">
        <f>IFERROR(SUMIFS('caseload data'!M:M,'caseload data'!$C:$C,'custody %'!$B$57,'caseload data'!$D:$D,"TPO",'caseload data'!$B:$B,"custody")/SUMIFS('caseload data'!M:M,'caseload data'!$B:$B,"custody",'caseload data'!$C:$C,'custody %'!$B$57),"")</f>
        <v/>
      </c>
      <c r="L61" s="167" t="str">
        <f>IFERROR(SUMIFS('caseload data'!N:N,'caseload data'!$C:$C,'custody %'!$B$57,'caseload data'!$D:$D,"TPO",'caseload data'!$B:$B,"custody")/SUMIFS('caseload data'!N:N,'caseload data'!$B:$B,"custody",'caseload data'!$C:$C,'custody %'!$B$57),"")</f>
        <v/>
      </c>
      <c r="M61" s="167" t="str">
        <f>IFERROR(SUMIFS('caseload data'!O:O,'caseload data'!$C:$C,'custody %'!$B$57,'caseload data'!$D:$D,"TPO",'caseload data'!$B:$B,"custody")/SUMIFS('caseload data'!O:O,'caseload data'!$B:$B,"custody",'caseload data'!$C:$C,'custody %'!$B$57),"")</f>
        <v/>
      </c>
      <c r="N61" s="167" t="str">
        <f>IFERROR(SUMIFS('caseload data'!P:P,'caseload data'!$C:$C,'custody %'!$B$57,'caseload data'!$D:$D,"TPO",'caseload data'!$B:$B,"custody")/SUMIFS('caseload data'!P:P,'caseload data'!$B:$B,"custody",'caseload data'!$C:$C,'custody %'!$B$57),"")</f>
        <v/>
      </c>
      <c r="O61" s="167" t="str">
        <f>IFERROR(SUMIFS('caseload data'!Q:Q,'caseload data'!$C:$C,'custody %'!$B$57,'caseload data'!$D:$D,"TPO",'caseload data'!$B:$B,"custody")/SUMIFS('caseload data'!Q:Q,'caseload data'!$B:$B,"custody",'caseload data'!$C:$C,'custody %'!$B$57),"")</f>
        <v/>
      </c>
      <c r="P61" s="167" t="str">
        <f>IFERROR(SUMIFS('caseload data'!R:R,'caseload data'!$C:$C,'custody %'!$B$57,'caseload data'!$D:$D,"TPO",'caseload data'!$B:$B,"custody")/SUMIFS('caseload data'!R:R,'caseload data'!$B:$B,"custody",'caseload data'!$C:$C,'custody %'!$B$57),"")</f>
        <v/>
      </c>
      <c r="Q61" s="167" t="str">
        <f>IFERROR(SUMIFS('caseload data'!S:S,'caseload data'!$C:$C,'custody %'!$B$57,'caseload data'!$D:$D,"TPO",'caseload data'!$B:$B,"custody")/SUMIFS('caseload data'!S:S,'caseload data'!$B:$B,"custody",'caseload data'!$C:$C,'custody %'!$B$57),"")</f>
        <v/>
      </c>
      <c r="R61" s="167" t="str">
        <f>IFERROR(SUMIFS('caseload data'!T:T,'caseload data'!$C:$C,'custody %'!$B$57,'caseload data'!$D:$D,"TPO",'caseload data'!$B:$B,"custody")/SUMIFS('caseload data'!T:T,'caseload data'!$B:$B,"custody",'caseload data'!$C:$C,'custody %'!$B$57),"")</f>
        <v/>
      </c>
      <c r="S61" s="64"/>
      <c r="T61" s="97" t="s">
        <v>953</v>
      </c>
      <c r="U61" s="167" t="str">
        <f>IFERROR(SUMIFS('caseload data'!E:E,'caseload data'!$C:$C,'custody %'!$T$57,'caseload data'!$D:$D,"TPO",'caseload data'!$B:$B,"custody")/SUMIFS('caseload data'!E:E,'caseload data'!$B:$B,"custody",'caseload data'!$C:$C,'custody %'!$T$57),"")</f>
        <v/>
      </c>
      <c r="V61" s="167" t="str">
        <f>IFERROR(SUMIFS('caseload data'!F:F,'caseload data'!$C:$C,'custody %'!$T$57,'caseload data'!$D:$D,"TPO",'caseload data'!$B:$B,"custody")/SUMIFS('caseload data'!F:F,'caseload data'!$B:$B,"custody",'caseload data'!$C:$C,'custody %'!$T$57),"")</f>
        <v/>
      </c>
      <c r="W61" s="167" t="str">
        <f>IFERROR(SUMIFS('caseload data'!G:G,'caseload data'!$C:$C,'custody %'!$T$57,'caseload data'!$D:$D,"TPO",'caseload data'!$B:$B,"custody")/SUMIFS('caseload data'!G:G,'caseload data'!$B:$B,"custody",'caseload data'!$C:$C,'custody %'!$T$57),"")</f>
        <v/>
      </c>
      <c r="X61" s="167" t="str">
        <f>IFERROR(SUMIFS('caseload data'!H:H,'caseload data'!$C:$C,'custody %'!$T$57,'caseload data'!$D:$D,"TPO",'caseload data'!$B:$B,"custody")/SUMIFS('caseload data'!H:H,'caseload data'!$B:$B,"custody",'caseload data'!$C:$C,'custody %'!$T$57),"")</f>
        <v/>
      </c>
      <c r="Y61" s="167" t="str">
        <f>IFERROR(SUMIFS('caseload data'!I:I,'caseload data'!$C:$C,'custody %'!$T$57,'caseload data'!$D:$D,"TPO",'caseload data'!$B:$B,"custody")/SUMIFS('caseload data'!I:I,'caseload data'!$B:$B,"custody",'caseload data'!$C:$C,'custody %'!$T$57),"")</f>
        <v/>
      </c>
      <c r="Z61" s="167" t="str">
        <f>IFERROR(SUMIFS('caseload data'!J:J,'caseload data'!$C:$C,'custody %'!$T$57,'caseload data'!$D:$D,"TPO",'caseload data'!$B:$B,"custody")/SUMIFS('caseload data'!J:J,'caseload data'!$B:$B,"custody",'caseload data'!$C:$C,'custody %'!$T$57),"")</f>
        <v/>
      </c>
      <c r="AA61" s="167" t="str">
        <f>IFERROR(SUMIFS('caseload data'!K:K,'caseload data'!$C:$C,'custody %'!$T$57,'caseload data'!$D:$D,"TPO",'caseload data'!$B:$B,"custody")/SUMIFS('caseload data'!K:K,'caseload data'!$B:$B,"custody",'caseload data'!$C:$C,'custody %'!$T$57),"")</f>
        <v/>
      </c>
      <c r="AB61" s="167" t="str">
        <f>IFERROR(SUMIFS('caseload data'!L:L,'caseload data'!$C:$C,'custody %'!$T$57,'caseload data'!$D:$D,"TPO",'caseload data'!$B:$B,"custody")/SUMIFS('caseload data'!L:L,'caseload data'!$B:$B,"custody",'caseload data'!$C:$C,'custody %'!$T$57),"")</f>
        <v/>
      </c>
      <c r="AC61" s="167" t="str">
        <f>IFERROR(SUMIFS('caseload data'!M:M,'caseload data'!$C:$C,'custody %'!$T$57,'caseload data'!$D:$D,"TPO",'caseload data'!$B:$B,"custody")/SUMIFS('caseload data'!M:M,'caseload data'!$B:$B,"custody",'caseload data'!$C:$C,'custody %'!$T$57),"")</f>
        <v/>
      </c>
      <c r="AD61" s="167" t="str">
        <f>IFERROR(SUMIFS('caseload data'!N:N,'caseload data'!$C:$C,'custody %'!$T$57,'caseload data'!$D:$D,"TPO",'caseload data'!$B:$B,"custody")/SUMIFS('caseload data'!N:N,'caseload data'!$B:$B,"custody",'caseload data'!$C:$C,'custody %'!$T$57),"")</f>
        <v/>
      </c>
      <c r="AE61" s="167" t="str">
        <f>IFERROR(SUMIFS('caseload data'!O:O,'caseload data'!$C:$C,'custody %'!$T$57,'caseload data'!$D:$D,"TPO",'caseload data'!$B:$B,"custody")/SUMIFS('caseload data'!O:O,'caseload data'!$B:$B,"custody",'caseload data'!$C:$C,'custody %'!$T$57),"")</f>
        <v/>
      </c>
      <c r="AF61" s="167" t="str">
        <f>IFERROR(SUMIFS('caseload data'!P:P,'caseload data'!$C:$C,'custody %'!$T$57,'caseload data'!$D:$D,"TPO",'caseload data'!$B:$B,"custody")/SUMIFS('caseload data'!P:P,'caseload data'!$B:$B,"custody",'caseload data'!$C:$C,'custody %'!$T$57),"")</f>
        <v/>
      </c>
      <c r="AG61" s="167" t="str">
        <f>IFERROR(SUMIFS('caseload data'!Q:Q,'caseload data'!$C:$C,'custody %'!$T$57,'caseload data'!$D:$D,"TPO",'caseload data'!$B:$B,"custody")/SUMIFS('caseload data'!Q:Q,'caseload data'!$B:$B,"custody",'caseload data'!$C:$C,'custody %'!$T$57),"")</f>
        <v/>
      </c>
      <c r="AH61" s="167" t="str">
        <f>IFERROR(SUMIFS('caseload data'!R:R,'caseload data'!$C:$C,'custody %'!$T$57,'caseload data'!$D:$D,"TPO",'caseload data'!$B:$B,"custody")/SUMIFS('caseload data'!R:R,'caseload data'!$B:$B,"custody",'caseload data'!$C:$C,'custody %'!$T$57),"")</f>
        <v/>
      </c>
      <c r="AI61" s="167"/>
      <c r="AJ61" s="167"/>
    </row>
    <row r="62" spans="2:36" x14ac:dyDescent="0.15">
      <c r="B62" s="98" t="s">
        <v>954</v>
      </c>
      <c r="C62" s="167" t="str">
        <f>IFERROR(SUMIFS('caseload data'!E:E,'caseload data'!$C:$C,'custody %'!$B$57,'caseload data'!$D:$D,"SPO",'caseload data'!$B:$B,"custody")/SUMIFS('caseload data'!E:E,'caseload data'!$B:$B,"custody",'caseload data'!$C:$C,'custody %'!$B$57),"")</f>
        <v/>
      </c>
      <c r="D62" s="167" t="str">
        <f>IFERROR(SUMIFS('caseload data'!F:F,'caseload data'!$C:$C,'custody %'!$B$57,'caseload data'!$D:$D,"SPO",'caseload data'!$B:$B,"custody")/SUMIFS('caseload data'!F:F,'caseload data'!$B:$B,"custody",'caseload data'!$C:$C,'custody %'!$B$57),"")</f>
        <v/>
      </c>
      <c r="E62" s="167" t="str">
        <f>IFERROR(SUMIFS('caseload data'!G:G,'caseload data'!$C:$C,'custody %'!$B$57,'caseload data'!$D:$D,"SPO",'caseload data'!$B:$B,"custody")/SUMIFS('caseload data'!G:G,'caseload data'!$B:$B,"custody",'caseload data'!$C:$C,'custody %'!$B$57),"")</f>
        <v/>
      </c>
      <c r="F62" s="167" t="str">
        <f>IFERROR(SUMIFS('caseload data'!H:H,'caseload data'!$C:$C,'custody %'!$B$57,'caseload data'!$D:$D,"SPO",'caseload data'!$B:$B,"custody")/SUMIFS('caseload data'!H:H,'caseload data'!$B:$B,"custody",'caseload data'!$C:$C,'custody %'!$B$57),"")</f>
        <v/>
      </c>
      <c r="G62" s="167" t="str">
        <f>IFERROR(SUMIFS('caseload data'!I:I,'caseload data'!$C:$C,'custody %'!$B$57,'caseload data'!$D:$D,"SPO",'caseload data'!$B:$B,"custody")/SUMIFS('caseload data'!I:I,'caseload data'!$B:$B,"custody",'caseload data'!$C:$C,'custody %'!$B$57),"")</f>
        <v/>
      </c>
      <c r="H62" s="167" t="str">
        <f>IFERROR(SUMIFS('caseload data'!J:J,'caseload data'!$C:$C,'custody %'!$B$57,'caseload data'!$D:$D,"SPO",'caseload data'!$B:$B,"custody")/SUMIFS('caseload data'!J:J,'caseload data'!$B:$B,"custody",'caseload data'!$C:$C,'custody %'!$B$57),"")</f>
        <v/>
      </c>
      <c r="I62" s="167" t="str">
        <f>IFERROR(SUMIFS('caseload data'!K:K,'caseload data'!$C:$C,'custody %'!$B$57,'caseload data'!$D:$D,"SPO",'caseload data'!$B:$B,"custody")/SUMIFS('caseload data'!K:K,'caseload data'!$B:$B,"custody",'caseload data'!$C:$C,'custody %'!$B$57),"")</f>
        <v/>
      </c>
      <c r="J62" s="167" t="str">
        <f>IFERROR(SUMIFS('caseload data'!L:L,'caseload data'!$C:$C,'custody %'!$B$57,'caseload data'!$D:$D,"SPO",'caseload data'!$B:$B,"custody")/SUMIFS('caseload data'!L:L,'caseload data'!$B:$B,"custody",'caseload data'!$C:$C,'custody %'!$B$57),"")</f>
        <v/>
      </c>
      <c r="K62" s="167" t="str">
        <f>IFERROR(SUMIFS('caseload data'!M:M,'caseload data'!$C:$C,'custody %'!$B$57,'caseload data'!$D:$D,"SPO",'caseload data'!$B:$B,"custody")/SUMIFS('caseload data'!M:M,'caseload data'!$B:$B,"custody",'caseload data'!$C:$C,'custody %'!$B$57),"")</f>
        <v/>
      </c>
      <c r="L62" s="167" t="str">
        <f>IFERROR(SUMIFS('caseload data'!N:N,'caseload data'!$C:$C,'custody %'!$B$57,'caseload data'!$D:$D,"SPO",'caseload data'!$B:$B,"custody")/SUMIFS('caseload data'!N:N,'caseload data'!$B:$B,"custody",'caseload data'!$C:$C,'custody %'!$B$57),"")</f>
        <v/>
      </c>
      <c r="M62" s="167" t="str">
        <f>IFERROR(SUMIFS('caseload data'!O:O,'caseload data'!$C:$C,'custody %'!$B$57,'caseload data'!$D:$D,"SPO",'caseload data'!$B:$B,"custody")/SUMIFS('caseload data'!O:O,'caseload data'!$B:$B,"custody",'caseload data'!$C:$C,'custody %'!$B$57),"")</f>
        <v/>
      </c>
      <c r="N62" s="167" t="str">
        <f>IFERROR(SUMIFS('caseload data'!P:P,'caseload data'!$C:$C,'custody %'!$B$57,'caseload data'!$D:$D,"SPO",'caseload data'!$B:$B,"custody")/SUMIFS('caseload data'!P:P,'caseload data'!$B:$B,"custody",'caseload data'!$C:$C,'custody %'!$B$57),"")</f>
        <v/>
      </c>
      <c r="O62" s="167" t="str">
        <f>IFERROR(SUMIFS('caseload data'!Q:Q,'caseload data'!$C:$C,'custody %'!$B$57,'caseload data'!$D:$D,"SPO",'caseload data'!$B:$B,"custody")/SUMIFS('caseload data'!Q:Q,'caseload data'!$B:$B,"custody",'caseload data'!$C:$C,'custody %'!$B$57),"")</f>
        <v/>
      </c>
      <c r="P62" s="167" t="str">
        <f>IFERROR(SUMIFS('caseload data'!R:R,'caseload data'!$C:$C,'custody %'!$B$57,'caseload data'!$D:$D,"SPO",'caseload data'!$B:$B,"custody")/SUMIFS('caseload data'!R:R,'caseload data'!$B:$B,"custody",'caseload data'!$C:$C,'custody %'!$B$57),"")</f>
        <v/>
      </c>
      <c r="Q62" s="167" t="str">
        <f>IFERROR(SUMIFS('caseload data'!S:S,'caseload data'!$C:$C,'custody %'!$B$57,'caseload data'!$D:$D,"SPO",'caseload data'!$B:$B,"custody")/SUMIFS('caseload data'!S:S,'caseload data'!$B:$B,"custody",'caseload data'!$C:$C,'custody %'!$B$57),"")</f>
        <v/>
      </c>
      <c r="R62" s="167" t="str">
        <f>IFERROR(SUMIFS('caseload data'!T:T,'caseload data'!$C:$C,'custody %'!$B$57,'caseload data'!$D:$D,"SPO",'caseload data'!$B:$B,"custody")/SUMIFS('caseload data'!T:T,'caseload data'!$B:$B,"custody",'caseload data'!$C:$C,'custody %'!$B$57),"")</f>
        <v/>
      </c>
      <c r="S62" s="64"/>
      <c r="T62" s="98" t="s">
        <v>954</v>
      </c>
      <c r="U62" s="167" t="str">
        <f>IFERROR(SUMIFS('caseload data'!E:E,'caseload data'!$C:$C,'custody %'!$T$57,'caseload data'!$D:$D,"SPO",'caseload data'!$B:$B,"custody")/SUMIFS('caseload data'!E:E,'caseload data'!$B:$B,"custody",'caseload data'!$C:$C,'custody %'!$T$57),"")</f>
        <v/>
      </c>
      <c r="V62" s="167" t="str">
        <f>IFERROR(SUMIFS('caseload data'!F:F,'caseload data'!$C:$C,'custody %'!$T$57,'caseload data'!$D:$D,"SPO",'caseload data'!$B:$B,"custody")/SUMIFS('caseload data'!F:F,'caseload data'!$B:$B,"custody",'caseload data'!$C:$C,'custody %'!$T$57),"")</f>
        <v/>
      </c>
      <c r="W62" s="167" t="str">
        <f>IFERROR(SUMIFS('caseload data'!G:G,'caseload data'!$C:$C,'custody %'!$T$57,'caseload data'!$D:$D,"SPO",'caseload data'!$B:$B,"custody")/SUMIFS('caseload data'!G:G,'caseload data'!$B:$B,"custody",'caseload data'!$C:$C,'custody %'!$T$57),"")</f>
        <v/>
      </c>
      <c r="X62" s="167" t="str">
        <f>IFERROR(SUMIFS('caseload data'!H:H,'caseload data'!$C:$C,'custody %'!$T$57,'caseload data'!$D:$D,"SPO",'caseload data'!$B:$B,"custody")/SUMIFS('caseload data'!H:H,'caseload data'!$B:$B,"custody",'caseload data'!$C:$C,'custody %'!$T$57),"")</f>
        <v/>
      </c>
      <c r="Y62" s="167" t="str">
        <f>IFERROR(SUMIFS('caseload data'!I:I,'caseload data'!$C:$C,'custody %'!$T$57,'caseload data'!$D:$D,"SPO",'caseload data'!$B:$B,"custody")/SUMIFS('caseload data'!I:I,'caseload data'!$B:$B,"custody",'caseload data'!$C:$C,'custody %'!$T$57),"")</f>
        <v/>
      </c>
      <c r="Z62" s="167" t="str">
        <f>IFERROR(SUMIFS('caseload data'!J:J,'caseload data'!$C:$C,'custody %'!$T$57,'caseload data'!$D:$D,"SPO",'caseload data'!$B:$B,"custody")/SUMIFS('caseload data'!J:J,'caseload data'!$B:$B,"custody",'caseload data'!$C:$C,'custody %'!$T$57),"")</f>
        <v/>
      </c>
      <c r="AA62" s="167" t="str">
        <f>IFERROR(SUMIFS('caseload data'!K:K,'caseload data'!$C:$C,'custody %'!$T$57,'caseload data'!$D:$D,"SPO",'caseload data'!$B:$B,"custody")/SUMIFS('caseload data'!K:K,'caseload data'!$B:$B,"custody",'caseload data'!$C:$C,'custody %'!$T$57),"")</f>
        <v/>
      </c>
      <c r="AB62" s="167" t="str">
        <f>IFERROR(SUMIFS('caseload data'!L:L,'caseload data'!$C:$C,'custody %'!$T$57,'caseload data'!$D:$D,"SPO",'caseload data'!$B:$B,"custody")/SUMIFS('caseload data'!L:L,'caseload data'!$B:$B,"custody",'caseload data'!$C:$C,'custody %'!$T$57),"")</f>
        <v/>
      </c>
      <c r="AC62" s="167" t="str">
        <f>IFERROR(SUMIFS('caseload data'!M:M,'caseload data'!$C:$C,'custody %'!$T$57,'caseload data'!$D:$D,"SPO",'caseload data'!$B:$B,"custody")/SUMIFS('caseload data'!M:M,'caseload data'!$B:$B,"custody",'caseload data'!$C:$C,'custody %'!$T$57),"")</f>
        <v/>
      </c>
      <c r="AD62" s="167" t="str">
        <f>IFERROR(SUMIFS('caseload data'!N:N,'caseload data'!$C:$C,'custody %'!$T$57,'caseload data'!$D:$D,"SPO",'caseload data'!$B:$B,"custody")/SUMIFS('caseload data'!N:N,'caseload data'!$B:$B,"custody",'caseload data'!$C:$C,'custody %'!$T$57),"")</f>
        <v/>
      </c>
      <c r="AE62" s="167" t="str">
        <f>IFERROR(SUMIFS('caseload data'!O:O,'caseload data'!$C:$C,'custody %'!$T$57,'caseload data'!$D:$D,"SPO",'caseload data'!$B:$B,"custody")/SUMIFS('caseload data'!O:O,'caseload data'!$B:$B,"custody",'caseload data'!$C:$C,'custody %'!$T$57),"")</f>
        <v/>
      </c>
      <c r="AF62" s="167" t="str">
        <f>IFERROR(SUMIFS('caseload data'!P:P,'caseload data'!$C:$C,'custody %'!$T$57,'caseload data'!$D:$D,"SPO",'caseload data'!$B:$B,"custody")/SUMIFS('caseload data'!P:P,'caseload data'!$B:$B,"custody",'caseload data'!$C:$C,'custody %'!$T$57),"")</f>
        <v/>
      </c>
      <c r="AG62" s="167" t="str">
        <f>IFERROR(SUMIFS('caseload data'!Q:Q,'caseload data'!$C:$C,'custody %'!$T$57,'caseload data'!$D:$D,"SPO",'caseload data'!$B:$B,"custody")/SUMIFS('caseload data'!Q:Q,'caseload data'!$B:$B,"custody",'caseload data'!$C:$C,'custody %'!$T$57),"")</f>
        <v/>
      </c>
      <c r="AH62" s="167" t="str">
        <f>IFERROR(SUMIFS('caseload data'!R:R,'caseload data'!$C:$C,'custody %'!$T$57,'caseload data'!$D:$D,"SPO",'caseload data'!$B:$B,"custody")/SUMIFS('caseload data'!R:R,'caseload data'!$B:$B,"custody",'caseload data'!$C:$C,'custody %'!$T$57),"")</f>
        <v/>
      </c>
      <c r="AI62" s="167"/>
      <c r="AJ62" s="167"/>
    </row>
    <row r="64" spans="2:36" ht="23.25" customHeight="1" x14ac:dyDescent="0.15">
      <c r="B64" s="142">
        <f>HLOOKUP($B$5,Region_Table,18,0)</f>
        <v>0</v>
      </c>
      <c r="C64" s="548" t="s">
        <v>1073</v>
      </c>
      <c r="D64" s="549"/>
      <c r="E64" s="549"/>
      <c r="F64" s="549"/>
      <c r="G64" s="549"/>
      <c r="H64" s="549"/>
      <c r="I64" s="549"/>
      <c r="J64" s="549"/>
      <c r="K64" s="549"/>
      <c r="L64" s="549"/>
      <c r="M64" s="568"/>
      <c r="N64" s="568"/>
      <c r="O64" s="569"/>
      <c r="P64" s="543">
        <f>SUMIF('caseload data'!$C:$C,'custody %'!B64,'caseload data'!V:V)</f>
        <v>0</v>
      </c>
      <c r="Q64" s="560"/>
      <c r="R64" s="561"/>
      <c r="S64" s="64"/>
      <c r="T64" s="142">
        <f>HLOOKUP($B$5,Region_Table,19,0)</f>
        <v>0</v>
      </c>
      <c r="U64" s="548" t="s">
        <v>1073</v>
      </c>
      <c r="V64" s="549"/>
      <c r="W64" s="549"/>
      <c r="X64" s="549"/>
      <c r="Y64" s="549"/>
      <c r="Z64" s="549"/>
      <c r="AA64" s="549"/>
      <c r="AB64" s="549"/>
      <c r="AC64" s="568"/>
      <c r="AD64" s="568"/>
      <c r="AE64" s="569"/>
      <c r="AF64" s="543">
        <f>SUMIF('caseload data'!$C:$C,'custody %'!T64,'caseload data'!V:V)</f>
        <v>0</v>
      </c>
      <c r="AG64" s="560"/>
      <c r="AH64" s="561"/>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167" t="str">
        <f>IFERROR(SUMIFS('caseload data'!E:E,'caseload data'!$C:$C,'custody %'!$B$64,'caseload data'!$D:$D,"PO",'caseload data'!$B:$B,"custody")/SUMIFS('caseload data'!E:E,'caseload data'!$B:$B,"custody",'caseload data'!$C:$C,'custody %'!$B$64),"")</f>
        <v/>
      </c>
      <c r="D66" s="167" t="str">
        <f>IFERROR(SUMIFS('caseload data'!F:F,'caseload data'!$C:$C,'custody %'!$B$64,'caseload data'!$D:$D,"PO",'caseload data'!$B:$B,"custody")/SUMIFS('caseload data'!F:F,'caseload data'!$B:$B,"custody",'caseload data'!$C:$C,'custody %'!$B$64),"")</f>
        <v/>
      </c>
      <c r="E66" s="167" t="str">
        <f>IFERROR(SUMIFS('caseload data'!G:G,'caseload data'!$C:$C,'custody %'!$B$64,'caseload data'!$D:$D,"PO",'caseload data'!$B:$B,"custody")/SUMIFS('caseload data'!G:G,'caseload data'!$B:$B,"custody",'caseload data'!$C:$C,'custody %'!$B$64),"")</f>
        <v/>
      </c>
      <c r="F66" s="167" t="str">
        <f>IFERROR(SUMIFS('caseload data'!H:H,'caseload data'!$C:$C,'custody %'!$B$64,'caseload data'!$D:$D,"PO",'caseload data'!$B:$B,"custody")/SUMIFS('caseload data'!H:H,'caseload data'!$B:$B,"custody",'caseload data'!$C:$C,'custody %'!$B$64),"")</f>
        <v/>
      </c>
      <c r="G66" s="167" t="str">
        <f>IFERROR(SUMIFS('caseload data'!I:I,'caseload data'!$C:$C,'custody %'!$B$64,'caseload data'!$D:$D,"PO",'caseload data'!$B:$B,"custody")/SUMIFS('caseload data'!I:I,'caseload data'!$B:$B,"custody",'caseload data'!$C:$C,'custody %'!$B$64),"")</f>
        <v/>
      </c>
      <c r="H66" s="167" t="str">
        <f>IFERROR(SUMIFS('caseload data'!J:J,'caseload data'!$C:$C,'custody %'!$B$64,'caseload data'!$D:$D,"PO",'caseload data'!$B:$B,"custody")/SUMIFS('caseload data'!J:J,'caseload data'!$B:$B,"custody",'caseload data'!$C:$C,'custody %'!$B$64),"")</f>
        <v/>
      </c>
      <c r="I66" s="167" t="str">
        <f>IFERROR(SUMIFS('caseload data'!K:K,'caseload data'!$C:$C,'custody %'!$B$64,'caseload data'!$D:$D,"PO",'caseload data'!$B:$B,"custody")/SUMIFS('caseload data'!K:K,'caseload data'!$B:$B,"custody",'caseload data'!$C:$C,'custody %'!$B$64),"")</f>
        <v/>
      </c>
      <c r="J66" s="167" t="str">
        <f>IFERROR(SUMIFS('caseload data'!L:L,'caseload data'!$C:$C,'custody %'!$B$64,'caseload data'!$D:$D,"PO",'caseload data'!$B:$B,"custody")/SUMIFS('caseload data'!L:L,'caseload data'!$B:$B,"custody",'caseload data'!$C:$C,'custody %'!$B$64),"")</f>
        <v/>
      </c>
      <c r="K66" s="167" t="str">
        <f>IFERROR(SUMIFS('caseload data'!M:M,'caseload data'!$C:$C,'custody %'!$B$64,'caseload data'!$D:$D,"PO",'caseload data'!$B:$B,"custody")/SUMIFS('caseload data'!M:M,'caseload data'!$B:$B,"custody",'caseload data'!$C:$C,'custody %'!$B$64),"")</f>
        <v/>
      </c>
      <c r="L66" s="167" t="str">
        <f>IFERROR(SUMIFS('caseload data'!N:N,'caseload data'!$C:$C,'custody %'!$B$64,'caseload data'!$D:$D,"PO",'caseload data'!$B:$B,"custody")/SUMIFS('caseload data'!N:N,'caseload data'!$B:$B,"custody",'caseload data'!$C:$C,'custody %'!$B$64),"")</f>
        <v/>
      </c>
      <c r="M66" s="167" t="str">
        <f>IFERROR(SUMIFS('caseload data'!O:O,'caseload data'!$C:$C,'custody %'!$B$64,'caseload data'!$D:$D,"PO",'caseload data'!$B:$B,"custody")/SUMIFS('caseload data'!O:O,'caseload data'!$B:$B,"custody",'caseload data'!$C:$C,'custody %'!$B$64),"")</f>
        <v/>
      </c>
      <c r="N66" s="167" t="str">
        <f>IFERROR(SUMIFS('caseload data'!P:P,'caseload data'!$C:$C,'custody %'!$B$64,'caseload data'!$D:$D,"PO",'caseload data'!$B:$B,"custody")/SUMIFS('caseload data'!P:P,'caseload data'!$B:$B,"custody",'caseload data'!$C:$C,'custody %'!$B$64),"")</f>
        <v/>
      </c>
      <c r="O66" s="167" t="str">
        <f>IFERROR(SUMIFS('caseload data'!Q:Q,'caseload data'!$C:$C,'custody %'!$B$64,'caseload data'!$D:$D,"PO",'caseload data'!$B:$B,"custody")/SUMIFS('caseload data'!Q:Q,'caseload data'!$B:$B,"custody",'caseload data'!$C:$C,'custody %'!$B$64),"")</f>
        <v/>
      </c>
      <c r="P66" s="167" t="str">
        <f>IFERROR(SUMIFS('caseload data'!R:R,'caseload data'!$C:$C,'custody %'!$B$64,'caseload data'!$D:$D,"PO",'caseload data'!$B:$B,"custody")/SUMIFS('caseload data'!R:R,'caseload data'!$B:$B,"custody",'caseload data'!$C:$C,'custody %'!$B$64),"")</f>
        <v/>
      </c>
      <c r="Q66" s="167" t="str">
        <f>IFERROR(SUMIFS('caseload data'!S:S,'caseload data'!$C:$C,'custody %'!$B$64,'caseload data'!$D:$D,"PO",'caseload data'!$B:$B,"custody")/SUMIFS('caseload data'!S:S,'caseload data'!$B:$B,"custody",'caseload data'!$C:$C,'custody %'!$B$64),"")</f>
        <v/>
      </c>
      <c r="R66" s="167" t="str">
        <f>IFERROR(SUMIFS('caseload data'!T:T,'caseload data'!$C:$C,'custody %'!$B$64,'caseload data'!$D:$D,"PO",'caseload data'!$B:$B,"custody")/SUMIFS('caseload data'!T:T,'caseload data'!$B:$B,"custody",'caseload data'!$C:$C,'custody %'!$B$64),"")</f>
        <v/>
      </c>
      <c r="S66" s="64"/>
      <c r="T66" s="96" t="s">
        <v>947</v>
      </c>
      <c r="U66" s="167" t="str">
        <f>IFERROR(SUMIFS('caseload data'!E:E,'caseload data'!$C:$C,'custody %'!$T$64,'caseload data'!$D:$D,"PO",'caseload data'!$B:$B,"custody")/SUMIFS('caseload data'!E:E,'caseload data'!$B:$B,"custody",'caseload data'!$C:$C,'custody %'!$T$64),"")</f>
        <v/>
      </c>
      <c r="V66" s="167" t="str">
        <f>IFERROR(SUMIFS('caseload data'!F:F,'caseload data'!$C:$C,'custody %'!$T$64,'caseload data'!$D:$D,"PO",'caseload data'!$B:$B,"custody")/SUMIFS('caseload data'!F:F,'caseload data'!$B:$B,"custody",'caseload data'!$C:$C,'custody %'!$T$64),"")</f>
        <v/>
      </c>
      <c r="W66" s="167" t="str">
        <f>IFERROR(SUMIFS('caseload data'!G:G,'caseload data'!$C:$C,'custody %'!$T$64,'caseload data'!$D:$D,"PO",'caseload data'!$B:$B,"custody")/SUMIFS('caseload data'!G:G,'caseload data'!$B:$B,"custody",'caseload data'!$C:$C,'custody %'!$T$64),"")</f>
        <v/>
      </c>
      <c r="X66" s="167" t="str">
        <f>IFERROR(SUMIFS('caseload data'!H:H,'caseload data'!$C:$C,'custody %'!$T$64,'caseload data'!$D:$D,"PO",'caseload data'!$B:$B,"custody")/SUMIFS('caseload data'!H:H,'caseload data'!$B:$B,"custody",'caseload data'!$C:$C,'custody %'!$T$64),"")</f>
        <v/>
      </c>
      <c r="Y66" s="167" t="str">
        <f>IFERROR(SUMIFS('caseload data'!I:I,'caseload data'!$C:$C,'custody %'!$T$64,'caseload data'!$D:$D,"PO",'caseload data'!$B:$B,"custody")/SUMIFS('caseload data'!I:I,'caseload data'!$B:$B,"custody",'caseload data'!$C:$C,'custody %'!$T$64),"")</f>
        <v/>
      </c>
      <c r="Z66" s="167" t="str">
        <f>IFERROR(SUMIFS('caseload data'!J:J,'caseload data'!$C:$C,'custody %'!$T$64,'caseload data'!$D:$D,"PO",'caseload data'!$B:$B,"custody")/SUMIFS('caseload data'!J:J,'caseload data'!$B:$B,"custody",'caseload data'!$C:$C,'custody %'!$T$64),"")</f>
        <v/>
      </c>
      <c r="AA66" s="167" t="str">
        <f>IFERROR(SUMIFS('caseload data'!K:K,'caseload data'!$C:$C,'custody %'!$T$64,'caseload data'!$D:$D,"PO",'caseload data'!$B:$B,"custody")/SUMIFS('caseload data'!K:K,'caseload data'!$B:$B,"custody",'caseload data'!$C:$C,'custody %'!$T$64),"")</f>
        <v/>
      </c>
      <c r="AB66" s="167" t="str">
        <f>IFERROR(SUMIFS('caseload data'!L:L,'caseload data'!$C:$C,'custody %'!$T$64,'caseload data'!$D:$D,"PO",'caseload data'!$B:$B,"custody")/SUMIFS('caseload data'!L:L,'caseload data'!$B:$B,"custody",'caseload data'!$C:$C,'custody %'!$T$64),"")</f>
        <v/>
      </c>
      <c r="AC66" s="167" t="str">
        <f>IFERROR(SUMIFS('caseload data'!M:M,'caseload data'!$C:$C,'custody %'!$T$64,'caseload data'!$D:$D,"PO",'caseload data'!$B:$B,"custody")/SUMIFS('caseload data'!M:M,'caseload data'!$B:$B,"custody",'caseload data'!$C:$C,'custody %'!$T$64),"")</f>
        <v/>
      </c>
      <c r="AD66" s="167" t="str">
        <f>IFERROR(SUMIFS('caseload data'!N:N,'caseload data'!$C:$C,'custody %'!$T$64,'caseload data'!$D:$D,"PO",'caseload data'!$B:$B,"custody")/SUMIFS('caseload data'!N:N,'caseload data'!$B:$B,"custody",'caseload data'!$C:$C,'custody %'!$T$64),"")</f>
        <v/>
      </c>
      <c r="AE66" s="167" t="str">
        <f>IFERROR(SUMIFS('caseload data'!O:O,'caseload data'!$C:$C,'custody %'!$T$64,'caseload data'!$D:$D,"PO",'caseload data'!$B:$B,"custody")/SUMIFS('caseload data'!O:O,'caseload data'!$B:$B,"custody",'caseload data'!$C:$C,'custody %'!$T$64),"")</f>
        <v/>
      </c>
      <c r="AF66" s="167" t="str">
        <f>IFERROR(SUMIFS('caseload data'!P:P,'caseload data'!$C:$C,'custody %'!$T$64,'caseload data'!$D:$D,"PO",'caseload data'!$B:$B,"custody")/SUMIFS('caseload data'!P:P,'caseload data'!$B:$B,"custody",'caseload data'!$C:$C,'custody %'!$T$64),"")</f>
        <v/>
      </c>
      <c r="AG66" s="167" t="str">
        <f>IFERROR(SUMIFS('caseload data'!Q:Q,'caseload data'!$C:$C,'custody %'!$T$64,'caseload data'!$D:$D,"PO",'caseload data'!$B:$B,"custody")/SUMIFS('caseload data'!Q:Q,'caseload data'!$B:$B,"custody",'caseload data'!$C:$C,'custody %'!$T$64),"")</f>
        <v/>
      </c>
      <c r="AH66" s="167" t="str">
        <f>IFERROR(SUMIFS('caseload data'!R:R,'caseload data'!$C:$C,'custody %'!$T$64,'caseload data'!$D:$D,"PO",'caseload data'!$B:$B,"custody")/SUMIFS('caseload data'!R:R,'caseload data'!$B:$B,"custody",'caseload data'!$C:$C,'custody %'!$T$64),"")</f>
        <v/>
      </c>
      <c r="AI66" s="167"/>
      <c r="AJ66" s="167"/>
    </row>
    <row r="67" spans="2:36" x14ac:dyDescent="0.15">
      <c r="B67" s="97" t="s">
        <v>952</v>
      </c>
      <c r="C67" s="167" t="str">
        <f>IFERROR(SUMIFS('caseload data'!E:E,'caseload data'!$C:$C,'custody %'!$B$64,'caseload data'!$D:$D,"PSO",'caseload data'!$B:$B,"custody")/SUMIFS('caseload data'!E:E,'caseload data'!$B:$B,"custody",'caseload data'!$C:$C,'custody %'!$B$64),"")</f>
        <v/>
      </c>
      <c r="D67" s="167" t="str">
        <f>IFERROR(SUMIFS('caseload data'!F:F,'caseload data'!$C:$C,'custody %'!$B$64,'caseload data'!$D:$D,"PSO",'caseload data'!$B:$B,"custody")/SUMIFS('caseload data'!F:F,'caseload data'!$B:$B,"custody",'caseload data'!$C:$C,'custody %'!$B$64),"")</f>
        <v/>
      </c>
      <c r="E67" s="167" t="str">
        <f>IFERROR(SUMIFS('caseload data'!G:G,'caseload data'!$C:$C,'custody %'!$B$64,'caseload data'!$D:$D,"PSO",'caseload data'!$B:$B,"custody")/SUMIFS('caseload data'!G:G,'caseload data'!$B:$B,"custody",'caseload data'!$C:$C,'custody %'!$B$64),"")</f>
        <v/>
      </c>
      <c r="F67" s="167" t="str">
        <f>IFERROR(SUMIFS('caseload data'!H:H,'caseload data'!$C:$C,'custody %'!$B$64,'caseload data'!$D:$D,"PSO",'caseload data'!$B:$B,"custody")/SUMIFS('caseload data'!H:H,'caseload data'!$B:$B,"custody",'caseload data'!$C:$C,'custody %'!$B$64),"")</f>
        <v/>
      </c>
      <c r="G67" s="167" t="str">
        <f>IFERROR(SUMIFS('caseload data'!I:I,'caseload data'!$C:$C,'custody %'!$B$64,'caseload data'!$D:$D,"PSO",'caseload data'!$B:$B,"custody")/SUMIFS('caseload data'!I:I,'caseload data'!$B:$B,"custody",'caseload data'!$C:$C,'custody %'!$B$64),"")</f>
        <v/>
      </c>
      <c r="H67" s="167" t="str">
        <f>IFERROR(SUMIFS('caseload data'!J:J,'caseload data'!$C:$C,'custody %'!$B$64,'caseload data'!$D:$D,"PSO",'caseload data'!$B:$B,"custody")/SUMIFS('caseload data'!J:J,'caseload data'!$B:$B,"custody",'caseload data'!$C:$C,'custody %'!$B$64),"")</f>
        <v/>
      </c>
      <c r="I67" s="167" t="str">
        <f>IFERROR(SUMIFS('caseload data'!K:K,'caseload data'!$C:$C,'custody %'!$B$64,'caseload data'!$D:$D,"PSO",'caseload data'!$B:$B,"custody")/SUMIFS('caseload data'!K:K,'caseload data'!$B:$B,"custody",'caseload data'!$C:$C,'custody %'!$B$64),"")</f>
        <v/>
      </c>
      <c r="J67" s="167" t="str">
        <f>IFERROR(SUMIFS('caseload data'!L:L,'caseload data'!$C:$C,'custody %'!$B$64,'caseload data'!$D:$D,"PSO",'caseload data'!$B:$B,"custody")/SUMIFS('caseload data'!L:L,'caseload data'!$B:$B,"custody",'caseload data'!$C:$C,'custody %'!$B$64),"")</f>
        <v/>
      </c>
      <c r="K67" s="167" t="str">
        <f>IFERROR(SUMIFS('caseload data'!M:M,'caseload data'!$C:$C,'custody %'!$B$64,'caseload data'!$D:$D,"PSO",'caseload data'!$B:$B,"custody")/SUMIFS('caseload data'!M:M,'caseload data'!$B:$B,"custody",'caseload data'!$C:$C,'custody %'!$B$64),"")</f>
        <v/>
      </c>
      <c r="L67" s="167" t="str">
        <f>IFERROR(SUMIFS('caseload data'!N:N,'caseload data'!$C:$C,'custody %'!$B$64,'caseload data'!$D:$D,"PSO",'caseload data'!$B:$B,"custody")/SUMIFS('caseload data'!N:N,'caseload data'!$B:$B,"custody",'caseload data'!$C:$C,'custody %'!$B$64),"")</f>
        <v/>
      </c>
      <c r="M67" s="167" t="str">
        <f>IFERROR(SUMIFS('caseload data'!O:O,'caseload data'!$C:$C,'custody %'!$B$64,'caseload data'!$D:$D,"PSO",'caseload data'!$B:$B,"custody")/SUMIFS('caseload data'!O:O,'caseload data'!$B:$B,"custody",'caseload data'!$C:$C,'custody %'!$B$64),"")</f>
        <v/>
      </c>
      <c r="N67" s="167" t="str">
        <f>IFERROR(SUMIFS('caseload data'!P:P,'caseload data'!$C:$C,'custody %'!$B$64,'caseload data'!$D:$D,"PSO",'caseload data'!$B:$B,"custody")/SUMIFS('caseload data'!P:P,'caseload data'!$B:$B,"custody",'caseload data'!$C:$C,'custody %'!$B$64),"")</f>
        <v/>
      </c>
      <c r="O67" s="167" t="str">
        <f>IFERROR(SUMIFS('caseload data'!Q:Q,'caseload data'!$C:$C,'custody %'!$B$64,'caseload data'!$D:$D,"PSO",'caseload data'!$B:$B,"custody")/SUMIFS('caseload data'!Q:Q,'caseload data'!$B:$B,"custody",'caseload data'!$C:$C,'custody %'!$B$64),"")</f>
        <v/>
      </c>
      <c r="P67" s="167" t="str">
        <f>IFERROR(SUMIFS('caseload data'!R:R,'caseload data'!$C:$C,'custody %'!$B$64,'caseload data'!$D:$D,"PSO",'caseload data'!$B:$B,"custody")/SUMIFS('caseload data'!R:R,'caseload data'!$B:$B,"custody",'caseload data'!$C:$C,'custody %'!$B$64),"")</f>
        <v/>
      </c>
      <c r="Q67" s="167" t="str">
        <f>IFERROR(SUMIFS('caseload data'!S:S,'caseload data'!$C:$C,'custody %'!$B$64,'caseload data'!$D:$D,"PSO",'caseload data'!$B:$B,"custody")/SUMIFS('caseload data'!S:S,'caseload data'!$B:$B,"custody",'caseload data'!$C:$C,'custody %'!$B$64),"")</f>
        <v/>
      </c>
      <c r="R67" s="167" t="str">
        <f>IFERROR(SUMIFS('caseload data'!T:T,'caseload data'!$C:$C,'custody %'!$B$64,'caseload data'!$D:$D,"PSO",'caseload data'!$B:$B,"custody")/SUMIFS('caseload data'!T:T,'caseload data'!$B:$B,"custody",'caseload data'!$C:$C,'custody %'!$B$64),"")</f>
        <v/>
      </c>
      <c r="S67" s="64"/>
      <c r="T67" s="97" t="s">
        <v>952</v>
      </c>
      <c r="U67" s="167" t="str">
        <f>IFERROR(SUMIFS('caseload data'!E:E,'caseload data'!$C:$C,'custody %'!$T$64,'caseload data'!$D:$D,"PSO",'caseload data'!$B:$B,"custody")/SUMIFS('caseload data'!E:E,'caseload data'!$B:$B,"custody",'caseload data'!$C:$C,'custody %'!$T$64),"")</f>
        <v/>
      </c>
      <c r="V67" s="167" t="str">
        <f>IFERROR(SUMIFS('caseload data'!F:F,'caseload data'!$C:$C,'custody %'!$T$64,'caseload data'!$D:$D,"PSO",'caseload data'!$B:$B,"custody")/SUMIFS('caseload data'!F:F,'caseload data'!$B:$B,"custody",'caseload data'!$C:$C,'custody %'!$T$64),"")</f>
        <v/>
      </c>
      <c r="W67" s="167" t="str">
        <f>IFERROR(SUMIFS('caseload data'!G:G,'caseload data'!$C:$C,'custody %'!$T$64,'caseload data'!$D:$D,"PSO",'caseload data'!$B:$B,"custody")/SUMIFS('caseload data'!G:G,'caseload data'!$B:$B,"custody",'caseload data'!$C:$C,'custody %'!$T$64),"")</f>
        <v/>
      </c>
      <c r="X67" s="167" t="str">
        <f>IFERROR(SUMIFS('caseload data'!H:H,'caseload data'!$C:$C,'custody %'!$T$64,'caseload data'!$D:$D,"PSO",'caseload data'!$B:$B,"custody")/SUMIFS('caseload data'!H:H,'caseload data'!$B:$B,"custody",'caseload data'!$C:$C,'custody %'!$T$64),"")</f>
        <v/>
      </c>
      <c r="Y67" s="167" t="str">
        <f>IFERROR(SUMIFS('caseload data'!I:I,'caseload data'!$C:$C,'custody %'!$T$64,'caseload data'!$D:$D,"PSO",'caseload data'!$B:$B,"custody")/SUMIFS('caseload data'!I:I,'caseload data'!$B:$B,"custody",'caseload data'!$C:$C,'custody %'!$T$64),"")</f>
        <v/>
      </c>
      <c r="Z67" s="167" t="str">
        <f>IFERROR(SUMIFS('caseload data'!J:J,'caseload data'!$C:$C,'custody %'!$T$64,'caseload data'!$D:$D,"PSO",'caseload data'!$B:$B,"custody")/SUMIFS('caseload data'!J:J,'caseload data'!$B:$B,"custody",'caseload data'!$C:$C,'custody %'!$T$64),"")</f>
        <v/>
      </c>
      <c r="AA67" s="167" t="str">
        <f>IFERROR(SUMIFS('caseload data'!K:K,'caseload data'!$C:$C,'custody %'!$T$64,'caseload data'!$D:$D,"PSO",'caseload data'!$B:$B,"custody")/SUMIFS('caseload data'!K:K,'caseload data'!$B:$B,"custody",'caseload data'!$C:$C,'custody %'!$T$64),"")</f>
        <v/>
      </c>
      <c r="AB67" s="167" t="str">
        <f>IFERROR(SUMIFS('caseload data'!L:L,'caseload data'!$C:$C,'custody %'!$T$64,'caseload data'!$D:$D,"PSO",'caseload data'!$B:$B,"custody")/SUMIFS('caseload data'!L:L,'caseload data'!$B:$B,"custody",'caseload data'!$C:$C,'custody %'!$T$64),"")</f>
        <v/>
      </c>
      <c r="AC67" s="167" t="str">
        <f>IFERROR(SUMIFS('caseload data'!M:M,'caseload data'!$C:$C,'custody %'!$T$64,'caseload data'!$D:$D,"PSO",'caseload data'!$B:$B,"custody")/SUMIFS('caseload data'!M:M,'caseload data'!$B:$B,"custody",'caseload data'!$C:$C,'custody %'!$T$64),"")</f>
        <v/>
      </c>
      <c r="AD67" s="167" t="str">
        <f>IFERROR(SUMIFS('caseload data'!N:N,'caseload data'!$C:$C,'custody %'!$T$64,'caseload data'!$D:$D,"PSO",'caseload data'!$B:$B,"custody")/SUMIFS('caseload data'!N:N,'caseload data'!$B:$B,"custody",'caseload data'!$C:$C,'custody %'!$T$64),"")</f>
        <v/>
      </c>
      <c r="AE67" s="167" t="str">
        <f>IFERROR(SUMIFS('caseload data'!O:O,'caseload data'!$C:$C,'custody %'!$T$64,'caseload data'!$D:$D,"PSO",'caseload data'!$B:$B,"custody")/SUMIFS('caseload data'!O:O,'caseload data'!$B:$B,"custody",'caseload data'!$C:$C,'custody %'!$T$64),"")</f>
        <v/>
      </c>
      <c r="AF67" s="167" t="str">
        <f>IFERROR(SUMIFS('caseload data'!P:P,'caseload data'!$C:$C,'custody %'!$T$64,'caseload data'!$D:$D,"PSO",'caseload data'!$B:$B,"custody")/SUMIFS('caseload data'!P:P,'caseload data'!$B:$B,"custody",'caseload data'!$C:$C,'custody %'!$T$64),"")</f>
        <v/>
      </c>
      <c r="AG67" s="167" t="str">
        <f>IFERROR(SUMIFS('caseload data'!Q:Q,'caseload data'!$C:$C,'custody %'!$T$64,'caseload data'!$D:$D,"PSO",'caseload data'!$B:$B,"custody")/SUMIFS('caseload data'!Q:Q,'caseload data'!$B:$B,"custody",'caseload data'!$C:$C,'custody %'!$T$64),"")</f>
        <v/>
      </c>
      <c r="AH67" s="167" t="str">
        <f>IFERROR(SUMIFS('caseload data'!R:R,'caseload data'!$C:$C,'custody %'!$T$64,'caseload data'!$D:$D,"PSO",'caseload data'!$B:$B,"custody")/SUMIFS('caseload data'!R:R,'caseload data'!$B:$B,"custody",'caseload data'!$C:$C,'custody %'!$T$64),"")</f>
        <v/>
      </c>
      <c r="AI67" s="167"/>
      <c r="AJ67" s="167"/>
    </row>
    <row r="68" spans="2:36" x14ac:dyDescent="0.15">
      <c r="B68" s="97" t="s">
        <v>953</v>
      </c>
      <c r="C68" s="167" t="str">
        <f>IFERROR(SUMIFS('caseload data'!E:E,'caseload data'!$C:$C,'custody %'!$B$64,'caseload data'!$D:$D,"TPO",'caseload data'!$B:$B,"custody")/SUMIFS('caseload data'!E:E,'caseload data'!$B:$B,"custody",'caseload data'!$C:$C,'custody %'!$B$64),"")</f>
        <v/>
      </c>
      <c r="D68" s="167" t="str">
        <f>IFERROR(SUMIFS('caseload data'!F:F,'caseload data'!$C:$C,'custody %'!$B$64,'caseload data'!$D:$D,"TPO",'caseload data'!$B:$B,"custody")/SUMIFS('caseload data'!F:F,'caseload data'!$B:$B,"custody",'caseload data'!$C:$C,'custody %'!$B$64),"")</f>
        <v/>
      </c>
      <c r="E68" s="167" t="str">
        <f>IFERROR(SUMIFS('caseload data'!G:G,'caseload data'!$C:$C,'custody %'!$B$64,'caseload data'!$D:$D,"TPO",'caseload data'!$B:$B,"custody")/SUMIFS('caseload data'!G:G,'caseload data'!$B:$B,"custody",'caseload data'!$C:$C,'custody %'!$B$64),"")</f>
        <v/>
      </c>
      <c r="F68" s="167" t="str">
        <f>IFERROR(SUMIFS('caseload data'!H:H,'caseload data'!$C:$C,'custody %'!$B$64,'caseload data'!$D:$D,"TPO",'caseload data'!$B:$B,"custody")/SUMIFS('caseload data'!H:H,'caseload data'!$B:$B,"custody",'caseload data'!$C:$C,'custody %'!$B$64),"")</f>
        <v/>
      </c>
      <c r="G68" s="167" t="str">
        <f>IFERROR(SUMIFS('caseload data'!I:I,'caseload data'!$C:$C,'custody %'!$B$64,'caseload data'!$D:$D,"TPO",'caseload data'!$B:$B,"custody")/SUMIFS('caseload data'!I:I,'caseload data'!$B:$B,"custody",'caseload data'!$C:$C,'custody %'!$B$64),"")</f>
        <v/>
      </c>
      <c r="H68" s="167" t="str">
        <f>IFERROR(SUMIFS('caseload data'!J:J,'caseload data'!$C:$C,'custody %'!$B$64,'caseload data'!$D:$D,"TPO",'caseload data'!$B:$B,"custody")/SUMIFS('caseload data'!J:J,'caseload data'!$B:$B,"custody",'caseload data'!$C:$C,'custody %'!$B$64),"")</f>
        <v/>
      </c>
      <c r="I68" s="167" t="str">
        <f>IFERROR(SUMIFS('caseload data'!K:K,'caseload data'!$C:$C,'custody %'!$B$64,'caseload data'!$D:$D,"TPO",'caseload data'!$B:$B,"custody")/SUMIFS('caseload data'!K:K,'caseload data'!$B:$B,"custody",'caseload data'!$C:$C,'custody %'!$B$64),"")</f>
        <v/>
      </c>
      <c r="J68" s="167" t="str">
        <f>IFERROR(SUMIFS('caseload data'!L:L,'caseload data'!$C:$C,'custody %'!$B$64,'caseload data'!$D:$D,"TPO",'caseload data'!$B:$B,"custody")/SUMIFS('caseload data'!L:L,'caseload data'!$B:$B,"custody",'caseload data'!$C:$C,'custody %'!$B$64),"")</f>
        <v/>
      </c>
      <c r="K68" s="167" t="str">
        <f>IFERROR(SUMIFS('caseload data'!M:M,'caseload data'!$C:$C,'custody %'!$B$64,'caseload data'!$D:$D,"TPO",'caseload data'!$B:$B,"custody")/SUMIFS('caseload data'!M:M,'caseload data'!$B:$B,"custody",'caseload data'!$C:$C,'custody %'!$B$64),"")</f>
        <v/>
      </c>
      <c r="L68" s="167" t="str">
        <f>IFERROR(SUMIFS('caseload data'!N:N,'caseload data'!$C:$C,'custody %'!$B$64,'caseload data'!$D:$D,"TPO",'caseload data'!$B:$B,"custody")/SUMIFS('caseload data'!N:N,'caseload data'!$B:$B,"custody",'caseload data'!$C:$C,'custody %'!$B$64),"")</f>
        <v/>
      </c>
      <c r="M68" s="167" t="str">
        <f>IFERROR(SUMIFS('caseload data'!O:O,'caseload data'!$C:$C,'custody %'!$B$64,'caseload data'!$D:$D,"TPO",'caseload data'!$B:$B,"custody")/SUMIFS('caseload data'!O:O,'caseload data'!$B:$B,"custody",'caseload data'!$C:$C,'custody %'!$B$64),"")</f>
        <v/>
      </c>
      <c r="N68" s="167" t="str">
        <f>IFERROR(SUMIFS('caseload data'!P:P,'caseload data'!$C:$C,'custody %'!$B$64,'caseload data'!$D:$D,"TPO",'caseload data'!$B:$B,"custody")/SUMIFS('caseload data'!P:P,'caseload data'!$B:$B,"custody",'caseload data'!$C:$C,'custody %'!$B$64),"")</f>
        <v/>
      </c>
      <c r="O68" s="167" t="str">
        <f>IFERROR(SUMIFS('caseload data'!Q:Q,'caseload data'!$C:$C,'custody %'!$B$64,'caseload data'!$D:$D,"TPO",'caseload data'!$B:$B,"custody")/SUMIFS('caseload data'!Q:Q,'caseload data'!$B:$B,"custody",'caseload data'!$C:$C,'custody %'!$B$64),"")</f>
        <v/>
      </c>
      <c r="P68" s="167" t="str">
        <f>IFERROR(SUMIFS('caseload data'!R:R,'caseload data'!$C:$C,'custody %'!$B$64,'caseload data'!$D:$D,"TPO",'caseload data'!$B:$B,"custody")/SUMIFS('caseload data'!R:R,'caseload data'!$B:$B,"custody",'caseload data'!$C:$C,'custody %'!$B$64),"")</f>
        <v/>
      </c>
      <c r="Q68" s="167" t="str">
        <f>IFERROR(SUMIFS('caseload data'!S:S,'caseload data'!$C:$C,'custody %'!$B$64,'caseload data'!$D:$D,"TPO",'caseload data'!$B:$B,"custody")/SUMIFS('caseload data'!S:S,'caseload data'!$B:$B,"custody",'caseload data'!$C:$C,'custody %'!$B$64),"")</f>
        <v/>
      </c>
      <c r="R68" s="167" t="str">
        <f>IFERROR(SUMIFS('caseload data'!T:T,'caseload data'!$C:$C,'custody %'!$B$64,'caseload data'!$D:$D,"TPO",'caseload data'!$B:$B,"custody")/SUMIFS('caseload data'!T:T,'caseload data'!$B:$B,"custody",'caseload data'!$C:$C,'custody %'!$B$64),"")</f>
        <v/>
      </c>
      <c r="S68" s="64"/>
      <c r="T68" s="97" t="s">
        <v>953</v>
      </c>
      <c r="U68" s="167" t="str">
        <f>IFERROR(SUMIFS('caseload data'!E:E,'caseload data'!$C:$C,'custody %'!$T$64,'caseload data'!$D:$D,"TPO",'caseload data'!$B:$B,"custody")/SUMIFS('caseload data'!E:E,'caseload data'!$B:$B,"custody",'caseload data'!$C:$C,'custody %'!$T$64),"")</f>
        <v/>
      </c>
      <c r="V68" s="167" t="str">
        <f>IFERROR(SUMIFS('caseload data'!F:F,'caseload data'!$C:$C,'custody %'!$T$64,'caseload data'!$D:$D,"TPO",'caseload data'!$B:$B,"custody")/SUMIFS('caseload data'!F:F,'caseload data'!$B:$B,"custody",'caseload data'!$C:$C,'custody %'!$T$64),"")</f>
        <v/>
      </c>
      <c r="W68" s="167" t="str">
        <f>IFERROR(SUMIFS('caseload data'!G:G,'caseload data'!$C:$C,'custody %'!$T$64,'caseload data'!$D:$D,"TPO",'caseload data'!$B:$B,"custody")/SUMIFS('caseload data'!G:G,'caseload data'!$B:$B,"custody",'caseload data'!$C:$C,'custody %'!$T$64),"")</f>
        <v/>
      </c>
      <c r="X68" s="167" t="str">
        <f>IFERROR(SUMIFS('caseload data'!H:H,'caseload data'!$C:$C,'custody %'!$T$64,'caseload data'!$D:$D,"TPO",'caseload data'!$B:$B,"custody")/SUMIFS('caseload data'!H:H,'caseload data'!$B:$B,"custody",'caseload data'!$C:$C,'custody %'!$T$64),"")</f>
        <v/>
      </c>
      <c r="Y68" s="167" t="str">
        <f>IFERROR(SUMIFS('caseload data'!I:I,'caseload data'!$C:$C,'custody %'!$T$64,'caseload data'!$D:$D,"TPO",'caseload data'!$B:$B,"custody")/SUMIFS('caseload data'!I:I,'caseload data'!$B:$B,"custody",'caseload data'!$C:$C,'custody %'!$T$64),"")</f>
        <v/>
      </c>
      <c r="Z68" s="167" t="str">
        <f>IFERROR(SUMIFS('caseload data'!J:J,'caseload data'!$C:$C,'custody %'!$T$64,'caseload data'!$D:$D,"TPO",'caseload data'!$B:$B,"custody")/SUMIFS('caseload data'!J:J,'caseload data'!$B:$B,"custody",'caseload data'!$C:$C,'custody %'!$T$64),"")</f>
        <v/>
      </c>
      <c r="AA68" s="167" t="str">
        <f>IFERROR(SUMIFS('caseload data'!K:K,'caseload data'!$C:$C,'custody %'!$T$64,'caseload data'!$D:$D,"TPO",'caseload data'!$B:$B,"custody")/SUMIFS('caseload data'!K:K,'caseload data'!$B:$B,"custody",'caseload data'!$C:$C,'custody %'!$T$64),"")</f>
        <v/>
      </c>
      <c r="AB68" s="167" t="str">
        <f>IFERROR(SUMIFS('caseload data'!L:L,'caseload data'!$C:$C,'custody %'!$T$64,'caseload data'!$D:$D,"TPO",'caseload data'!$B:$B,"custody")/SUMIFS('caseload data'!L:L,'caseload data'!$B:$B,"custody",'caseload data'!$C:$C,'custody %'!$T$64),"")</f>
        <v/>
      </c>
      <c r="AC68" s="167" t="str">
        <f>IFERROR(SUMIFS('caseload data'!M:M,'caseload data'!$C:$C,'custody %'!$T$64,'caseload data'!$D:$D,"TPO",'caseload data'!$B:$B,"custody")/SUMIFS('caseload data'!M:M,'caseload data'!$B:$B,"custody",'caseload data'!$C:$C,'custody %'!$T$64),"")</f>
        <v/>
      </c>
      <c r="AD68" s="167" t="str">
        <f>IFERROR(SUMIFS('caseload data'!N:N,'caseload data'!$C:$C,'custody %'!$T$64,'caseload data'!$D:$D,"TPO",'caseload data'!$B:$B,"custody")/SUMIFS('caseload data'!N:N,'caseload data'!$B:$B,"custody",'caseload data'!$C:$C,'custody %'!$T$64),"")</f>
        <v/>
      </c>
      <c r="AE68" s="167" t="str">
        <f>IFERROR(SUMIFS('caseload data'!O:O,'caseload data'!$C:$C,'custody %'!$T$64,'caseload data'!$D:$D,"TPO",'caseload data'!$B:$B,"custody")/SUMIFS('caseload data'!O:O,'caseload data'!$B:$B,"custody",'caseload data'!$C:$C,'custody %'!$T$64),"")</f>
        <v/>
      </c>
      <c r="AF68" s="167" t="str">
        <f>IFERROR(SUMIFS('caseload data'!P:P,'caseload data'!$C:$C,'custody %'!$T$64,'caseload data'!$D:$D,"TPO",'caseload data'!$B:$B,"custody")/SUMIFS('caseload data'!P:P,'caseload data'!$B:$B,"custody",'caseload data'!$C:$C,'custody %'!$T$64),"")</f>
        <v/>
      </c>
      <c r="AG68" s="167" t="str">
        <f>IFERROR(SUMIFS('caseload data'!Q:Q,'caseload data'!$C:$C,'custody %'!$T$64,'caseload data'!$D:$D,"TPO",'caseload data'!$B:$B,"custody")/SUMIFS('caseload data'!Q:Q,'caseload data'!$B:$B,"custody",'caseload data'!$C:$C,'custody %'!$T$64),"")</f>
        <v/>
      </c>
      <c r="AH68" s="167" t="str">
        <f>IFERROR(SUMIFS('caseload data'!R:R,'caseload data'!$C:$C,'custody %'!$T$64,'caseload data'!$D:$D,"TPO",'caseload data'!$B:$B,"custody")/SUMIFS('caseload data'!R:R,'caseload data'!$B:$B,"custody",'caseload data'!$C:$C,'custody %'!$T$64),"")</f>
        <v/>
      </c>
      <c r="AI68" s="167"/>
      <c r="AJ68" s="167"/>
    </row>
    <row r="69" spans="2:36" x14ac:dyDescent="0.15">
      <c r="B69" s="98" t="s">
        <v>954</v>
      </c>
      <c r="C69" s="167" t="str">
        <f>IFERROR(SUMIFS('caseload data'!E:E,'caseload data'!$C:$C,'custody %'!$B$64,'caseload data'!$D:$D,"SPO",'caseload data'!$B:$B,"custody")/SUMIFS('caseload data'!E:E,'caseload data'!$B:$B,"custody",'caseload data'!$C:$C,'custody %'!$B$64),"")</f>
        <v/>
      </c>
      <c r="D69" s="167" t="str">
        <f>IFERROR(SUMIFS('caseload data'!F:F,'caseload data'!$C:$C,'custody %'!$B$64,'caseload data'!$D:$D,"SPO",'caseload data'!$B:$B,"custody")/SUMIFS('caseload data'!F:F,'caseload data'!$B:$B,"custody",'caseload data'!$C:$C,'custody %'!$B$64),"")</f>
        <v/>
      </c>
      <c r="E69" s="167" t="str">
        <f>IFERROR(SUMIFS('caseload data'!G:G,'caseload data'!$C:$C,'custody %'!$B$64,'caseload data'!$D:$D,"SPO",'caseload data'!$B:$B,"custody")/SUMIFS('caseload data'!G:G,'caseload data'!$B:$B,"custody",'caseload data'!$C:$C,'custody %'!$B$64),"")</f>
        <v/>
      </c>
      <c r="F69" s="167" t="str">
        <f>IFERROR(SUMIFS('caseload data'!H:H,'caseload data'!$C:$C,'custody %'!$B$64,'caseload data'!$D:$D,"SPO",'caseload data'!$B:$B,"custody")/SUMIFS('caseload data'!H:H,'caseload data'!$B:$B,"custody",'caseload data'!$C:$C,'custody %'!$B$64),"")</f>
        <v/>
      </c>
      <c r="G69" s="167" t="str">
        <f>IFERROR(SUMIFS('caseload data'!I:I,'caseload data'!$C:$C,'custody %'!$B$64,'caseload data'!$D:$D,"SPO",'caseload data'!$B:$B,"custody")/SUMIFS('caseload data'!I:I,'caseload data'!$B:$B,"custody",'caseload data'!$C:$C,'custody %'!$B$64),"")</f>
        <v/>
      </c>
      <c r="H69" s="167" t="str">
        <f>IFERROR(SUMIFS('caseload data'!J:J,'caseload data'!$C:$C,'custody %'!$B$64,'caseload data'!$D:$D,"SPO",'caseload data'!$B:$B,"custody")/SUMIFS('caseload data'!J:J,'caseload data'!$B:$B,"custody",'caseload data'!$C:$C,'custody %'!$B$64),"")</f>
        <v/>
      </c>
      <c r="I69" s="167" t="str">
        <f>IFERROR(SUMIFS('caseload data'!K:K,'caseload data'!$C:$C,'custody %'!$B$64,'caseload data'!$D:$D,"SPO",'caseload data'!$B:$B,"custody")/SUMIFS('caseload data'!K:K,'caseload data'!$B:$B,"custody",'caseload data'!$C:$C,'custody %'!$B$64),"")</f>
        <v/>
      </c>
      <c r="J69" s="167" t="str">
        <f>IFERROR(SUMIFS('caseload data'!L:L,'caseload data'!$C:$C,'custody %'!$B$64,'caseload data'!$D:$D,"SPO",'caseload data'!$B:$B,"custody")/SUMIFS('caseload data'!L:L,'caseload data'!$B:$B,"custody",'caseload data'!$C:$C,'custody %'!$B$64),"")</f>
        <v/>
      </c>
      <c r="K69" s="167" t="str">
        <f>IFERROR(SUMIFS('caseload data'!M:M,'caseload data'!$C:$C,'custody %'!$B$64,'caseload data'!$D:$D,"SPO",'caseload data'!$B:$B,"custody")/SUMIFS('caseload data'!M:M,'caseload data'!$B:$B,"custody",'caseload data'!$C:$C,'custody %'!$B$64),"")</f>
        <v/>
      </c>
      <c r="L69" s="167" t="str">
        <f>IFERROR(SUMIFS('caseload data'!N:N,'caseload data'!$C:$C,'custody %'!$B$64,'caseload data'!$D:$D,"SPO",'caseload data'!$B:$B,"custody")/SUMIFS('caseload data'!N:N,'caseload data'!$B:$B,"custody",'caseload data'!$C:$C,'custody %'!$B$64),"")</f>
        <v/>
      </c>
      <c r="M69" s="167" t="str">
        <f>IFERROR(SUMIFS('caseload data'!O:O,'caseload data'!$C:$C,'custody %'!$B$64,'caseload data'!$D:$D,"SPO",'caseload data'!$B:$B,"custody")/SUMIFS('caseload data'!O:O,'caseload data'!$B:$B,"custody",'caseload data'!$C:$C,'custody %'!$B$64),"")</f>
        <v/>
      </c>
      <c r="N69" s="167" t="str">
        <f>IFERROR(SUMIFS('caseload data'!P:P,'caseload data'!$C:$C,'custody %'!$B$64,'caseload data'!$D:$D,"SPO",'caseload data'!$B:$B,"custody")/SUMIFS('caseload data'!P:P,'caseload data'!$B:$B,"custody",'caseload data'!$C:$C,'custody %'!$B$64),"")</f>
        <v/>
      </c>
      <c r="O69" s="167" t="str">
        <f>IFERROR(SUMIFS('caseload data'!Q:Q,'caseload data'!$C:$C,'custody %'!$B$64,'caseload data'!$D:$D,"SPO",'caseload data'!$B:$B,"custody")/SUMIFS('caseload data'!Q:Q,'caseload data'!$B:$B,"custody",'caseload data'!$C:$C,'custody %'!$B$64),"")</f>
        <v/>
      </c>
      <c r="P69" s="167" t="str">
        <f>IFERROR(SUMIFS('caseload data'!R:R,'caseload data'!$C:$C,'custody %'!$B$64,'caseload data'!$D:$D,"SPO",'caseload data'!$B:$B,"custody")/SUMIFS('caseload data'!R:R,'caseload data'!$B:$B,"custody",'caseload data'!$C:$C,'custody %'!$B$64),"")</f>
        <v/>
      </c>
      <c r="Q69" s="167" t="str">
        <f>IFERROR(SUMIFS('caseload data'!S:S,'caseload data'!$C:$C,'custody %'!$B$64,'caseload data'!$D:$D,"SPO",'caseload data'!$B:$B,"custody")/SUMIFS('caseload data'!S:S,'caseload data'!$B:$B,"custody",'caseload data'!$C:$C,'custody %'!$B$64),"")</f>
        <v/>
      </c>
      <c r="R69" s="167" t="str">
        <f>IFERROR(SUMIFS('caseload data'!T:T,'caseload data'!$C:$C,'custody %'!$B$64,'caseload data'!$D:$D,"SPO",'caseload data'!$B:$B,"custody")/SUMIFS('caseload data'!T:T,'caseload data'!$B:$B,"custody",'caseload data'!$C:$C,'custody %'!$B$64),"")</f>
        <v/>
      </c>
      <c r="S69" s="64"/>
      <c r="T69" s="98" t="s">
        <v>954</v>
      </c>
      <c r="U69" s="167" t="str">
        <f>IFERROR(SUMIFS('caseload data'!E:E,'caseload data'!$C:$C,'custody %'!$T$64,'caseload data'!$D:$D,"SPO",'caseload data'!$B:$B,"custody")/SUMIFS('caseload data'!E:E,'caseload data'!$B:$B,"custody",'caseload data'!$C:$C,'custody %'!$T$64),"")</f>
        <v/>
      </c>
      <c r="V69" s="167" t="str">
        <f>IFERROR(SUMIFS('caseload data'!F:F,'caseload data'!$C:$C,'custody %'!$T$64,'caseload data'!$D:$D,"SPO",'caseload data'!$B:$B,"custody")/SUMIFS('caseload data'!F:F,'caseload data'!$B:$B,"custody",'caseload data'!$C:$C,'custody %'!$T$64),"")</f>
        <v/>
      </c>
      <c r="W69" s="167" t="str">
        <f>IFERROR(SUMIFS('caseload data'!G:G,'caseload data'!$C:$C,'custody %'!$T$64,'caseload data'!$D:$D,"SPO",'caseload data'!$B:$B,"custody")/SUMIFS('caseload data'!G:G,'caseload data'!$B:$B,"custody",'caseload data'!$C:$C,'custody %'!$T$64),"")</f>
        <v/>
      </c>
      <c r="X69" s="167" t="str">
        <f>IFERROR(SUMIFS('caseload data'!H:H,'caseload data'!$C:$C,'custody %'!$T$64,'caseload data'!$D:$D,"SPO",'caseload data'!$B:$B,"custody")/SUMIFS('caseload data'!H:H,'caseload data'!$B:$B,"custody",'caseload data'!$C:$C,'custody %'!$T$64),"")</f>
        <v/>
      </c>
      <c r="Y69" s="167" t="str">
        <f>IFERROR(SUMIFS('caseload data'!I:I,'caseload data'!$C:$C,'custody %'!$T$64,'caseload data'!$D:$D,"SPO",'caseload data'!$B:$B,"custody")/SUMIFS('caseload data'!I:I,'caseload data'!$B:$B,"custody",'caseload data'!$C:$C,'custody %'!$T$64),"")</f>
        <v/>
      </c>
      <c r="Z69" s="167" t="str">
        <f>IFERROR(SUMIFS('caseload data'!J:J,'caseload data'!$C:$C,'custody %'!$T$64,'caseload data'!$D:$D,"SPO",'caseload data'!$B:$B,"custody")/SUMIFS('caseload data'!J:J,'caseload data'!$B:$B,"custody",'caseload data'!$C:$C,'custody %'!$T$64),"")</f>
        <v/>
      </c>
      <c r="AA69" s="167" t="str">
        <f>IFERROR(SUMIFS('caseload data'!K:K,'caseload data'!$C:$C,'custody %'!$T$64,'caseload data'!$D:$D,"SPO",'caseload data'!$B:$B,"custody")/SUMIFS('caseload data'!K:K,'caseload data'!$B:$B,"custody",'caseload data'!$C:$C,'custody %'!$T$64),"")</f>
        <v/>
      </c>
      <c r="AB69" s="167" t="str">
        <f>IFERROR(SUMIFS('caseload data'!L:L,'caseload data'!$C:$C,'custody %'!$T$64,'caseload data'!$D:$D,"SPO",'caseload data'!$B:$B,"custody")/SUMIFS('caseload data'!L:L,'caseload data'!$B:$B,"custody",'caseload data'!$C:$C,'custody %'!$T$64),"")</f>
        <v/>
      </c>
      <c r="AC69" s="167" t="str">
        <f>IFERROR(SUMIFS('caseload data'!M:M,'caseload data'!$C:$C,'custody %'!$T$64,'caseload data'!$D:$D,"SPO",'caseload data'!$B:$B,"custody")/SUMIFS('caseload data'!M:M,'caseload data'!$B:$B,"custody",'caseload data'!$C:$C,'custody %'!$T$64),"")</f>
        <v/>
      </c>
      <c r="AD69" s="167" t="str">
        <f>IFERROR(SUMIFS('caseload data'!N:N,'caseload data'!$C:$C,'custody %'!$T$64,'caseload data'!$D:$D,"SPO",'caseload data'!$B:$B,"custody")/SUMIFS('caseload data'!N:N,'caseload data'!$B:$B,"custody",'caseload data'!$C:$C,'custody %'!$T$64),"")</f>
        <v/>
      </c>
      <c r="AE69" s="167" t="str">
        <f>IFERROR(SUMIFS('caseload data'!O:O,'caseload data'!$C:$C,'custody %'!$T$64,'caseload data'!$D:$D,"SPO",'caseload data'!$B:$B,"custody")/SUMIFS('caseload data'!O:O,'caseload data'!$B:$B,"custody",'caseload data'!$C:$C,'custody %'!$T$64),"")</f>
        <v/>
      </c>
      <c r="AF69" s="167" t="str">
        <f>IFERROR(SUMIFS('caseload data'!P:P,'caseload data'!$C:$C,'custody %'!$T$64,'caseload data'!$D:$D,"SPO",'caseload data'!$B:$B,"custody")/SUMIFS('caseload data'!P:P,'caseload data'!$B:$B,"custody",'caseload data'!$C:$C,'custody %'!$T$64),"")</f>
        <v/>
      </c>
      <c r="AG69" s="167" t="str">
        <f>IFERROR(SUMIFS('caseload data'!Q:Q,'caseload data'!$C:$C,'custody %'!$T$64,'caseload data'!$D:$D,"SPO",'caseload data'!$B:$B,"custody")/SUMIFS('caseload data'!Q:Q,'caseload data'!$B:$B,"custody",'caseload data'!$C:$C,'custody %'!$T$64),"")</f>
        <v/>
      </c>
      <c r="AH69" s="167" t="str">
        <f>IFERROR(SUMIFS('caseload data'!R:R,'caseload data'!$C:$C,'custody %'!$T$64,'caseload data'!$D:$D,"SPO",'caseload data'!$B:$B,"custody")/SUMIFS('caseload data'!R:R,'caseload data'!$B:$B,"custody",'caseload data'!$C:$C,'custody %'!$T$64),"")</f>
        <v/>
      </c>
      <c r="AI69" s="167"/>
      <c r="AJ69" s="167"/>
    </row>
    <row r="71" spans="2:36" ht="24.75" customHeight="1" x14ac:dyDescent="0.15">
      <c r="B71" s="288">
        <f>HLOOKUP($B$5,Region_Table,20,0)</f>
        <v>0</v>
      </c>
      <c r="C71" s="548" t="s">
        <v>1073</v>
      </c>
      <c r="D71" s="549"/>
      <c r="E71" s="549"/>
      <c r="F71" s="549"/>
      <c r="G71" s="549"/>
      <c r="H71" s="549"/>
      <c r="I71" s="549"/>
      <c r="J71" s="549"/>
      <c r="K71" s="549"/>
      <c r="L71" s="549"/>
      <c r="M71" s="568"/>
      <c r="N71" s="568"/>
      <c r="O71" s="569"/>
      <c r="P71" s="543">
        <f>SUMIF('caseload data'!$C:$C,'custody %'!B71,'caseload data'!V:V)</f>
        <v>0</v>
      </c>
      <c r="Q71" s="560"/>
      <c r="R71" s="561"/>
      <c r="T71" s="288">
        <f>HLOOKUP($B$5,Region_Table,21,0)</f>
        <v>0</v>
      </c>
      <c r="U71" s="548" t="s">
        <v>1073</v>
      </c>
      <c r="V71" s="549"/>
      <c r="W71" s="549"/>
      <c r="X71" s="549"/>
      <c r="Y71" s="549"/>
      <c r="Z71" s="549"/>
      <c r="AA71" s="549"/>
      <c r="AB71" s="549"/>
      <c r="AC71" s="568"/>
      <c r="AD71" s="568"/>
      <c r="AE71" s="569"/>
      <c r="AF71" s="543">
        <f>SUMIF('caseload data'!$C:$C,'custody %'!T71,'caseload data'!V:V)</f>
        <v>0</v>
      </c>
      <c r="AG71" s="560"/>
      <c r="AH71" s="561"/>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167" t="str">
        <f>IFERROR(SUMIFS('caseload data'!E:E,'caseload data'!$C:$C,'custody %'!$B$71,'caseload data'!$D:$D,"PO",'caseload data'!$B:$B,"custody")/SUMIFS('caseload data'!E:E,'caseload data'!$B:$B,"custody",'caseload data'!$C:$C,'custody %'!$B$71),"")</f>
        <v/>
      </c>
      <c r="D73" s="167" t="str">
        <f>IFERROR(SUMIFS('caseload data'!F:F,'caseload data'!$C:$C,'custody %'!$B$71,'caseload data'!$D:$D,"PO",'caseload data'!$B:$B,"custody")/SUMIFS('caseload data'!F:F,'caseload data'!$B:$B,"custody",'caseload data'!$C:$C,'custody %'!$B$71),"")</f>
        <v/>
      </c>
      <c r="E73" s="167" t="str">
        <f>IFERROR(SUMIFS('caseload data'!G:G,'caseload data'!$C:$C,'custody %'!$B$71,'caseload data'!$D:$D,"PO",'caseload data'!$B:$B,"custody")/SUMIFS('caseload data'!G:G,'caseload data'!$B:$B,"custody",'caseload data'!$C:$C,'custody %'!$B$71),"")</f>
        <v/>
      </c>
      <c r="F73" s="167" t="str">
        <f>IFERROR(SUMIFS('caseload data'!H:H,'caseload data'!$C:$C,'custody %'!$B$71,'caseload data'!$D:$D,"PO",'caseload data'!$B:$B,"custody")/SUMIFS('caseload data'!H:H,'caseload data'!$B:$B,"custody",'caseload data'!$C:$C,'custody %'!$B$71),"")</f>
        <v/>
      </c>
      <c r="G73" s="167" t="str">
        <f>IFERROR(SUMIFS('caseload data'!I:I,'caseload data'!$C:$C,'custody %'!$B$71,'caseload data'!$D:$D,"PO",'caseload data'!$B:$B,"custody")/SUMIFS('caseload data'!I:I,'caseload data'!$B:$B,"custody",'caseload data'!$C:$C,'custody %'!$B$71),"")</f>
        <v/>
      </c>
      <c r="H73" s="167" t="str">
        <f>IFERROR(SUMIFS('caseload data'!J:J,'caseload data'!$C:$C,'custody %'!$B$71,'caseload data'!$D:$D,"PO",'caseload data'!$B:$B,"custody")/SUMIFS('caseload data'!J:J,'caseload data'!$B:$B,"custody",'caseload data'!$C:$C,'custody %'!$B$71),"")</f>
        <v/>
      </c>
      <c r="I73" s="167" t="str">
        <f>IFERROR(SUMIFS('caseload data'!K:K,'caseload data'!$C:$C,'custody %'!$B$71,'caseload data'!$D:$D,"PO",'caseload data'!$B:$B,"custody")/SUMIFS('caseload data'!K:K,'caseload data'!$B:$B,"custody",'caseload data'!$C:$C,'custody %'!$B$71),"")</f>
        <v/>
      </c>
      <c r="J73" s="167" t="str">
        <f>IFERROR(SUMIFS('caseload data'!L:L,'caseload data'!$C:$C,'custody %'!$B$71,'caseload data'!$D:$D,"PO",'caseload data'!$B:$B,"custody")/SUMIFS('caseload data'!L:L,'caseload data'!$B:$B,"custody",'caseload data'!$C:$C,'custody %'!$B$71),"")</f>
        <v/>
      </c>
      <c r="K73" s="167" t="str">
        <f>IFERROR(SUMIFS('caseload data'!M:M,'caseload data'!$C:$C,'custody %'!$B$71,'caseload data'!$D:$D,"PO",'caseload data'!$B:$B,"custody")/SUMIFS('caseload data'!M:M,'caseload data'!$B:$B,"custody",'caseload data'!$C:$C,'custody %'!$B$71),"")</f>
        <v/>
      </c>
      <c r="L73" s="167" t="str">
        <f>IFERROR(SUMIFS('caseload data'!N:N,'caseload data'!$C:$C,'custody %'!$B$71,'caseload data'!$D:$D,"PO",'caseload data'!$B:$B,"custody")/SUMIFS('caseload data'!N:N,'caseload data'!$B:$B,"custody",'caseload data'!$C:$C,'custody %'!$B$71),"")</f>
        <v/>
      </c>
      <c r="M73" s="167" t="str">
        <f>IFERROR(SUMIFS('caseload data'!O:O,'caseload data'!$C:$C,'custody %'!$B$71,'caseload data'!$D:$D,"PO",'caseload data'!$B:$B,"custody")/SUMIFS('caseload data'!O:O,'caseload data'!$B:$B,"custody",'caseload data'!$C:$C,'custody %'!$B$71),"")</f>
        <v/>
      </c>
      <c r="N73" s="167" t="str">
        <f>IFERROR(SUMIFS('caseload data'!P:P,'caseload data'!$C:$C,'custody %'!$B$71,'caseload data'!$D:$D,"PO",'caseload data'!$B:$B,"custody")/SUMIFS('caseload data'!P:P,'caseload data'!$B:$B,"custody",'caseload data'!$C:$C,'custody %'!$B$71),"")</f>
        <v/>
      </c>
      <c r="O73" s="167" t="str">
        <f>IFERROR(SUMIFS('caseload data'!Q:Q,'caseload data'!$C:$C,'custody %'!$B$71,'caseload data'!$D:$D,"PO",'caseload data'!$B:$B,"custody")/SUMIFS('caseload data'!Q:Q,'caseload data'!$B:$B,"custody",'caseload data'!$C:$C,'custody %'!$B$71),"")</f>
        <v/>
      </c>
      <c r="P73" s="167" t="str">
        <f>IFERROR(SUMIFS('caseload data'!R:R,'caseload data'!$C:$C,'custody %'!$B$71,'caseload data'!$D:$D,"PO",'caseload data'!$B:$B,"custody")/SUMIFS('caseload data'!R:R,'caseload data'!$B:$B,"custody",'caseload data'!$C:$C,'custody %'!$B$71),"")</f>
        <v/>
      </c>
      <c r="Q73" s="167" t="str">
        <f>IFERROR(SUMIFS('caseload data'!S:S,'caseload data'!$C:$C,'custody %'!$B$71,'caseload data'!$D:$D,"PO",'caseload data'!$B:$B,"custody")/SUMIFS('caseload data'!S:S,'caseload data'!$B:$B,"custody",'caseload data'!$C:$C,'custody %'!$B$71),"")</f>
        <v/>
      </c>
      <c r="R73" s="167" t="str">
        <f>IFERROR(SUMIFS('caseload data'!T:T,'caseload data'!$C:$C,'custody %'!$B$71,'caseload data'!$D:$D,"PO",'caseload data'!$B:$B,"custody")/SUMIFS('caseload data'!T:T,'caseload data'!$B:$B,"custody",'caseload data'!$C:$C,'custody %'!$B$71),"")</f>
        <v/>
      </c>
      <c r="T73" s="96" t="s">
        <v>947</v>
      </c>
      <c r="U73" s="167" t="str">
        <f>IFERROR(SUMIFS('caseload data'!E:E,'caseload data'!$C:$C,'custody %'!$T$71,'caseload data'!$D:$D,"PO",'caseload data'!$B:$B,"custody")/SUMIFS('caseload data'!E:E,'caseload data'!$B:$B,"custody",'caseload data'!$C:$C,'custody %'!$T$71),"")</f>
        <v/>
      </c>
      <c r="V73" s="167" t="str">
        <f>IFERROR(SUMIFS('caseload data'!F:F,'caseload data'!$C:$C,'custody %'!$T$71,'caseload data'!$D:$D,"PO",'caseload data'!$B:$B,"custody")/SUMIFS('caseload data'!F:F,'caseload data'!$B:$B,"custody",'caseload data'!$C:$C,'custody %'!$T$71),"")</f>
        <v/>
      </c>
      <c r="W73" s="167" t="str">
        <f>IFERROR(SUMIFS('caseload data'!G:G,'caseload data'!$C:$C,'custody %'!$T$71,'caseload data'!$D:$D,"PO",'caseload data'!$B:$B,"custody")/SUMIFS('caseload data'!G:G,'caseload data'!$B:$B,"custody",'caseload data'!$C:$C,'custody %'!$T$71),"")</f>
        <v/>
      </c>
      <c r="X73" s="167" t="str">
        <f>IFERROR(SUMIFS('caseload data'!H:H,'caseload data'!$C:$C,'custody %'!$T$71,'caseload data'!$D:$D,"PO",'caseload data'!$B:$B,"custody")/SUMIFS('caseload data'!H:H,'caseload data'!$B:$B,"custody",'caseload data'!$C:$C,'custody %'!$T$71),"")</f>
        <v/>
      </c>
      <c r="Y73" s="167" t="str">
        <f>IFERROR(SUMIFS('caseload data'!I:I,'caseload data'!$C:$C,'custody %'!$T$71,'caseload data'!$D:$D,"PO",'caseload data'!$B:$B,"custody")/SUMIFS('caseload data'!I:I,'caseload data'!$B:$B,"custody",'caseload data'!$C:$C,'custody %'!$T$71),"")</f>
        <v/>
      </c>
      <c r="Z73" s="167" t="str">
        <f>IFERROR(SUMIFS('caseload data'!J:J,'caseload data'!$C:$C,'custody %'!$T$71,'caseload data'!$D:$D,"PO",'caseload data'!$B:$B,"custody")/SUMIFS('caseload data'!J:J,'caseload data'!$B:$B,"custody",'caseload data'!$C:$C,'custody %'!$T$71),"")</f>
        <v/>
      </c>
      <c r="AA73" s="167" t="str">
        <f>IFERROR(SUMIFS('caseload data'!K:K,'caseload data'!$C:$C,'custody %'!$T$71,'caseload data'!$D:$D,"PO",'caseload data'!$B:$B,"custody")/SUMIFS('caseload data'!K:K,'caseload data'!$B:$B,"custody",'caseload data'!$C:$C,'custody %'!$T$71),"")</f>
        <v/>
      </c>
      <c r="AB73" s="167" t="str">
        <f>IFERROR(SUMIFS('caseload data'!L:L,'caseload data'!$C:$C,'custody %'!$T$71,'caseload data'!$D:$D,"PO",'caseload data'!$B:$B,"custody")/SUMIFS('caseload data'!L:L,'caseload data'!$B:$B,"custody",'caseload data'!$C:$C,'custody %'!$T$71),"")</f>
        <v/>
      </c>
      <c r="AC73" s="167" t="str">
        <f>IFERROR(SUMIFS('caseload data'!M:M,'caseload data'!$C:$C,'custody %'!$T$71,'caseload data'!$D:$D,"PO",'caseload data'!$B:$B,"custody")/SUMIFS('caseload data'!M:M,'caseload data'!$B:$B,"custody",'caseload data'!$C:$C,'custody %'!$T$71),"")</f>
        <v/>
      </c>
      <c r="AD73" s="167" t="str">
        <f>IFERROR(SUMIFS('caseload data'!N:N,'caseload data'!$C:$C,'custody %'!$T$71,'caseload data'!$D:$D,"PO",'caseload data'!$B:$B,"custody")/SUMIFS('caseload data'!N:N,'caseload data'!$B:$B,"custody",'caseload data'!$C:$C,'custody %'!$T$71),"")</f>
        <v/>
      </c>
      <c r="AE73" s="167" t="str">
        <f>IFERROR(SUMIFS('caseload data'!O:O,'caseload data'!$C:$C,'custody %'!$T$71,'caseload data'!$D:$D,"PO",'caseload data'!$B:$B,"custody")/SUMIFS('caseload data'!O:O,'caseload data'!$B:$B,"custody",'caseload data'!$C:$C,'custody %'!$T$71),"")</f>
        <v/>
      </c>
      <c r="AF73" s="167" t="str">
        <f>IFERROR(SUMIFS('caseload data'!P:P,'caseload data'!$C:$C,'custody %'!$T$71,'caseload data'!$D:$D,"PO",'caseload data'!$B:$B,"custody")/SUMIFS('caseload data'!P:P,'caseload data'!$B:$B,"custody",'caseload data'!$C:$C,'custody %'!$T$71),"")</f>
        <v/>
      </c>
      <c r="AG73" s="167" t="str">
        <f>IFERROR(SUMIFS('caseload data'!Q:Q,'caseload data'!$C:$C,'custody %'!$T$71,'caseload data'!$D:$D,"PO",'caseload data'!$B:$B,"custody")/SUMIFS('caseload data'!Q:Q,'caseload data'!$B:$B,"custody",'caseload data'!$C:$C,'custody %'!$T$71),"")</f>
        <v/>
      </c>
      <c r="AH73" s="167" t="str">
        <f>IFERROR(SUMIFS('caseload data'!R:R,'caseload data'!$C:$C,'custody %'!$T$71,'caseload data'!$D:$D,"PO",'caseload data'!$B:$B,"custody")/SUMIFS('caseload data'!R:R,'caseload data'!$B:$B,"custody",'caseload data'!$C:$C,'custody %'!$T$71),"")</f>
        <v/>
      </c>
      <c r="AI73" s="167"/>
      <c r="AJ73" s="167"/>
    </row>
    <row r="74" spans="2:36" x14ac:dyDescent="0.15">
      <c r="B74" s="97" t="s">
        <v>952</v>
      </c>
      <c r="C74" s="167" t="str">
        <f>IFERROR(SUMIFS('caseload data'!E:E,'caseload data'!$C:$C,'custody %'!$B$71,'caseload data'!$D:$D,"PSO",'caseload data'!$B:$B,"custody")/SUMIFS('caseload data'!E:E,'caseload data'!$B:$B,"custody",'caseload data'!$C:$C,'custody %'!$B$71),"")</f>
        <v/>
      </c>
      <c r="D74" s="167" t="str">
        <f>IFERROR(SUMIFS('caseload data'!F:F,'caseload data'!$C:$C,'custody %'!$B$71,'caseload data'!$D:$D,"PSO",'caseload data'!$B:$B,"custody")/SUMIFS('caseload data'!F:F,'caseload data'!$B:$B,"custody",'caseload data'!$C:$C,'custody %'!$B$71),"")</f>
        <v/>
      </c>
      <c r="E74" s="167" t="str">
        <f>IFERROR(SUMIFS('caseload data'!G:G,'caseload data'!$C:$C,'custody %'!$B$71,'caseload data'!$D:$D,"PSO",'caseload data'!$B:$B,"custody")/SUMIFS('caseload data'!G:G,'caseload data'!$B:$B,"custody",'caseload data'!$C:$C,'custody %'!$B$71),"")</f>
        <v/>
      </c>
      <c r="F74" s="167" t="str">
        <f>IFERROR(SUMIFS('caseload data'!H:H,'caseload data'!$C:$C,'custody %'!$B$71,'caseload data'!$D:$D,"PSO",'caseload data'!$B:$B,"custody")/SUMIFS('caseload data'!H:H,'caseload data'!$B:$B,"custody",'caseload data'!$C:$C,'custody %'!$B$71),"")</f>
        <v/>
      </c>
      <c r="G74" s="167" t="str">
        <f>IFERROR(SUMIFS('caseload data'!I:I,'caseload data'!$C:$C,'custody %'!$B$71,'caseload data'!$D:$D,"PSO",'caseload data'!$B:$B,"custody")/SUMIFS('caseload data'!I:I,'caseload data'!$B:$B,"custody",'caseload data'!$C:$C,'custody %'!$B$71),"")</f>
        <v/>
      </c>
      <c r="H74" s="167" t="str">
        <f>IFERROR(SUMIFS('caseload data'!J:J,'caseload data'!$C:$C,'custody %'!$B$71,'caseload data'!$D:$D,"PSO",'caseload data'!$B:$B,"custody")/SUMIFS('caseload data'!J:J,'caseload data'!$B:$B,"custody",'caseload data'!$C:$C,'custody %'!$B$71),"")</f>
        <v/>
      </c>
      <c r="I74" s="167" t="str">
        <f>IFERROR(SUMIFS('caseload data'!K:K,'caseload data'!$C:$C,'custody %'!$B$71,'caseload data'!$D:$D,"PSO",'caseload data'!$B:$B,"custody")/SUMIFS('caseload data'!K:K,'caseload data'!$B:$B,"custody",'caseload data'!$C:$C,'custody %'!$B$71),"")</f>
        <v/>
      </c>
      <c r="J74" s="167" t="str">
        <f>IFERROR(SUMIFS('caseload data'!L:L,'caseload data'!$C:$C,'custody %'!$B$71,'caseload data'!$D:$D,"PSO",'caseload data'!$B:$B,"custody")/SUMIFS('caseload data'!L:L,'caseload data'!$B:$B,"custody",'caseload data'!$C:$C,'custody %'!$B$71),"")</f>
        <v/>
      </c>
      <c r="K74" s="167" t="str">
        <f>IFERROR(SUMIFS('caseload data'!M:M,'caseload data'!$C:$C,'custody %'!$B$71,'caseload data'!$D:$D,"PSO",'caseload data'!$B:$B,"custody")/SUMIFS('caseload data'!M:M,'caseload data'!$B:$B,"custody",'caseload data'!$C:$C,'custody %'!$B$71),"")</f>
        <v/>
      </c>
      <c r="L74" s="167" t="str">
        <f>IFERROR(SUMIFS('caseload data'!N:N,'caseload data'!$C:$C,'custody %'!$B$71,'caseload data'!$D:$D,"PSO",'caseload data'!$B:$B,"custody")/SUMIFS('caseload data'!N:N,'caseload data'!$B:$B,"custody",'caseload data'!$C:$C,'custody %'!$B$71),"")</f>
        <v/>
      </c>
      <c r="M74" s="167" t="str">
        <f>IFERROR(SUMIFS('caseload data'!O:O,'caseload data'!$C:$C,'custody %'!$B$71,'caseload data'!$D:$D,"PSO",'caseload data'!$B:$B,"custody")/SUMIFS('caseload data'!O:O,'caseload data'!$B:$B,"custody",'caseload data'!$C:$C,'custody %'!$B$71),"")</f>
        <v/>
      </c>
      <c r="N74" s="167" t="str">
        <f>IFERROR(SUMIFS('caseload data'!P:P,'caseload data'!$C:$C,'custody %'!$B$71,'caseload data'!$D:$D,"PSO",'caseload data'!$B:$B,"custody")/SUMIFS('caseload data'!P:P,'caseload data'!$B:$B,"custody",'caseload data'!$C:$C,'custody %'!$B$71),"")</f>
        <v/>
      </c>
      <c r="O74" s="167" t="str">
        <f>IFERROR(SUMIFS('caseload data'!Q:Q,'caseload data'!$C:$C,'custody %'!$B$71,'caseload data'!$D:$D,"PSO",'caseload data'!$B:$B,"custody")/SUMIFS('caseload data'!Q:Q,'caseload data'!$B:$B,"custody",'caseload data'!$C:$C,'custody %'!$B$71),"")</f>
        <v/>
      </c>
      <c r="P74" s="167" t="str">
        <f>IFERROR(SUMIFS('caseload data'!R:R,'caseload data'!$C:$C,'custody %'!$B$71,'caseload data'!$D:$D,"PSO",'caseload data'!$B:$B,"custody")/SUMIFS('caseload data'!R:R,'caseload data'!$B:$B,"custody",'caseload data'!$C:$C,'custody %'!$B$71),"")</f>
        <v/>
      </c>
      <c r="Q74" s="167" t="str">
        <f>IFERROR(SUMIFS('caseload data'!S:S,'caseload data'!$C:$C,'custody %'!$B$71,'caseload data'!$D:$D,"PSO",'caseload data'!$B:$B,"custody")/SUMIFS('caseload data'!S:S,'caseload data'!$B:$B,"custody",'caseload data'!$C:$C,'custody %'!$B$71),"")</f>
        <v/>
      </c>
      <c r="R74" s="167" t="str">
        <f>IFERROR(SUMIFS('caseload data'!T:T,'caseload data'!$C:$C,'custody %'!$B$71,'caseload data'!$D:$D,"PSO",'caseload data'!$B:$B,"custody")/SUMIFS('caseload data'!T:T,'caseload data'!$B:$B,"custody",'caseload data'!$C:$C,'custody %'!$B$71),"")</f>
        <v/>
      </c>
      <c r="T74" s="97" t="s">
        <v>952</v>
      </c>
      <c r="U74" s="167" t="str">
        <f>IFERROR(SUMIFS('caseload data'!E:E,'caseload data'!$C:$C,'custody %'!$T$71,'caseload data'!$D:$D,"PSO",'caseload data'!$B:$B,"custody")/SUMIFS('caseload data'!E:E,'caseload data'!$B:$B,"custody",'caseload data'!$C:$C,'custody %'!$T$71),"")</f>
        <v/>
      </c>
      <c r="V74" s="167" t="str">
        <f>IFERROR(SUMIFS('caseload data'!F:F,'caseload data'!$C:$C,'custody %'!$T$71,'caseload data'!$D:$D,"PSO",'caseload data'!$B:$B,"custody")/SUMIFS('caseload data'!F:F,'caseload data'!$B:$B,"custody",'caseload data'!$C:$C,'custody %'!$T$71),"")</f>
        <v/>
      </c>
      <c r="W74" s="167" t="str">
        <f>IFERROR(SUMIFS('caseload data'!G:G,'caseload data'!$C:$C,'custody %'!$T$71,'caseload data'!$D:$D,"PSO",'caseload data'!$B:$B,"custody")/SUMIFS('caseload data'!G:G,'caseload data'!$B:$B,"custody",'caseload data'!$C:$C,'custody %'!$T$71),"")</f>
        <v/>
      </c>
      <c r="X74" s="167" t="str">
        <f>IFERROR(SUMIFS('caseload data'!H:H,'caseload data'!$C:$C,'custody %'!$T$71,'caseload data'!$D:$D,"PSO",'caseload data'!$B:$B,"custody")/SUMIFS('caseload data'!H:H,'caseload data'!$B:$B,"custody",'caseload data'!$C:$C,'custody %'!$T$71),"")</f>
        <v/>
      </c>
      <c r="Y74" s="167" t="str">
        <f>IFERROR(SUMIFS('caseload data'!I:I,'caseload data'!$C:$C,'custody %'!$T$71,'caseload data'!$D:$D,"PSO",'caseload data'!$B:$B,"custody")/SUMIFS('caseload data'!I:I,'caseload data'!$B:$B,"custody",'caseload data'!$C:$C,'custody %'!$T$71),"")</f>
        <v/>
      </c>
      <c r="Z74" s="167" t="str">
        <f>IFERROR(SUMIFS('caseload data'!J:J,'caseload data'!$C:$C,'custody %'!$T$71,'caseload data'!$D:$D,"PSO",'caseload data'!$B:$B,"custody")/SUMIFS('caseload data'!J:J,'caseload data'!$B:$B,"custody",'caseload data'!$C:$C,'custody %'!$T$71),"")</f>
        <v/>
      </c>
      <c r="AA74" s="167" t="str">
        <f>IFERROR(SUMIFS('caseload data'!K:K,'caseload data'!$C:$C,'custody %'!$T$71,'caseload data'!$D:$D,"PSO",'caseload data'!$B:$B,"custody")/SUMIFS('caseload data'!K:K,'caseload data'!$B:$B,"custody",'caseload data'!$C:$C,'custody %'!$T$71),"")</f>
        <v/>
      </c>
      <c r="AB74" s="167" t="str">
        <f>IFERROR(SUMIFS('caseload data'!L:L,'caseload data'!$C:$C,'custody %'!$T$71,'caseload data'!$D:$D,"PSO",'caseload data'!$B:$B,"custody")/SUMIFS('caseload data'!L:L,'caseload data'!$B:$B,"custody",'caseload data'!$C:$C,'custody %'!$T$71),"")</f>
        <v/>
      </c>
      <c r="AC74" s="167" t="str">
        <f>IFERROR(SUMIFS('caseload data'!M:M,'caseload data'!$C:$C,'custody %'!$T$71,'caseload data'!$D:$D,"PSO",'caseload data'!$B:$B,"custody")/SUMIFS('caseload data'!M:M,'caseload data'!$B:$B,"custody",'caseload data'!$C:$C,'custody %'!$T$71),"")</f>
        <v/>
      </c>
      <c r="AD74" s="167" t="str">
        <f>IFERROR(SUMIFS('caseload data'!N:N,'caseload data'!$C:$C,'custody %'!$T$71,'caseload data'!$D:$D,"PSO",'caseload data'!$B:$B,"custody")/SUMIFS('caseload data'!N:N,'caseload data'!$B:$B,"custody",'caseload data'!$C:$C,'custody %'!$T$71),"")</f>
        <v/>
      </c>
      <c r="AE74" s="167" t="str">
        <f>IFERROR(SUMIFS('caseload data'!O:O,'caseload data'!$C:$C,'custody %'!$T$71,'caseload data'!$D:$D,"PSO",'caseload data'!$B:$B,"custody")/SUMIFS('caseload data'!O:O,'caseload data'!$B:$B,"custody",'caseload data'!$C:$C,'custody %'!$T$71),"")</f>
        <v/>
      </c>
      <c r="AF74" s="167" t="str">
        <f>IFERROR(SUMIFS('caseload data'!P:P,'caseload data'!$C:$C,'custody %'!$T$71,'caseload data'!$D:$D,"PSO",'caseload data'!$B:$B,"custody")/SUMIFS('caseload data'!P:P,'caseload data'!$B:$B,"custody",'caseload data'!$C:$C,'custody %'!$T$71),"")</f>
        <v/>
      </c>
      <c r="AG74" s="167" t="str">
        <f>IFERROR(SUMIFS('caseload data'!Q:Q,'caseload data'!$C:$C,'custody %'!$T$71,'caseload data'!$D:$D,"PSO",'caseload data'!$B:$B,"custody")/SUMIFS('caseload data'!Q:Q,'caseload data'!$B:$B,"custody",'caseload data'!$C:$C,'custody %'!$T$71),"")</f>
        <v/>
      </c>
      <c r="AH74" s="167" t="str">
        <f>IFERROR(SUMIFS('caseload data'!R:R,'caseload data'!$C:$C,'custody %'!$T$71,'caseload data'!$D:$D,"PSO",'caseload data'!$B:$B,"custody")/SUMIFS('caseload data'!R:R,'caseload data'!$B:$B,"custody",'caseload data'!$C:$C,'custody %'!$T$71),"")</f>
        <v/>
      </c>
      <c r="AI74" s="167"/>
      <c r="AJ74" s="167"/>
    </row>
    <row r="75" spans="2:36" x14ac:dyDescent="0.15">
      <c r="B75" s="97" t="s">
        <v>953</v>
      </c>
      <c r="C75" s="167" t="str">
        <f>IFERROR(SUMIFS('caseload data'!E:E,'caseload data'!$C:$C,'custody %'!$B$71,'caseload data'!$D:$D,"TPO",'caseload data'!$B:$B,"custody")/SUMIFS('caseload data'!E:E,'caseload data'!$B:$B,"custody",'caseload data'!$C:$C,'custody %'!$B$71),"")</f>
        <v/>
      </c>
      <c r="D75" s="167" t="str">
        <f>IFERROR(SUMIFS('caseload data'!F:F,'caseload data'!$C:$C,'custody %'!$B$71,'caseload data'!$D:$D,"TPO",'caseload data'!$B:$B,"custody")/SUMIFS('caseload data'!F:F,'caseload data'!$B:$B,"custody",'caseload data'!$C:$C,'custody %'!$B$71),"")</f>
        <v/>
      </c>
      <c r="E75" s="167" t="str">
        <f>IFERROR(SUMIFS('caseload data'!G:G,'caseload data'!$C:$C,'custody %'!$B$71,'caseload data'!$D:$D,"TPO",'caseload data'!$B:$B,"custody")/SUMIFS('caseload data'!G:G,'caseload data'!$B:$B,"custody",'caseload data'!$C:$C,'custody %'!$B$71),"")</f>
        <v/>
      </c>
      <c r="F75" s="167" t="str">
        <f>IFERROR(SUMIFS('caseload data'!H:H,'caseload data'!$C:$C,'custody %'!$B$71,'caseload data'!$D:$D,"TPO",'caseload data'!$B:$B,"custody")/SUMIFS('caseload data'!H:H,'caseload data'!$B:$B,"custody",'caseload data'!$C:$C,'custody %'!$B$71),"")</f>
        <v/>
      </c>
      <c r="G75" s="167" t="str">
        <f>IFERROR(SUMIFS('caseload data'!I:I,'caseload data'!$C:$C,'custody %'!$B$71,'caseload data'!$D:$D,"TPO",'caseload data'!$B:$B,"custody")/SUMIFS('caseload data'!I:I,'caseload data'!$B:$B,"custody",'caseload data'!$C:$C,'custody %'!$B$71),"")</f>
        <v/>
      </c>
      <c r="H75" s="167" t="str">
        <f>IFERROR(SUMIFS('caseload data'!J:J,'caseload data'!$C:$C,'custody %'!$B$71,'caseload data'!$D:$D,"TPO",'caseload data'!$B:$B,"custody")/SUMIFS('caseload data'!J:J,'caseload data'!$B:$B,"custody",'caseload data'!$C:$C,'custody %'!$B$71),"")</f>
        <v/>
      </c>
      <c r="I75" s="167" t="str">
        <f>IFERROR(SUMIFS('caseload data'!K:K,'caseload data'!$C:$C,'custody %'!$B$71,'caseload data'!$D:$D,"TPO",'caseload data'!$B:$B,"custody")/SUMIFS('caseload data'!K:K,'caseload data'!$B:$B,"custody",'caseload data'!$C:$C,'custody %'!$B$71),"")</f>
        <v/>
      </c>
      <c r="J75" s="167" t="str">
        <f>IFERROR(SUMIFS('caseload data'!L:L,'caseload data'!$C:$C,'custody %'!$B$71,'caseload data'!$D:$D,"TPO",'caseload data'!$B:$B,"custody")/SUMIFS('caseload data'!L:L,'caseload data'!$B:$B,"custody",'caseload data'!$C:$C,'custody %'!$B$71),"")</f>
        <v/>
      </c>
      <c r="K75" s="167" t="str">
        <f>IFERROR(SUMIFS('caseload data'!M:M,'caseload data'!$C:$C,'custody %'!$B$71,'caseload data'!$D:$D,"TPO",'caseload data'!$B:$B,"custody")/SUMIFS('caseload data'!M:M,'caseload data'!$B:$B,"custody",'caseload data'!$C:$C,'custody %'!$B$71),"")</f>
        <v/>
      </c>
      <c r="L75" s="167" t="str">
        <f>IFERROR(SUMIFS('caseload data'!N:N,'caseload data'!$C:$C,'custody %'!$B$71,'caseload data'!$D:$D,"TPO",'caseload data'!$B:$B,"custody")/SUMIFS('caseload data'!N:N,'caseload data'!$B:$B,"custody",'caseload data'!$C:$C,'custody %'!$B$71),"")</f>
        <v/>
      </c>
      <c r="M75" s="167" t="str">
        <f>IFERROR(SUMIFS('caseload data'!O:O,'caseload data'!$C:$C,'custody %'!$B$71,'caseload data'!$D:$D,"TPO",'caseload data'!$B:$B,"custody")/SUMIFS('caseload data'!O:O,'caseload data'!$B:$B,"custody",'caseload data'!$C:$C,'custody %'!$B$71),"")</f>
        <v/>
      </c>
      <c r="N75" s="167" t="str">
        <f>IFERROR(SUMIFS('caseload data'!P:P,'caseload data'!$C:$C,'custody %'!$B$71,'caseload data'!$D:$D,"TPO",'caseload data'!$B:$B,"custody")/SUMIFS('caseload data'!P:P,'caseload data'!$B:$B,"custody",'caseload data'!$C:$C,'custody %'!$B$71),"")</f>
        <v/>
      </c>
      <c r="O75" s="167" t="str">
        <f>IFERROR(SUMIFS('caseload data'!Q:Q,'caseload data'!$C:$C,'custody %'!$B$71,'caseload data'!$D:$D,"TPO",'caseload data'!$B:$B,"custody")/SUMIFS('caseload data'!Q:Q,'caseload data'!$B:$B,"custody",'caseload data'!$C:$C,'custody %'!$B$71),"")</f>
        <v/>
      </c>
      <c r="P75" s="167" t="str">
        <f>IFERROR(SUMIFS('caseload data'!R:R,'caseload data'!$C:$C,'custody %'!$B$71,'caseload data'!$D:$D,"TPO",'caseload data'!$B:$B,"custody")/SUMIFS('caseload data'!R:R,'caseload data'!$B:$B,"custody",'caseload data'!$C:$C,'custody %'!$B$71),"")</f>
        <v/>
      </c>
      <c r="Q75" s="167" t="str">
        <f>IFERROR(SUMIFS('caseload data'!S:S,'caseload data'!$C:$C,'custody %'!$B$71,'caseload data'!$D:$D,"TPO",'caseload data'!$B:$B,"custody")/SUMIFS('caseload data'!S:S,'caseload data'!$B:$B,"custody",'caseload data'!$C:$C,'custody %'!$B$71),"")</f>
        <v/>
      </c>
      <c r="R75" s="167" t="str">
        <f>IFERROR(SUMIFS('caseload data'!T:T,'caseload data'!$C:$C,'custody %'!$B$71,'caseload data'!$D:$D,"TPO",'caseload data'!$B:$B,"custody")/SUMIFS('caseload data'!T:T,'caseload data'!$B:$B,"custody",'caseload data'!$C:$C,'custody %'!$B$71),"")</f>
        <v/>
      </c>
      <c r="T75" s="97" t="s">
        <v>953</v>
      </c>
      <c r="U75" s="167" t="str">
        <f>IFERROR(SUMIFS('caseload data'!E:E,'caseload data'!$C:$C,'custody %'!$T$71,'caseload data'!$D:$D,"TPO",'caseload data'!$B:$B,"custody")/SUMIFS('caseload data'!E:E,'caseload data'!$B:$B,"custody",'caseload data'!$C:$C,'custody %'!$T$71),"")</f>
        <v/>
      </c>
      <c r="V75" s="167" t="str">
        <f>IFERROR(SUMIFS('caseload data'!F:F,'caseload data'!$C:$C,'custody %'!$T$71,'caseload data'!$D:$D,"TPO",'caseload data'!$B:$B,"custody")/SUMIFS('caseload data'!F:F,'caseload data'!$B:$B,"custody",'caseload data'!$C:$C,'custody %'!$T$71),"")</f>
        <v/>
      </c>
      <c r="W75" s="167" t="str">
        <f>IFERROR(SUMIFS('caseload data'!G:G,'caseload data'!$C:$C,'custody %'!$T$71,'caseload data'!$D:$D,"TPO",'caseload data'!$B:$B,"custody")/SUMIFS('caseload data'!G:G,'caseload data'!$B:$B,"custody",'caseload data'!$C:$C,'custody %'!$T$71),"")</f>
        <v/>
      </c>
      <c r="X75" s="167" t="str">
        <f>IFERROR(SUMIFS('caseload data'!H:H,'caseload data'!$C:$C,'custody %'!$T$71,'caseload data'!$D:$D,"TPO",'caseload data'!$B:$B,"custody")/SUMIFS('caseload data'!H:H,'caseload data'!$B:$B,"custody",'caseload data'!$C:$C,'custody %'!$T$71),"")</f>
        <v/>
      </c>
      <c r="Y75" s="167" t="str">
        <f>IFERROR(SUMIFS('caseload data'!I:I,'caseload data'!$C:$C,'custody %'!$T$71,'caseload data'!$D:$D,"TPO",'caseload data'!$B:$B,"custody")/SUMIFS('caseload data'!I:I,'caseload data'!$B:$B,"custody",'caseload data'!$C:$C,'custody %'!$T$71),"")</f>
        <v/>
      </c>
      <c r="Z75" s="167" t="str">
        <f>IFERROR(SUMIFS('caseload data'!J:J,'caseload data'!$C:$C,'custody %'!$T$71,'caseload data'!$D:$D,"TPO",'caseload data'!$B:$B,"custody")/SUMIFS('caseload data'!J:J,'caseload data'!$B:$B,"custody",'caseload data'!$C:$C,'custody %'!$T$71),"")</f>
        <v/>
      </c>
      <c r="AA75" s="167" t="str">
        <f>IFERROR(SUMIFS('caseload data'!K:K,'caseload data'!$C:$C,'custody %'!$T$71,'caseload data'!$D:$D,"TPO",'caseload data'!$B:$B,"custody")/SUMIFS('caseload data'!K:K,'caseload data'!$B:$B,"custody",'caseload data'!$C:$C,'custody %'!$T$71),"")</f>
        <v/>
      </c>
      <c r="AB75" s="167" t="str">
        <f>IFERROR(SUMIFS('caseload data'!L:L,'caseload data'!$C:$C,'custody %'!$T$71,'caseload data'!$D:$D,"TPO",'caseload data'!$B:$B,"custody")/SUMIFS('caseload data'!L:L,'caseload data'!$B:$B,"custody",'caseload data'!$C:$C,'custody %'!$T$71),"")</f>
        <v/>
      </c>
      <c r="AC75" s="167" t="str">
        <f>IFERROR(SUMIFS('caseload data'!M:M,'caseload data'!$C:$C,'custody %'!$T$71,'caseload data'!$D:$D,"TPO",'caseload data'!$B:$B,"custody")/SUMIFS('caseload data'!M:M,'caseload data'!$B:$B,"custody",'caseload data'!$C:$C,'custody %'!$T$71),"")</f>
        <v/>
      </c>
      <c r="AD75" s="167" t="str">
        <f>IFERROR(SUMIFS('caseload data'!N:N,'caseload data'!$C:$C,'custody %'!$T$71,'caseload data'!$D:$D,"TPO",'caseload data'!$B:$B,"custody")/SUMIFS('caseload data'!N:N,'caseload data'!$B:$B,"custody",'caseload data'!$C:$C,'custody %'!$T$71),"")</f>
        <v/>
      </c>
      <c r="AE75" s="167" t="str">
        <f>IFERROR(SUMIFS('caseload data'!O:O,'caseload data'!$C:$C,'custody %'!$T$71,'caseload data'!$D:$D,"TPO",'caseload data'!$B:$B,"custody")/SUMIFS('caseload data'!O:O,'caseload data'!$B:$B,"custody",'caseload data'!$C:$C,'custody %'!$T$71),"")</f>
        <v/>
      </c>
      <c r="AF75" s="167" t="str">
        <f>IFERROR(SUMIFS('caseload data'!P:P,'caseload data'!$C:$C,'custody %'!$T$71,'caseload data'!$D:$D,"TPO",'caseload data'!$B:$B,"custody")/SUMIFS('caseload data'!P:P,'caseload data'!$B:$B,"custody",'caseload data'!$C:$C,'custody %'!$T$71),"")</f>
        <v/>
      </c>
      <c r="AG75" s="167" t="str">
        <f>IFERROR(SUMIFS('caseload data'!Q:Q,'caseload data'!$C:$C,'custody %'!$T$71,'caseload data'!$D:$D,"TPO",'caseload data'!$B:$B,"custody")/SUMIFS('caseload data'!Q:Q,'caseload data'!$B:$B,"custody",'caseload data'!$C:$C,'custody %'!$T$71),"")</f>
        <v/>
      </c>
      <c r="AH75" s="167" t="str">
        <f>IFERROR(SUMIFS('caseload data'!R:R,'caseload data'!$C:$C,'custody %'!$T$71,'caseload data'!$D:$D,"TPO",'caseload data'!$B:$B,"custody")/SUMIFS('caseload data'!R:R,'caseload data'!$B:$B,"custody",'caseload data'!$C:$C,'custody %'!$T$71),"")</f>
        <v/>
      </c>
      <c r="AI75" s="167"/>
      <c r="AJ75" s="167"/>
    </row>
    <row r="76" spans="2:36" x14ac:dyDescent="0.15">
      <c r="B76" s="98" t="s">
        <v>954</v>
      </c>
      <c r="C76" s="167" t="str">
        <f>IFERROR(SUMIFS('caseload data'!E:E,'caseload data'!$C:$C,'custody %'!$B$71,'caseload data'!$D:$D,"SPO",'caseload data'!$B:$B,"custody")/SUMIFS('caseload data'!E:E,'caseload data'!$B:$B,"custody",'caseload data'!$C:$C,'custody %'!$B$71),"")</f>
        <v/>
      </c>
      <c r="D76" s="167" t="str">
        <f>IFERROR(SUMIFS('caseload data'!F:F,'caseload data'!$C:$C,'custody %'!$B$71,'caseload data'!$D:$D,"SPO",'caseload data'!$B:$B,"custody")/SUMIFS('caseload data'!F:F,'caseload data'!$B:$B,"custody",'caseload data'!$C:$C,'custody %'!$B$71),"")</f>
        <v/>
      </c>
      <c r="E76" s="167" t="str">
        <f>IFERROR(SUMIFS('caseload data'!G:G,'caseload data'!$C:$C,'custody %'!$B$71,'caseload data'!$D:$D,"SPO",'caseload data'!$B:$B,"custody")/SUMIFS('caseload data'!G:G,'caseload data'!$B:$B,"custody",'caseload data'!$C:$C,'custody %'!$B$71),"")</f>
        <v/>
      </c>
      <c r="F76" s="167" t="str">
        <f>IFERROR(SUMIFS('caseload data'!H:H,'caseload data'!$C:$C,'custody %'!$B$71,'caseload data'!$D:$D,"SPO",'caseload data'!$B:$B,"custody")/SUMIFS('caseload data'!H:H,'caseload data'!$B:$B,"custody",'caseload data'!$C:$C,'custody %'!$B$71),"")</f>
        <v/>
      </c>
      <c r="G76" s="167" t="str">
        <f>IFERROR(SUMIFS('caseload data'!I:I,'caseload data'!$C:$C,'custody %'!$B$71,'caseload data'!$D:$D,"SPO",'caseload data'!$B:$B,"custody")/SUMIFS('caseload data'!I:I,'caseload data'!$B:$B,"custody",'caseload data'!$C:$C,'custody %'!$B$71),"")</f>
        <v/>
      </c>
      <c r="H76" s="167" t="str">
        <f>IFERROR(SUMIFS('caseload data'!J:J,'caseload data'!$C:$C,'custody %'!$B$71,'caseload data'!$D:$D,"SPO",'caseload data'!$B:$B,"custody")/SUMIFS('caseload data'!J:J,'caseload data'!$B:$B,"custody",'caseload data'!$C:$C,'custody %'!$B$71),"")</f>
        <v/>
      </c>
      <c r="I76" s="167" t="str">
        <f>IFERROR(SUMIFS('caseload data'!K:K,'caseload data'!$C:$C,'custody %'!$B$71,'caseload data'!$D:$D,"SPO",'caseload data'!$B:$B,"custody")/SUMIFS('caseload data'!K:K,'caseload data'!$B:$B,"custody",'caseload data'!$C:$C,'custody %'!$B$71),"")</f>
        <v/>
      </c>
      <c r="J76" s="167" t="str">
        <f>IFERROR(SUMIFS('caseload data'!L:L,'caseload data'!$C:$C,'custody %'!$B$71,'caseload data'!$D:$D,"SPO",'caseload data'!$B:$B,"custody")/SUMIFS('caseload data'!L:L,'caseload data'!$B:$B,"custody",'caseload data'!$C:$C,'custody %'!$B$71),"")</f>
        <v/>
      </c>
      <c r="K76" s="167" t="str">
        <f>IFERROR(SUMIFS('caseload data'!M:M,'caseload data'!$C:$C,'custody %'!$B$71,'caseload data'!$D:$D,"SPO",'caseload data'!$B:$B,"custody")/SUMIFS('caseload data'!M:M,'caseload data'!$B:$B,"custody",'caseload data'!$C:$C,'custody %'!$B$71),"")</f>
        <v/>
      </c>
      <c r="L76" s="167" t="str">
        <f>IFERROR(SUMIFS('caseload data'!N:N,'caseload data'!$C:$C,'custody %'!$B$71,'caseload data'!$D:$D,"TPO",'caseload data'!$B:$B,"custody")/SUMIFS('caseload data'!N:N,'caseload data'!$B:$B,"custody",'caseload data'!$C:$C,'custody %'!$B$71),"")</f>
        <v/>
      </c>
      <c r="M76" s="167" t="str">
        <f>IFERROR(SUMIFS('caseload data'!O:O,'caseload data'!$C:$C,'custody %'!$B$71,'caseload data'!$D:$D,"SPO",'caseload data'!$B:$B,"custody")/SUMIFS('caseload data'!O:O,'caseload data'!$B:$B,"custody",'caseload data'!$C:$C,'custody %'!$B$71),"")</f>
        <v/>
      </c>
      <c r="N76" s="167" t="str">
        <f>IFERROR(SUMIFS('caseload data'!P:P,'caseload data'!$C:$C,'custody %'!$B$71,'caseload data'!$D:$D,"SPO",'caseload data'!$B:$B,"custody")/SUMIFS('caseload data'!P:P,'caseload data'!$B:$B,"custody",'caseload data'!$C:$C,'custody %'!$B$71),"")</f>
        <v/>
      </c>
      <c r="O76" s="167" t="str">
        <f>IFERROR(SUMIFS('caseload data'!Q:Q,'caseload data'!$C:$C,'custody %'!$B$71,'caseload data'!$D:$D,"SPO",'caseload data'!$B:$B,"custody")/SUMIFS('caseload data'!Q:Q,'caseload data'!$B:$B,"custody",'caseload data'!$C:$C,'custody %'!$B$71),"")</f>
        <v/>
      </c>
      <c r="P76" s="167" t="str">
        <f>IFERROR(SUMIFS('caseload data'!R:R,'caseload data'!$C:$C,'custody %'!$B$71,'caseload data'!$D:$D,"SPO",'caseload data'!$B:$B,"custody")/SUMIFS('caseload data'!R:R,'caseload data'!$B:$B,"custody",'caseload data'!$C:$C,'custody %'!$B$71),"")</f>
        <v/>
      </c>
      <c r="Q76" s="167" t="str">
        <f>IFERROR(SUMIFS('caseload data'!S:S,'caseload data'!$C:$C,'custody %'!$B$71,'caseload data'!$D:$D,"SPO",'caseload data'!$B:$B,"custody")/SUMIFS('caseload data'!S:S,'caseload data'!$B:$B,"custody",'caseload data'!$C:$C,'custody %'!$B$71),"")</f>
        <v/>
      </c>
      <c r="R76" s="167" t="str">
        <f>IFERROR(SUMIFS('caseload data'!T:T,'caseload data'!$C:$C,'custody %'!$B$71,'caseload data'!$D:$D,"SPO",'caseload data'!$B:$B,"custody")/SUMIFS('caseload data'!T:T,'caseload data'!$B:$B,"custody",'caseload data'!$C:$C,'custody %'!$B$71),"")</f>
        <v/>
      </c>
      <c r="T76" s="98" t="s">
        <v>954</v>
      </c>
      <c r="U76" s="167" t="str">
        <f>IFERROR(SUMIFS('caseload data'!E:E,'caseload data'!$C:$C,'custody %'!$T$71,'caseload data'!$D:$D,"SPO",'caseload data'!$B:$B,"custody")/SUMIFS('caseload data'!E:E,'caseload data'!$B:$B,"custody",'caseload data'!$C:$C,'custody %'!$T$71),"")</f>
        <v/>
      </c>
      <c r="V76" s="167" t="str">
        <f>IFERROR(SUMIFS('caseload data'!F:F,'caseload data'!$C:$C,'custody %'!$T$71,'caseload data'!$D:$D,"SPO",'caseload data'!$B:$B,"custody")/SUMIFS('caseload data'!F:F,'caseload data'!$B:$B,"custody",'caseload data'!$C:$C,'custody %'!$T$71),"")</f>
        <v/>
      </c>
      <c r="W76" s="167" t="str">
        <f>IFERROR(SUMIFS('caseload data'!G:G,'caseload data'!$C:$C,'custody %'!$T$71,'caseload data'!$D:$D,"SPO",'caseload data'!$B:$B,"custody")/SUMIFS('caseload data'!G:G,'caseload data'!$B:$B,"custody",'caseload data'!$C:$C,'custody %'!$T$71),"")</f>
        <v/>
      </c>
      <c r="X76" s="167" t="str">
        <f>IFERROR(SUMIFS('caseload data'!H:H,'caseload data'!$C:$C,'custody %'!$T$71,'caseload data'!$D:$D,"SPO",'caseload data'!$B:$B,"custody")/SUMIFS('caseload data'!H:H,'caseload data'!$B:$B,"custody",'caseload data'!$C:$C,'custody %'!$T$71),"")</f>
        <v/>
      </c>
      <c r="Y76" s="167" t="str">
        <f>IFERROR(SUMIFS('caseload data'!I:I,'caseload data'!$C:$C,'custody %'!$T$71,'caseload data'!$D:$D,"SPO",'caseload data'!$B:$B,"custody")/SUMIFS('caseload data'!I:I,'caseload data'!$B:$B,"custody",'caseload data'!$C:$C,'custody %'!$T$71),"")</f>
        <v/>
      </c>
      <c r="Z76" s="167" t="str">
        <f>IFERROR(SUMIFS('caseload data'!J:J,'caseload data'!$C:$C,'custody %'!$T$71,'caseload data'!$D:$D,"SPO",'caseload data'!$B:$B,"custody")/SUMIFS('caseload data'!J:J,'caseload data'!$B:$B,"custody",'caseload data'!$C:$C,'custody %'!$T$71),"")</f>
        <v/>
      </c>
      <c r="AA76" s="167" t="str">
        <f>IFERROR(SUMIFS('caseload data'!K:K,'caseload data'!$C:$C,'custody %'!$T$71,'caseload data'!$D:$D,"SPO",'caseload data'!$B:$B,"custody")/SUMIFS('caseload data'!K:K,'caseload data'!$B:$B,"custody",'caseload data'!$C:$C,'custody %'!$T$71),"")</f>
        <v/>
      </c>
      <c r="AB76" s="167" t="str">
        <f>IFERROR(SUMIFS('caseload data'!L:L,'caseload data'!$C:$C,'custody %'!$T$71,'caseload data'!$D:$D,"SPO",'caseload data'!$B:$B,"custody")/SUMIFS('caseload data'!L:L,'caseload data'!$B:$B,"custody",'caseload data'!$C:$C,'custody %'!$T$71),"")</f>
        <v/>
      </c>
      <c r="AC76" s="167" t="str">
        <f>IFERROR(SUMIFS('caseload data'!M:M,'caseload data'!$C:$C,'custody %'!$T$71,'caseload data'!$D:$D,"SPO",'caseload data'!$B:$B,"custody")/SUMIFS('caseload data'!M:M,'caseload data'!$B:$B,"custody",'caseload data'!$C:$C,'custody %'!$T$71),"")</f>
        <v/>
      </c>
      <c r="AD76" s="167" t="str">
        <f>IFERROR(SUMIFS('caseload data'!N:N,'caseload data'!$C:$C,'custody %'!$T$71,'caseload data'!$D:$D,"SPO",'caseload data'!$B:$B,"custody")/SUMIFS('caseload data'!N:N,'caseload data'!$B:$B,"custody",'caseload data'!$C:$C,'custody %'!$T$71),"")</f>
        <v/>
      </c>
      <c r="AE76" s="167" t="str">
        <f>IFERROR(SUMIFS('caseload data'!O:O,'caseload data'!$C:$C,'custody %'!$T$71,'caseload data'!$D:$D,"SPO",'caseload data'!$B:$B,"custody")/SUMIFS('caseload data'!O:O,'caseload data'!$B:$B,"custody",'caseload data'!$C:$C,'custody %'!$T$71),"")</f>
        <v/>
      </c>
      <c r="AF76" s="167" t="str">
        <f>IFERROR(SUMIFS('caseload data'!P:P,'caseload data'!$C:$C,'custody %'!$T$71,'caseload data'!$D:$D,"SPO",'caseload data'!$B:$B,"custody")/SUMIFS('caseload data'!P:P,'caseload data'!$B:$B,"custody",'caseload data'!$C:$C,'custody %'!$T$71),"")</f>
        <v/>
      </c>
      <c r="AG76" s="167" t="str">
        <f>IFERROR(SUMIFS('caseload data'!Q:Q,'caseload data'!$C:$C,'custody %'!$T$71,'caseload data'!$D:$D,"SPO",'caseload data'!$B:$B,"custody")/SUMIFS('caseload data'!Q:Q,'caseload data'!$B:$B,"custody",'caseload data'!$C:$C,'custody %'!$T$71),"")</f>
        <v/>
      </c>
      <c r="AH76" s="167" t="str">
        <f>IFERROR(SUMIFS('caseload data'!R:R,'caseload data'!$C:$C,'custody %'!$T$71,'caseload data'!$D:$D,"SPO",'caseload data'!$B:$B,"custody")/SUMIFS('caseload data'!R:R,'caseload data'!$B:$B,"custody",'caseload data'!$C:$C,'custody %'!$T$71),"")</f>
        <v/>
      </c>
      <c r="AI76" s="167"/>
      <c r="AJ76" s="167"/>
    </row>
    <row r="78" spans="2:36" ht="25.5" customHeight="1" x14ac:dyDescent="0.15">
      <c r="B78" s="288">
        <f>HLOOKUP($B$5,Region_Table,22,0)</f>
        <v>0</v>
      </c>
      <c r="C78" s="548" t="s">
        <v>1073</v>
      </c>
      <c r="D78" s="549"/>
      <c r="E78" s="549"/>
      <c r="F78" s="549"/>
      <c r="G78" s="549"/>
      <c r="H78" s="549"/>
      <c r="I78" s="549"/>
      <c r="J78" s="549"/>
      <c r="K78" s="549"/>
      <c r="L78" s="549"/>
      <c r="M78" s="568"/>
      <c r="N78" s="568"/>
      <c r="O78" s="569"/>
      <c r="P78" s="543">
        <f>SUMIF('caseload data'!$C:$C,'custody %'!B78,'caseload data'!V:V)</f>
        <v>0</v>
      </c>
      <c r="Q78" s="560"/>
      <c r="R78" s="561"/>
      <c r="T78" s="288">
        <f>HLOOKUP($B$5,Region_Table,23,0)</f>
        <v>0</v>
      </c>
      <c r="U78" s="548" t="s">
        <v>1073</v>
      </c>
      <c r="V78" s="549"/>
      <c r="W78" s="549"/>
      <c r="X78" s="549"/>
      <c r="Y78" s="549"/>
      <c r="Z78" s="549"/>
      <c r="AA78" s="549"/>
      <c r="AB78" s="549"/>
      <c r="AC78" s="568"/>
      <c r="AD78" s="568"/>
      <c r="AE78" s="569"/>
      <c r="AF78" s="543">
        <f>SUMIF('caseload data'!$C:$C,'custody %'!T78,'caseload data'!V:V)</f>
        <v>0</v>
      </c>
      <c r="AG78" s="560"/>
      <c r="AH78" s="561"/>
    </row>
    <row r="79" spans="2:36" x14ac:dyDescent="0.15">
      <c r="B79" s="95"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167" t="str">
        <f>IFERROR(SUMIFS('caseload data'!E:E,'caseload data'!$C:$C,'custody %'!$B$78,'caseload data'!$D:$D,"PO",'caseload data'!$B:$B,"custody")/SUMIFS('caseload data'!E:E,'caseload data'!$B:$B,"custody",'caseload data'!$C:$C,'custody %'!$B$78),"")</f>
        <v/>
      </c>
      <c r="D80" s="167" t="str">
        <f>IFERROR(SUMIFS('caseload data'!F:F,'caseload data'!$C:$C,'custody %'!$B$78,'caseload data'!$D:$D,"PO",'caseload data'!$B:$B,"custody")/SUMIFS('caseload data'!F:F,'caseload data'!$B:$B,"custody",'caseload data'!$C:$C,'custody %'!$B$78),"")</f>
        <v/>
      </c>
      <c r="E80" s="167" t="str">
        <f>IFERROR(SUMIFS('caseload data'!G:G,'caseload data'!$C:$C,'custody %'!$B$78,'caseload data'!$D:$D,"PO",'caseload data'!$B:$B,"custody")/SUMIFS('caseload data'!G:G,'caseload data'!$B:$B,"custody",'caseload data'!$C:$C,'custody %'!$B$78),"")</f>
        <v/>
      </c>
      <c r="F80" s="167" t="str">
        <f>IFERROR(SUMIFS('caseload data'!H:H,'caseload data'!$C:$C,'custody %'!$B$78,'caseload data'!$D:$D,"PO",'caseload data'!$B:$B,"custody")/SUMIFS('caseload data'!H:H,'caseload data'!$B:$B,"custody",'caseload data'!$C:$C,'custody %'!$B$78),"")</f>
        <v/>
      </c>
      <c r="G80" s="167" t="str">
        <f>IFERROR(SUMIFS('caseload data'!I:I,'caseload data'!$C:$C,'custody %'!$B$78,'caseload data'!$D:$D,"PO",'caseload data'!$B:$B,"custody")/SUMIFS('caseload data'!I:I,'caseload data'!$B:$B,"custody",'caseload data'!$C:$C,'custody %'!$B$78),"")</f>
        <v/>
      </c>
      <c r="H80" s="167" t="str">
        <f>IFERROR(SUMIFS('caseload data'!J:J,'caseload data'!$C:$C,'custody %'!$B$78,'caseload data'!$D:$D,"PO",'caseload data'!$B:$B,"custody")/SUMIFS('caseload data'!J:J,'caseload data'!$B:$B,"custody",'caseload data'!$C:$C,'custody %'!$B$78),"")</f>
        <v/>
      </c>
      <c r="I80" s="167" t="str">
        <f>IFERROR(SUMIFS('caseload data'!K:K,'caseload data'!$C:$C,'custody %'!$B$78,'caseload data'!$D:$D,"PO",'caseload data'!$B:$B,"custody")/SUMIFS('caseload data'!K:K,'caseload data'!$B:$B,"custody",'caseload data'!$C:$C,'custody %'!$B$78),"")</f>
        <v/>
      </c>
      <c r="J80" s="167" t="str">
        <f>IFERROR(SUMIFS('caseload data'!L:L,'caseload data'!$C:$C,'custody %'!$B$78,'caseload data'!$D:$D,"PO",'caseload data'!$B:$B,"custody")/SUMIFS('caseload data'!L:L,'caseload data'!$B:$B,"custody",'caseload data'!$C:$C,'custody %'!$B$78),"")</f>
        <v/>
      </c>
      <c r="K80" s="167" t="str">
        <f>IFERROR(SUMIFS('caseload data'!M:M,'caseload data'!$C:$C,'custody %'!$B$78,'caseload data'!$D:$D,"PO",'caseload data'!$B:$B,"custody")/SUMIFS('caseload data'!M:M,'caseload data'!$B:$B,"custody",'caseload data'!$C:$C,'custody %'!$B$78),"")</f>
        <v/>
      </c>
      <c r="L80" s="167" t="str">
        <f>IFERROR(SUMIFS('caseload data'!N:N,'caseload data'!$C:$C,'custody %'!$B$78,'caseload data'!$D:$D,"PO",'caseload data'!$B:$B,"custody")/SUMIFS('caseload data'!N:N,'caseload data'!$B:$B,"custody",'caseload data'!$C:$C,'custody %'!$B$78),"")</f>
        <v/>
      </c>
      <c r="M80" s="167" t="str">
        <f>IFERROR(SUMIFS('caseload data'!O:O,'caseload data'!$C:$C,'custody %'!$B$78,'caseload data'!$D:$D,"PO",'caseload data'!$B:$B,"custody")/SUMIFS('caseload data'!O:O,'caseload data'!$B:$B,"custody",'caseload data'!$C:$C,'custody %'!$B$78),"")</f>
        <v/>
      </c>
      <c r="N80" s="167" t="str">
        <f>IFERROR(SUMIFS('caseload data'!P:P,'caseload data'!$C:$C,'custody %'!$B$78,'caseload data'!$D:$D,"PO",'caseload data'!$B:$B,"custody")/SUMIFS('caseload data'!P:P,'caseload data'!$B:$B,"custody",'caseload data'!$C:$C,'custody %'!$B$78),"")</f>
        <v/>
      </c>
      <c r="O80" s="167" t="str">
        <f>IFERROR(SUMIFS('caseload data'!Q:Q,'caseload data'!$C:$C,'custody %'!$B$78,'caseload data'!$D:$D,"PO",'caseload data'!$B:$B,"custody")/SUMIFS('caseload data'!Q:Q,'caseload data'!$B:$B,"custody",'caseload data'!$C:$C,'custody %'!$B$78),"")</f>
        <v/>
      </c>
      <c r="P80" s="167" t="str">
        <f>IFERROR(SUMIFS('caseload data'!R:R,'caseload data'!$C:$C,'custody %'!$B$78,'caseload data'!$D:$D,"PO",'caseload data'!$B:$B,"custody")/SUMIFS('caseload data'!R:R,'caseload data'!$B:$B,"custody",'caseload data'!$C:$C,'custody %'!$B$78),"")</f>
        <v/>
      </c>
      <c r="Q80" s="167" t="str">
        <f>IFERROR(SUMIFS('caseload data'!S:S,'caseload data'!$C:$C,'custody %'!$B$78,'caseload data'!$D:$D,"PO",'caseload data'!$B:$B,"custody")/SUMIFS('caseload data'!S:S,'caseload data'!$B:$B,"custody",'caseload data'!$C:$C,'custody %'!$B$78),"")</f>
        <v/>
      </c>
      <c r="R80" s="167" t="str">
        <f>IFERROR(SUMIFS('caseload data'!T:T,'caseload data'!$C:$C,'custody %'!$B$78,'caseload data'!$D:$D,"PO",'caseload data'!$B:$B,"custody")/SUMIFS('caseload data'!T:T,'caseload data'!$B:$B,"custody",'caseload data'!$C:$C,'custody %'!$B$78),"")</f>
        <v/>
      </c>
      <c r="T80" s="96" t="s">
        <v>947</v>
      </c>
      <c r="U80" s="167" t="str">
        <f>IFERROR(SUMIFS('caseload data'!E:E,'caseload data'!$C:$C,'custody %'!$T$78,'caseload data'!$D:$D,"PO",'caseload data'!$B:$B,"custody")/SUMIFS('caseload data'!E:E,'caseload data'!$B:$B,"custody",'caseload data'!$C:$C,'custody %'!$T$78),"")</f>
        <v/>
      </c>
      <c r="V80" s="167" t="str">
        <f>IFERROR(SUMIFS('caseload data'!F:F,'caseload data'!$C:$C,'custody %'!$T$78,'caseload data'!$D:$D,"PO",'caseload data'!$B:$B,"custody")/SUMIFS('caseload data'!F:F,'caseload data'!$B:$B,"custody",'caseload data'!$C:$C,'custody %'!$T$78),"")</f>
        <v/>
      </c>
      <c r="W80" s="167" t="str">
        <f>IFERROR(SUMIFS('caseload data'!G:G,'caseload data'!$C:$C,'custody %'!$T$78,'caseload data'!$D:$D,"PO",'caseload data'!$B:$B,"custody")/SUMIFS('caseload data'!G:G,'caseload data'!$B:$B,"custody",'caseload data'!$C:$C,'custody %'!$T$78),"")</f>
        <v/>
      </c>
      <c r="X80" s="167" t="str">
        <f>IFERROR(SUMIFS('caseload data'!H:H,'caseload data'!$C:$C,'custody %'!$T$78,'caseload data'!$D:$D,"PO",'caseload data'!$B:$B,"custody")/SUMIFS('caseload data'!H:H,'caseload data'!$B:$B,"custody",'caseload data'!$C:$C,'custody %'!$T$78),"")</f>
        <v/>
      </c>
      <c r="Y80" s="167" t="str">
        <f>IFERROR(SUMIFS('caseload data'!I:I,'caseload data'!$C:$C,'custody %'!$T$78,'caseload data'!$D:$D,"PO",'caseload data'!$B:$B,"custody")/SUMIFS('caseload data'!I:I,'caseload data'!$B:$B,"custody",'caseload data'!$C:$C,'custody %'!$T$78),"")</f>
        <v/>
      </c>
      <c r="Z80" s="167" t="str">
        <f>IFERROR(SUMIFS('caseload data'!J:J,'caseload data'!$C:$C,'custody %'!$T$78,'caseload data'!$D:$D,"PO",'caseload data'!$B:$B,"custody")/SUMIFS('caseload data'!J:J,'caseload data'!$B:$B,"custody",'caseload data'!$C:$C,'custody %'!$T$78),"")</f>
        <v/>
      </c>
      <c r="AA80" s="167" t="str">
        <f>IFERROR(SUMIFS('caseload data'!K:K,'caseload data'!$C:$C,'custody %'!$T$78,'caseload data'!$D:$D,"PO",'caseload data'!$B:$B,"custody")/SUMIFS('caseload data'!K:K,'caseload data'!$B:$B,"custody",'caseload data'!$C:$C,'custody %'!$T$78),"")</f>
        <v/>
      </c>
      <c r="AB80" s="167" t="str">
        <f>IFERROR(SUMIFS('caseload data'!L:L,'caseload data'!$C:$C,'custody %'!$T$78,'caseload data'!$D:$D,"PO",'caseload data'!$B:$B,"custody")/SUMIFS('caseload data'!L:L,'caseload data'!$B:$B,"custody",'caseload data'!$C:$C,'custody %'!$T$78),"")</f>
        <v/>
      </c>
      <c r="AC80" s="167" t="str">
        <f>IFERROR(SUMIFS('caseload data'!M:M,'caseload data'!$C:$C,'custody %'!$T$78,'caseload data'!$D:$D,"PO",'caseload data'!$B:$B,"custody")/SUMIFS('caseload data'!M:M,'caseload data'!$B:$B,"custody",'caseload data'!$C:$C,'custody %'!$T$78),"")</f>
        <v/>
      </c>
      <c r="AD80" s="167" t="str">
        <f>IFERROR(SUMIFS('caseload data'!N:N,'caseload data'!$C:$C,'custody %'!$T$78,'caseload data'!$D:$D,"PO",'caseload data'!$B:$B,"custody")/SUMIFS('caseload data'!N:N,'caseload data'!$B:$B,"custody",'caseload data'!$C:$C,'custody %'!$T$78),"")</f>
        <v/>
      </c>
      <c r="AE80" s="167" t="str">
        <f>IFERROR(SUMIFS('caseload data'!O:O,'caseload data'!$C:$C,'custody %'!$T$78,'caseload data'!$D:$D,"PO",'caseload data'!$B:$B,"custody")/SUMIFS('caseload data'!O:O,'caseload data'!$B:$B,"custody",'caseload data'!$C:$C,'custody %'!$T$78),"")</f>
        <v/>
      </c>
      <c r="AF80" s="167" t="str">
        <f>IFERROR(SUMIFS('caseload data'!P:P,'caseload data'!$C:$C,'custody %'!$T$78,'caseload data'!$D:$D,"PO",'caseload data'!$B:$B,"custody")/SUMIFS('caseload data'!P:P,'caseload data'!$B:$B,"custody",'caseload data'!$C:$C,'custody %'!$T$78),"")</f>
        <v/>
      </c>
      <c r="AG80" s="167" t="str">
        <f>IFERROR(SUMIFS('caseload data'!Q:Q,'caseload data'!$C:$C,'custody %'!$T$78,'caseload data'!$D:$D,"PO",'caseload data'!$B:$B,"custody")/SUMIFS('caseload data'!Q:Q,'caseload data'!$B:$B,"custody",'caseload data'!$C:$C,'custody %'!$T$78),"")</f>
        <v/>
      </c>
      <c r="AH80" s="167" t="str">
        <f>IFERROR(SUMIFS('caseload data'!R:R,'caseload data'!$C:$C,'custody %'!$T$78,'caseload data'!$D:$D,"PO",'caseload data'!$B:$B,"custody")/SUMIFS('caseload data'!R:R,'caseload data'!$B:$B,"custody",'caseload data'!$C:$C,'custody %'!$T$78),"")</f>
        <v/>
      </c>
      <c r="AI80" s="167"/>
      <c r="AJ80" s="167"/>
    </row>
    <row r="81" spans="2:36" x14ac:dyDescent="0.15">
      <c r="B81" s="97" t="s">
        <v>952</v>
      </c>
      <c r="C81" s="167" t="str">
        <f>IFERROR(SUMIFS('caseload data'!E:E,'caseload data'!$C:$C,'custody %'!$B$78,'caseload data'!$D:$D,"PSO",'caseload data'!$B:$B,"custody")/SUMIFS('caseload data'!E:E,'caseload data'!$B:$B,"custody",'caseload data'!$C:$C,'custody %'!$B$78),"")</f>
        <v/>
      </c>
      <c r="D81" s="167" t="str">
        <f>IFERROR(SUMIFS('caseload data'!F:F,'caseload data'!$C:$C,'custody %'!$B$78,'caseload data'!$D:$D,"PSO",'caseload data'!$B:$B,"custody")/SUMIFS('caseload data'!F:F,'caseload data'!$B:$B,"custody",'caseload data'!$C:$C,'custody %'!$B$78),"")</f>
        <v/>
      </c>
      <c r="E81" s="167" t="str">
        <f>IFERROR(SUMIFS('caseload data'!G:G,'caseload data'!$C:$C,'custody %'!$B$78,'caseload data'!$D:$D,"PSO",'caseload data'!$B:$B,"custody")/SUMIFS('caseload data'!G:G,'caseload data'!$B:$B,"custody",'caseload data'!$C:$C,'custody %'!$B$78),"")</f>
        <v/>
      </c>
      <c r="F81" s="167" t="str">
        <f>IFERROR(SUMIFS('caseload data'!H:H,'caseload data'!$C:$C,'custody %'!$B$78,'caseload data'!$D:$D,"PSO",'caseload data'!$B:$B,"custody")/SUMIFS('caseload data'!H:H,'caseload data'!$B:$B,"custody",'caseload data'!$C:$C,'custody %'!$B$78),"")</f>
        <v/>
      </c>
      <c r="G81" s="167" t="str">
        <f>IFERROR(SUMIFS('caseload data'!I:I,'caseload data'!$C:$C,'custody %'!$B$78,'caseload data'!$D:$D,"PSO",'caseload data'!$B:$B,"custody")/SUMIFS('caseload data'!I:I,'caseload data'!$B:$B,"custody",'caseload data'!$C:$C,'custody %'!$B$78),"")</f>
        <v/>
      </c>
      <c r="H81" s="167" t="str">
        <f>IFERROR(SUMIFS('caseload data'!J:J,'caseload data'!$C:$C,'custody %'!$B$78,'caseload data'!$D:$D,"PSO",'caseload data'!$B:$B,"custody")/SUMIFS('caseload data'!J:J,'caseload data'!$B:$B,"custody",'caseload data'!$C:$C,'custody %'!$B$78),"")</f>
        <v/>
      </c>
      <c r="I81" s="167" t="str">
        <f>IFERROR(SUMIFS('caseload data'!K:K,'caseload data'!$C:$C,'custody %'!$B$78,'caseload data'!$D:$D,"PSO",'caseload data'!$B:$B,"custody")/SUMIFS('caseload data'!K:K,'caseload data'!$B:$B,"custody",'caseload data'!$C:$C,'custody %'!$B$78),"")</f>
        <v/>
      </c>
      <c r="J81" s="167" t="str">
        <f>IFERROR(SUMIFS('caseload data'!L:L,'caseload data'!$C:$C,'custody %'!$B$78,'caseload data'!$D:$D,"PSO",'caseload data'!$B:$B,"custody")/SUMIFS('caseload data'!L:L,'caseload data'!$B:$B,"custody",'caseload data'!$C:$C,'custody %'!$B$78),"")</f>
        <v/>
      </c>
      <c r="K81" s="167" t="str">
        <f>IFERROR(SUMIFS('caseload data'!M:M,'caseload data'!$C:$C,'custody %'!$B$78,'caseload data'!$D:$D,"PSO",'caseload data'!$B:$B,"custody")/SUMIFS('caseload data'!M:M,'caseload data'!$B:$B,"custody",'caseload data'!$C:$C,'custody %'!$B$78),"")</f>
        <v/>
      </c>
      <c r="L81" s="167" t="str">
        <f>IFERROR(SUMIFS('caseload data'!N:N,'caseload data'!$C:$C,'custody %'!$B$78,'caseload data'!$D:$D,"PSO",'caseload data'!$B:$B,"custody")/SUMIFS('caseload data'!N:N,'caseload data'!$B:$B,"custody",'caseload data'!$C:$C,'custody %'!$B$78),"")</f>
        <v/>
      </c>
      <c r="M81" s="167" t="str">
        <f>IFERROR(SUMIFS('caseload data'!O:O,'caseload data'!$C:$C,'custody %'!$B$78,'caseload data'!$D:$D,"PSO",'caseload data'!$B:$B,"custody")/SUMIFS('caseload data'!O:O,'caseload data'!$B:$B,"custody",'caseload data'!$C:$C,'custody %'!$B$78),"")</f>
        <v/>
      </c>
      <c r="N81" s="167" t="str">
        <f>IFERROR(SUMIFS('caseload data'!P:P,'caseload data'!$C:$C,'custody %'!$B$78,'caseload data'!$D:$D,"PSO",'caseload data'!$B:$B,"custody")/SUMIFS('caseload data'!P:P,'caseload data'!$B:$B,"custody",'caseload data'!$C:$C,'custody %'!$B$78),"")</f>
        <v/>
      </c>
      <c r="O81" s="167" t="str">
        <f>IFERROR(SUMIFS('caseload data'!Q:Q,'caseload data'!$C:$C,'custody %'!$B$78,'caseload data'!$D:$D,"PSO",'caseload data'!$B:$B,"custody")/SUMIFS('caseload data'!Q:Q,'caseload data'!$B:$B,"custody",'caseload data'!$C:$C,'custody %'!$B$78),"")</f>
        <v/>
      </c>
      <c r="P81" s="167" t="str">
        <f>IFERROR(SUMIFS('caseload data'!R:R,'caseload data'!$C:$C,'custody %'!$B$78,'caseload data'!$D:$D,"PSO",'caseload data'!$B:$B,"custody")/SUMIFS('caseload data'!R:R,'caseload data'!$B:$B,"custody",'caseload data'!$C:$C,'custody %'!$B$78),"")</f>
        <v/>
      </c>
      <c r="Q81" s="167" t="str">
        <f>IFERROR(SUMIFS('caseload data'!S:S,'caseload data'!$C:$C,'custody %'!$B$78,'caseload data'!$D:$D,"PSO",'caseload data'!$B:$B,"custody")/SUMIFS('caseload data'!S:S,'caseload data'!$B:$B,"custody",'caseload data'!$C:$C,'custody %'!$B$78),"")</f>
        <v/>
      </c>
      <c r="R81" s="167" t="str">
        <f>IFERROR(SUMIFS('caseload data'!T:T,'caseload data'!$C:$C,'custody %'!$B$78,'caseload data'!$D:$D,"PSO",'caseload data'!$B:$B,"custody")/SUMIFS('caseload data'!T:T,'caseload data'!$B:$B,"custody",'caseload data'!$C:$C,'custody %'!$B$78),"")</f>
        <v/>
      </c>
      <c r="T81" s="97" t="s">
        <v>952</v>
      </c>
      <c r="U81" s="167" t="str">
        <f>IFERROR(SUMIFS('caseload data'!E:E,'caseload data'!$C:$C,'custody %'!$T$78,'caseload data'!$D:$D,"PSO",'caseload data'!$B:$B,"custody")/SUMIFS('caseload data'!E:E,'caseload data'!$B:$B,"custody",'caseload data'!$C:$C,'custody %'!$T$78),"")</f>
        <v/>
      </c>
      <c r="V81" s="167" t="str">
        <f>IFERROR(SUMIFS('caseload data'!F:F,'caseload data'!$C:$C,'custody %'!$T$78,'caseload data'!$D:$D,"PSO",'caseload data'!$B:$B,"custody")/SUMIFS('caseload data'!F:F,'caseload data'!$B:$B,"custody",'caseload data'!$C:$C,'custody %'!$T$78),"")</f>
        <v/>
      </c>
      <c r="W81" s="167" t="str">
        <f>IFERROR(SUMIFS('caseload data'!G:G,'caseload data'!$C:$C,'custody %'!$T$78,'caseload data'!$D:$D,"PSO",'caseload data'!$B:$B,"custody")/SUMIFS('caseload data'!G:G,'caseload data'!$B:$B,"custody",'caseload data'!$C:$C,'custody %'!$T$78),"")</f>
        <v/>
      </c>
      <c r="X81" s="167" t="str">
        <f>IFERROR(SUMIFS('caseload data'!H:H,'caseload data'!$C:$C,'custody %'!$T$78,'caseload data'!$D:$D,"PSO",'caseload data'!$B:$B,"custody")/SUMIFS('caseload data'!H:H,'caseload data'!$B:$B,"custody",'caseload data'!$C:$C,'custody %'!$T$78),"")</f>
        <v/>
      </c>
      <c r="Y81" s="167" t="str">
        <f>IFERROR(SUMIFS('caseload data'!I:I,'caseload data'!$C:$C,'custody %'!$T$78,'caseload data'!$D:$D,"PSO",'caseload data'!$B:$B,"custody")/SUMIFS('caseload data'!I:I,'caseload data'!$B:$B,"custody",'caseload data'!$C:$C,'custody %'!$T$78),"")</f>
        <v/>
      </c>
      <c r="Z81" s="167" t="str">
        <f>IFERROR(SUMIFS('caseload data'!J:J,'caseload data'!$C:$C,'custody %'!$T$78,'caseload data'!$D:$D,"PSO",'caseload data'!$B:$B,"custody")/SUMIFS('caseload data'!J:J,'caseload data'!$B:$B,"custody",'caseload data'!$C:$C,'custody %'!$T$78),"")</f>
        <v/>
      </c>
      <c r="AA81" s="167" t="str">
        <f>IFERROR(SUMIFS('caseload data'!K:K,'caseload data'!$C:$C,'custody %'!$T$78,'caseload data'!$D:$D,"PSO",'caseload data'!$B:$B,"custody")/SUMIFS('caseload data'!K:K,'caseload data'!$B:$B,"custody",'caseload data'!$C:$C,'custody %'!$T$78),"")</f>
        <v/>
      </c>
      <c r="AB81" s="167" t="str">
        <f>IFERROR(SUMIFS('caseload data'!L:L,'caseload data'!$C:$C,'custody %'!$T$78,'caseload data'!$D:$D,"PSO",'caseload data'!$B:$B,"custody")/SUMIFS('caseload data'!L:L,'caseload data'!$B:$B,"custody",'caseload data'!$C:$C,'custody %'!$T$78),"")</f>
        <v/>
      </c>
      <c r="AC81" s="167" t="str">
        <f>IFERROR(SUMIFS('caseload data'!M:M,'caseload data'!$C:$C,'custody %'!$T$78,'caseload data'!$D:$D,"PSO",'caseload data'!$B:$B,"custody")/SUMIFS('caseload data'!M:M,'caseload data'!$B:$B,"custody",'caseload data'!$C:$C,'custody %'!$T$78),"")</f>
        <v/>
      </c>
      <c r="AD81" s="167" t="str">
        <f>IFERROR(SUMIFS('caseload data'!N:N,'caseload data'!$C:$C,'custody %'!$T$78,'caseload data'!$D:$D,"PSO",'caseload data'!$B:$B,"custody")/SUMIFS('caseload data'!N:N,'caseload data'!$B:$B,"custody",'caseload data'!$C:$C,'custody %'!$T$78),"")</f>
        <v/>
      </c>
      <c r="AE81" s="167" t="str">
        <f>IFERROR(SUMIFS('caseload data'!O:O,'caseload data'!$C:$C,'custody %'!$T$78,'caseload data'!$D:$D,"PSO",'caseload data'!$B:$B,"custody")/SUMIFS('caseload data'!O:O,'caseload data'!$B:$B,"custody",'caseload data'!$C:$C,'custody %'!$T$78),"")</f>
        <v/>
      </c>
      <c r="AF81" s="167" t="str">
        <f>IFERROR(SUMIFS('caseload data'!P:P,'caseload data'!$C:$C,'custody %'!$T$78,'caseload data'!$D:$D,"PSO",'caseload data'!$B:$B,"custody")/SUMIFS('caseload data'!P:P,'caseload data'!$B:$B,"custody",'caseload data'!$C:$C,'custody %'!$T$78),"")</f>
        <v/>
      </c>
      <c r="AG81" s="167" t="str">
        <f>IFERROR(SUMIFS('caseload data'!Q:Q,'caseload data'!$C:$C,'custody %'!$T$78,'caseload data'!$D:$D,"PSO",'caseload data'!$B:$B,"custody")/SUMIFS('caseload data'!Q:Q,'caseload data'!$B:$B,"custody",'caseload data'!$C:$C,'custody %'!$T$78),"")</f>
        <v/>
      </c>
      <c r="AH81" s="167" t="str">
        <f>IFERROR(SUMIFS('caseload data'!R:R,'caseload data'!$C:$C,'custody %'!$T$78,'caseload data'!$D:$D,"PSO",'caseload data'!$B:$B,"custody")/SUMIFS('caseload data'!R:R,'caseload data'!$B:$B,"custody",'caseload data'!$C:$C,'custody %'!$T$78),"")</f>
        <v/>
      </c>
      <c r="AI81" s="167"/>
      <c r="AJ81" s="167"/>
    </row>
    <row r="82" spans="2:36" x14ac:dyDescent="0.15">
      <c r="B82" s="97" t="s">
        <v>953</v>
      </c>
      <c r="C82" s="167" t="str">
        <f>IFERROR(SUMIFS('caseload data'!E:E,'caseload data'!$C:$C,'custody %'!$B$78,'caseload data'!$D:$D,"TPO",'caseload data'!$B:$B,"custody")/SUMIFS('caseload data'!E:E,'caseload data'!$B:$B,"custody",'caseload data'!$C:$C,'custody %'!$B$78),"")</f>
        <v/>
      </c>
      <c r="D82" s="167" t="str">
        <f>IFERROR(SUMIFS('caseload data'!F:F,'caseload data'!$C:$C,'custody %'!$B$78,'caseload data'!$D:$D,"TPO",'caseload data'!$B:$B,"custody")/SUMIFS('caseload data'!F:F,'caseload data'!$B:$B,"custody",'caseload data'!$C:$C,'custody %'!$B$78),"")</f>
        <v/>
      </c>
      <c r="E82" s="167" t="str">
        <f>IFERROR(SUMIFS('caseload data'!G:G,'caseload data'!$C:$C,'custody %'!$B$78,'caseload data'!$D:$D,"TPO",'caseload data'!$B:$B,"custody")/SUMIFS('caseload data'!G:G,'caseload data'!$B:$B,"custody",'caseload data'!$C:$C,'custody %'!$B$78),"")</f>
        <v/>
      </c>
      <c r="F82" s="167" t="str">
        <f>IFERROR(SUMIFS('caseload data'!H:H,'caseload data'!$C:$C,'custody %'!$B$78,'caseload data'!$D:$D,"TPO",'caseload data'!$B:$B,"custody")/SUMIFS('caseload data'!H:H,'caseload data'!$B:$B,"custody",'caseload data'!$C:$C,'custody %'!$B$78),"")</f>
        <v/>
      </c>
      <c r="G82" s="167" t="str">
        <f>IFERROR(SUMIFS('caseload data'!I:I,'caseload data'!$C:$C,'custody %'!$B$78,'caseload data'!$D:$D,"TPO",'caseload data'!$B:$B,"custody")/SUMIFS('caseload data'!I:I,'caseload data'!$B:$B,"custody",'caseload data'!$C:$C,'custody %'!$B$78),"")</f>
        <v/>
      </c>
      <c r="H82" s="167" t="str">
        <f>IFERROR(SUMIFS('caseload data'!J:J,'caseload data'!$C:$C,'custody %'!$B$78,'caseload data'!$D:$D,"TPO",'caseload data'!$B:$B,"custody")/SUMIFS('caseload data'!J:J,'caseload data'!$B:$B,"custody",'caseload data'!$C:$C,'custody %'!$B$78),"")</f>
        <v/>
      </c>
      <c r="I82" s="167" t="str">
        <f>IFERROR(SUMIFS('caseload data'!K:K,'caseload data'!$C:$C,'custody %'!$B$78,'caseload data'!$D:$D,"TPO",'caseload data'!$B:$B,"custody")/SUMIFS('caseload data'!K:K,'caseload data'!$B:$B,"custody",'caseload data'!$C:$C,'custody %'!$B$78),"")</f>
        <v/>
      </c>
      <c r="J82" s="167" t="str">
        <f>IFERROR(SUMIFS('caseload data'!L:L,'caseload data'!$C:$C,'custody %'!$B$78,'caseload data'!$D:$D,"TPO",'caseload data'!$B:$B,"custody")/SUMIFS('caseload data'!L:L,'caseload data'!$B:$B,"custody",'caseload data'!$C:$C,'custody %'!$B$78),"")</f>
        <v/>
      </c>
      <c r="K82" s="167" t="str">
        <f>IFERROR(SUMIFS('caseload data'!M:M,'caseload data'!$C:$C,'custody %'!$B$78,'caseload data'!$D:$D,"TPO",'caseload data'!$B:$B,"custody")/SUMIFS('caseload data'!M:M,'caseload data'!$B:$B,"custody",'caseload data'!$C:$C,'custody %'!$B$78),"")</f>
        <v/>
      </c>
      <c r="L82" s="167" t="str">
        <f>IFERROR(SUMIFS('caseload data'!N:N,'caseload data'!$C:$C,'custody %'!$B$78,'caseload data'!$D:$D,"TPO",'caseload data'!$B:$B,"custody")/SUMIFS('caseload data'!N:N,'caseload data'!$B:$B,"custody",'caseload data'!$C:$C,'custody %'!$B$78),"")</f>
        <v/>
      </c>
      <c r="M82" s="167" t="str">
        <f>IFERROR(SUMIFS('caseload data'!O:O,'caseload data'!$C:$C,'custody %'!$B$78,'caseload data'!$D:$D,"TPO",'caseload data'!$B:$B,"custody")/SUMIFS('caseload data'!O:O,'caseload data'!$B:$B,"custody",'caseload data'!$C:$C,'custody %'!$B$78),"")</f>
        <v/>
      </c>
      <c r="N82" s="167" t="str">
        <f>IFERROR(SUMIFS('caseload data'!P:P,'caseload data'!$C:$C,'custody %'!$B$78,'caseload data'!$D:$D,"TPO",'caseload data'!$B:$B,"custody")/SUMIFS('caseload data'!P:P,'caseload data'!$B:$B,"custody",'caseload data'!$C:$C,'custody %'!$B$78),"")</f>
        <v/>
      </c>
      <c r="O82" s="167" t="str">
        <f>IFERROR(SUMIFS('caseload data'!Q:Q,'caseload data'!$C:$C,'custody %'!$B$78,'caseload data'!$D:$D,"TPO",'caseload data'!$B:$B,"custody")/SUMIFS('caseload data'!Q:Q,'caseload data'!$B:$B,"custody",'caseload data'!$C:$C,'custody %'!$B$78),"")</f>
        <v/>
      </c>
      <c r="P82" s="167" t="str">
        <f>IFERROR(SUMIFS('caseload data'!R:R,'caseload data'!$C:$C,'custody %'!$B$78,'caseload data'!$D:$D,"TPO",'caseload data'!$B:$B,"custody")/SUMIFS('caseload data'!R:R,'caseload data'!$B:$B,"custody",'caseload data'!$C:$C,'custody %'!$B$78),"")</f>
        <v/>
      </c>
      <c r="Q82" s="167" t="str">
        <f>IFERROR(SUMIFS('caseload data'!S:S,'caseload data'!$C:$C,'custody %'!$B$78,'caseload data'!$D:$D,"TPO",'caseload data'!$B:$B,"custody")/SUMIFS('caseload data'!S:S,'caseload data'!$B:$B,"custody",'caseload data'!$C:$C,'custody %'!$B$78),"")</f>
        <v/>
      </c>
      <c r="R82" s="167" t="str">
        <f>IFERROR(SUMIFS('caseload data'!T:T,'caseload data'!$C:$C,'custody %'!$B$78,'caseload data'!$D:$D,"TPO",'caseload data'!$B:$B,"custody")/SUMIFS('caseload data'!T:T,'caseload data'!$B:$B,"custody",'caseload data'!$C:$C,'custody %'!$B$78),"")</f>
        <v/>
      </c>
      <c r="T82" s="97" t="s">
        <v>953</v>
      </c>
      <c r="U82" s="167" t="str">
        <f>IFERROR(SUMIFS('caseload data'!E:E,'caseload data'!$C:$C,'custody %'!$T$78,'caseload data'!$D:$D,"TPO",'caseload data'!$B:$B,"custody")/SUMIFS('caseload data'!E:E,'caseload data'!$B:$B,"custody",'caseload data'!$C:$C,'custody %'!$T$78),"")</f>
        <v/>
      </c>
      <c r="V82" s="167" t="str">
        <f>IFERROR(SUMIFS('caseload data'!F:F,'caseload data'!$C:$C,'custody %'!$T$78,'caseload data'!$D:$D,"TPO",'caseload data'!$B:$B,"custody")/SUMIFS('caseload data'!F:F,'caseload data'!$B:$B,"custody",'caseload data'!$C:$C,'custody %'!$T$78),"")</f>
        <v/>
      </c>
      <c r="W82" s="167" t="str">
        <f>IFERROR(SUMIFS('caseload data'!G:G,'caseload data'!$C:$C,'custody %'!$T$78,'caseload data'!$D:$D,"TPO",'caseload data'!$B:$B,"custody")/SUMIFS('caseload data'!G:G,'caseload data'!$B:$B,"custody",'caseload data'!$C:$C,'custody %'!$T$78),"")</f>
        <v/>
      </c>
      <c r="X82" s="167" t="str">
        <f>IFERROR(SUMIFS('caseload data'!H:H,'caseload data'!$C:$C,'custody %'!$T$78,'caseload data'!$D:$D,"TPO",'caseload data'!$B:$B,"custody")/SUMIFS('caseload data'!H:H,'caseload data'!$B:$B,"custody",'caseload data'!$C:$C,'custody %'!$T$78),"")</f>
        <v/>
      </c>
      <c r="Y82" s="167" t="str">
        <f>IFERROR(SUMIFS('caseload data'!I:I,'caseload data'!$C:$C,'custody %'!$T$78,'caseload data'!$D:$D,"TPO",'caseload data'!$B:$B,"custody")/SUMIFS('caseload data'!I:I,'caseload data'!$B:$B,"custody",'caseload data'!$C:$C,'custody %'!$T$78),"")</f>
        <v/>
      </c>
      <c r="Z82" s="167" t="str">
        <f>IFERROR(SUMIFS('caseload data'!J:J,'caseload data'!$C:$C,'custody %'!$T$78,'caseload data'!$D:$D,"TPO",'caseload data'!$B:$B,"custody")/SUMIFS('caseload data'!J:J,'caseload data'!$B:$B,"custody",'caseload data'!$C:$C,'custody %'!$T$78),"")</f>
        <v/>
      </c>
      <c r="AA82" s="167" t="str">
        <f>IFERROR(SUMIFS('caseload data'!K:K,'caseload data'!$C:$C,'custody %'!$T$78,'caseload data'!$D:$D,"TPO",'caseload data'!$B:$B,"custody")/SUMIFS('caseload data'!K:K,'caseload data'!$B:$B,"custody",'caseload data'!$C:$C,'custody %'!$T$78),"")</f>
        <v/>
      </c>
      <c r="AB82" s="167" t="str">
        <f>IFERROR(SUMIFS('caseload data'!L:L,'caseload data'!$C:$C,'custody %'!$T$78,'caseload data'!$D:$D,"TPO",'caseload data'!$B:$B,"custody")/SUMIFS('caseload data'!L:L,'caseload data'!$B:$B,"custody",'caseload data'!$C:$C,'custody %'!$T$78),"")</f>
        <v/>
      </c>
      <c r="AC82" s="167" t="str">
        <f>IFERROR(SUMIFS('caseload data'!M:M,'caseload data'!$C:$C,'custody %'!$T$78,'caseload data'!$D:$D,"TPO",'caseload data'!$B:$B,"custody")/SUMIFS('caseload data'!M:M,'caseload data'!$B:$B,"custody",'caseload data'!$C:$C,'custody %'!$T$78),"")</f>
        <v/>
      </c>
      <c r="AD82" s="167" t="str">
        <f>IFERROR(SUMIFS('caseload data'!N:N,'caseload data'!$C:$C,'custody %'!$T$78,'caseload data'!$D:$D,"TPO",'caseload data'!$B:$B,"custody")/SUMIFS('caseload data'!N:N,'caseload data'!$B:$B,"custody",'caseload data'!$C:$C,'custody %'!$T$78),"")</f>
        <v/>
      </c>
      <c r="AE82" s="167" t="str">
        <f>IFERROR(SUMIFS('caseload data'!O:O,'caseload data'!$C:$C,'custody %'!$T$78,'caseload data'!$D:$D,"TPO",'caseload data'!$B:$B,"custody")/SUMIFS('caseload data'!O:O,'caseload data'!$B:$B,"custody",'caseload data'!$C:$C,'custody %'!$T$78),"")</f>
        <v/>
      </c>
      <c r="AF82" s="167" t="str">
        <f>IFERROR(SUMIFS('caseload data'!P:P,'caseload data'!$C:$C,'custody %'!$T$78,'caseload data'!$D:$D,"TPO",'caseload data'!$B:$B,"custody")/SUMIFS('caseload data'!P:P,'caseload data'!$B:$B,"custody",'caseload data'!$C:$C,'custody %'!$T$78),"")</f>
        <v/>
      </c>
      <c r="AG82" s="167" t="str">
        <f>IFERROR(SUMIFS('caseload data'!Q:Q,'caseload data'!$C:$C,'custody %'!$T$78,'caseload data'!$D:$D,"TPO",'caseload data'!$B:$B,"custody")/SUMIFS('caseload data'!Q:Q,'caseload data'!$B:$B,"custody",'caseload data'!$C:$C,'custody %'!$T$78),"")</f>
        <v/>
      </c>
      <c r="AH82" s="167" t="str">
        <f>IFERROR(SUMIFS('caseload data'!R:R,'caseload data'!$C:$C,'custody %'!$T$78,'caseload data'!$D:$D,"TPO",'caseload data'!$B:$B,"custody")/SUMIFS('caseload data'!R:R,'caseload data'!$B:$B,"custody",'caseload data'!$C:$C,'custody %'!$T$78),"")</f>
        <v/>
      </c>
      <c r="AI82" s="167"/>
      <c r="AJ82" s="167"/>
    </row>
    <row r="83" spans="2:36" x14ac:dyDescent="0.15">
      <c r="B83" s="98" t="s">
        <v>954</v>
      </c>
      <c r="C83" s="167" t="str">
        <f>IFERROR(SUMIFS('caseload data'!E:E,'caseload data'!$C:$C,'custody %'!$B$78,'caseload data'!$D:$D,"SPO",'caseload data'!$B:$B,"custody")/SUMIFS('caseload data'!E:E,'caseload data'!$B:$B,"custody",'caseload data'!$C:$C,'custody %'!$B$78),"")</f>
        <v/>
      </c>
      <c r="D83" s="167" t="str">
        <f>IFERROR(SUMIFS('caseload data'!F:F,'caseload data'!$C:$C,'custody %'!$B$78,'caseload data'!$D:$D,"SPO",'caseload data'!$B:$B,"custody")/SUMIFS('caseload data'!F:F,'caseload data'!$B:$B,"custody",'caseload data'!$C:$C,'custody %'!$B$78),"")</f>
        <v/>
      </c>
      <c r="E83" s="167" t="str">
        <f>IFERROR(SUMIFS('caseload data'!G:G,'caseload data'!$C:$C,'custody %'!$B$78,'caseload data'!$D:$D,"SPO",'caseload data'!$B:$B,"custody")/SUMIFS('caseload data'!G:G,'caseload data'!$B:$B,"custody",'caseload data'!$C:$C,'custody %'!$B$78),"")</f>
        <v/>
      </c>
      <c r="F83" s="167" t="str">
        <f>IFERROR(SUMIFS('caseload data'!H:H,'caseload data'!$C:$C,'custody %'!$B$78,'caseload data'!$D:$D,"SPO",'caseload data'!$B:$B,"custody")/SUMIFS('caseload data'!H:H,'caseload data'!$B:$B,"custody",'caseload data'!$C:$C,'custody %'!$B$78),"")</f>
        <v/>
      </c>
      <c r="G83" s="167" t="str">
        <f>IFERROR(SUMIFS('caseload data'!I:I,'caseload data'!$C:$C,'custody %'!$B$78,'caseload data'!$D:$D,"SPO",'caseload data'!$B:$B,"custody")/SUMIFS('caseload data'!I:I,'caseload data'!$B:$B,"custody",'caseload data'!$C:$C,'custody %'!$B$78),"")</f>
        <v/>
      </c>
      <c r="H83" s="167" t="str">
        <f>IFERROR(SUMIFS('caseload data'!J:J,'caseload data'!$C:$C,'custody %'!$B$78,'caseload data'!$D:$D,"SPO",'caseload data'!$B:$B,"custody")/SUMIFS('caseload data'!J:J,'caseload data'!$B:$B,"custody",'caseload data'!$C:$C,'custody %'!$B$78),"")</f>
        <v/>
      </c>
      <c r="I83" s="167" t="str">
        <f>IFERROR(SUMIFS('caseload data'!K:K,'caseload data'!$C:$C,'custody %'!$B$78,'caseload data'!$D:$D,"SPO",'caseload data'!$B:$B,"custody")/SUMIFS('caseload data'!K:K,'caseload data'!$B:$B,"custody",'caseload data'!$C:$C,'custody %'!$B$78),"")</f>
        <v/>
      </c>
      <c r="J83" s="167" t="str">
        <f>IFERROR(SUMIFS('caseload data'!L:L,'caseload data'!$C:$C,'custody %'!$B$78,'caseload data'!$D:$D,"SPO",'caseload data'!$B:$B,"custody")/SUMIFS('caseload data'!L:L,'caseload data'!$B:$B,"custody",'caseload data'!$C:$C,'custody %'!$B$78),"")</f>
        <v/>
      </c>
      <c r="K83" s="167" t="str">
        <f>IFERROR(SUMIFS('caseload data'!M:M,'caseload data'!$C:$C,'custody %'!$B$78,'caseload data'!$D:$D,"SPO",'caseload data'!$B:$B,"custody")/SUMIFS('caseload data'!M:M,'caseload data'!$B:$B,"custody",'caseload data'!$C:$C,'custody %'!$B$78),"")</f>
        <v/>
      </c>
      <c r="L83" s="167" t="str">
        <f>IFERROR(SUMIFS('caseload data'!N:N,'caseload data'!$C:$C,'custody %'!$B$78,'caseload data'!$D:$D,"SPO",'caseload data'!$B:$B,"custody")/SUMIFS('caseload data'!N:N,'caseload data'!$B:$B,"custody",'caseload data'!$C:$C,'custody %'!$B$78),"")</f>
        <v/>
      </c>
      <c r="M83" s="167" t="str">
        <f>IFERROR(SUMIFS('caseload data'!O:O,'caseload data'!$C:$C,'custody %'!$B$78,'caseload data'!$D:$D,"SPO",'caseload data'!$B:$B,"custody")/SUMIFS('caseload data'!O:O,'caseload data'!$B:$B,"custody",'caseload data'!$C:$C,'custody %'!$B$78),"")</f>
        <v/>
      </c>
      <c r="N83" s="167" t="str">
        <f>IFERROR(SUMIFS('caseload data'!P:P,'caseload data'!$C:$C,'custody %'!$B$78,'caseload data'!$D:$D,"SPO",'caseload data'!$B:$B,"custody")/SUMIFS('caseload data'!P:P,'caseload data'!$B:$B,"custody",'caseload data'!$C:$C,'custody %'!$B$78),"")</f>
        <v/>
      </c>
      <c r="O83" s="167" t="str">
        <f>IFERROR(SUMIFS('caseload data'!Q:Q,'caseload data'!$C:$C,'custody %'!$B$78,'caseload data'!$D:$D,"SPO",'caseload data'!$B:$B,"custody")/SUMIFS('caseload data'!Q:Q,'caseload data'!$B:$B,"custody",'caseload data'!$C:$C,'custody %'!$B$78),"")</f>
        <v/>
      </c>
      <c r="P83" s="167" t="str">
        <f>IFERROR(SUMIFS('caseload data'!R:R,'caseload data'!$C:$C,'custody %'!$B$78,'caseload data'!$D:$D,"SPO",'caseload data'!$B:$B,"custody")/SUMIFS('caseload data'!R:R,'caseload data'!$B:$B,"custody",'caseload data'!$C:$C,'custody %'!$B$78),"")</f>
        <v/>
      </c>
      <c r="Q83" s="167" t="str">
        <f>IFERROR(SUMIFS('caseload data'!S:S,'caseload data'!$C:$C,'custody %'!$B$78,'caseload data'!$D:$D,"SPO",'caseload data'!$B:$B,"custody")/SUMIFS('caseload data'!S:S,'caseload data'!$B:$B,"custody",'caseload data'!$C:$C,'custody %'!$B$78),"")</f>
        <v/>
      </c>
      <c r="R83" s="167" t="str">
        <f>IFERROR(SUMIFS('caseload data'!T:T,'caseload data'!$C:$C,'custody %'!$B$78,'caseload data'!$D:$D,"SPO",'caseload data'!$B:$B,"custody")/SUMIFS('caseload data'!T:T,'caseload data'!$B:$B,"custody",'caseload data'!$C:$C,'custody %'!$B$78),"")</f>
        <v/>
      </c>
      <c r="T83" s="98" t="s">
        <v>954</v>
      </c>
      <c r="U83" s="167" t="str">
        <f>IFERROR(SUMIFS('caseload data'!E:E,'caseload data'!$C:$C,'custody %'!$T$78,'caseload data'!$D:$D,"SPO",'caseload data'!$B:$B,"custody")/SUMIFS('caseload data'!E:E,'caseload data'!$B:$B,"custody",'caseload data'!$C:$C,'custody %'!$T$78),"")</f>
        <v/>
      </c>
      <c r="V83" s="167" t="str">
        <f>IFERROR(SUMIFS('caseload data'!F:F,'caseload data'!$C:$C,'custody %'!$T$78,'caseload data'!$D:$D,"SPO",'caseload data'!$B:$B,"custody")/SUMIFS('caseload data'!F:F,'caseload data'!$B:$B,"custody",'caseload data'!$C:$C,'custody %'!$T$78),"")</f>
        <v/>
      </c>
      <c r="W83" s="167" t="str">
        <f>IFERROR(SUMIFS('caseload data'!G:G,'caseload data'!$C:$C,'custody %'!$T$78,'caseload data'!$D:$D,"SPO",'caseload data'!$B:$B,"custody")/SUMIFS('caseload data'!G:G,'caseload data'!$B:$B,"custody",'caseload data'!$C:$C,'custody %'!$T$78),"")</f>
        <v/>
      </c>
      <c r="X83" s="167" t="str">
        <f>IFERROR(SUMIFS('caseload data'!H:H,'caseload data'!$C:$C,'custody %'!$T$78,'caseload data'!$D:$D,"SPO",'caseload data'!$B:$B,"custody")/SUMIFS('caseload data'!H:H,'caseload data'!$B:$B,"custody",'caseload data'!$C:$C,'custody %'!$T$78),"")</f>
        <v/>
      </c>
      <c r="Y83" s="167" t="str">
        <f>IFERROR(SUMIFS('caseload data'!I:I,'caseload data'!$C:$C,'custody %'!$T$78,'caseload data'!$D:$D,"SPO",'caseload data'!$B:$B,"custody")/SUMIFS('caseload data'!I:I,'caseload data'!$B:$B,"custody",'caseload data'!$C:$C,'custody %'!$T$78),"")</f>
        <v/>
      </c>
      <c r="Z83" s="167" t="str">
        <f>IFERROR(SUMIFS('caseload data'!J:J,'caseload data'!$C:$C,'custody %'!$T$78,'caseload data'!$D:$D,"SPO",'caseload data'!$B:$B,"custody")/SUMIFS('caseload data'!J:J,'caseload data'!$B:$B,"custody",'caseload data'!$C:$C,'custody %'!$T$78),"")</f>
        <v/>
      </c>
      <c r="AA83" s="167" t="str">
        <f>IFERROR(SUMIFS('caseload data'!K:K,'caseload data'!$C:$C,'custody %'!$T$78,'caseload data'!$D:$D,"SPO",'caseload data'!$B:$B,"custody")/SUMIFS('caseload data'!K:K,'caseload data'!$B:$B,"custody",'caseload data'!$C:$C,'custody %'!$T$78),"")</f>
        <v/>
      </c>
      <c r="AB83" s="167" t="str">
        <f>IFERROR(SUMIFS('caseload data'!L:L,'caseload data'!$C:$C,'custody %'!$T$78,'caseload data'!$D:$D,"SPO",'caseload data'!$B:$B,"custody")/SUMIFS('caseload data'!L:L,'caseload data'!$B:$B,"custody",'caseload data'!$C:$C,'custody %'!$T$78),"")</f>
        <v/>
      </c>
      <c r="AC83" s="167" t="str">
        <f>IFERROR(SUMIFS('caseload data'!M:M,'caseload data'!$C:$C,'custody %'!$T$78,'caseload data'!$D:$D,"SPO",'caseload data'!$B:$B,"custody")/SUMIFS('caseload data'!M:M,'caseload data'!$B:$B,"custody",'caseload data'!$C:$C,'custody %'!$T$78),"")</f>
        <v/>
      </c>
      <c r="AD83" s="167" t="str">
        <f>IFERROR(SUMIFS('caseload data'!N:N,'caseload data'!$C:$C,'custody %'!$T$78,'caseload data'!$D:$D,"SPO",'caseload data'!$B:$B,"custody")/SUMIFS('caseload data'!N:N,'caseload data'!$B:$B,"custody",'caseload data'!$C:$C,'custody %'!$T$78),"")</f>
        <v/>
      </c>
      <c r="AE83" s="167" t="str">
        <f>IFERROR(SUMIFS('caseload data'!O:O,'caseload data'!$C:$C,'custody %'!$T$78,'caseload data'!$D:$D,"SPO",'caseload data'!$B:$B,"custody")/SUMIFS('caseload data'!O:O,'caseload data'!$B:$B,"custody",'caseload data'!$C:$C,'custody %'!$T$78),"")</f>
        <v/>
      </c>
      <c r="AF83" s="167" t="str">
        <f>IFERROR(SUMIFS('caseload data'!P:P,'caseload data'!$C:$C,'custody %'!$T$78,'caseload data'!$D:$D,"SPO",'caseload data'!$B:$B,"custody")/SUMIFS('caseload data'!P:P,'caseload data'!$B:$B,"custody",'caseload data'!$C:$C,'custody %'!$T$78),"")</f>
        <v/>
      </c>
      <c r="AG83" s="167" t="str">
        <f>IFERROR(SUMIFS('caseload data'!Q:Q,'caseload data'!$C:$C,'custody %'!$T$78,'caseload data'!$D:$D,"SPO",'caseload data'!$B:$B,"custody")/SUMIFS('caseload data'!Q:Q,'caseload data'!$B:$B,"custody",'caseload data'!$C:$C,'custody %'!$T$78),"")</f>
        <v/>
      </c>
      <c r="AH83" s="167" t="str">
        <f>IFERROR(SUMIFS('caseload data'!R:R,'caseload data'!$C:$C,'custody %'!$T$78,'caseload data'!$D:$D,"SPO",'caseload data'!$B:$B,"custody")/SUMIFS('caseload data'!R:R,'caseload data'!$B:$B,"custody",'caseload data'!$C:$C,'custody %'!$T$78),"")</f>
        <v/>
      </c>
      <c r="AI83" s="167"/>
      <c r="AJ83" s="167"/>
    </row>
    <row r="85" spans="2:36" ht="24.75" customHeight="1" x14ac:dyDescent="0.15">
      <c r="B85" s="288">
        <f>HLOOKUP($B$5,Region_Table,24,0)</f>
        <v>0</v>
      </c>
      <c r="C85" s="548" t="s">
        <v>1073</v>
      </c>
      <c r="D85" s="549"/>
      <c r="E85" s="549"/>
      <c r="F85" s="549"/>
      <c r="G85" s="549"/>
      <c r="H85" s="549"/>
      <c r="I85" s="549"/>
      <c r="J85" s="549"/>
      <c r="K85" s="549"/>
      <c r="L85" s="549"/>
      <c r="M85" s="568"/>
      <c r="N85" s="568"/>
      <c r="O85" s="569"/>
      <c r="P85" s="543">
        <f>SUMIF('caseload data'!$C:$C,'custody %'!B85,'caseload data'!V:V)</f>
        <v>0</v>
      </c>
      <c r="Q85" s="560"/>
      <c r="R85" s="561"/>
      <c r="T85" s="288">
        <f>HLOOKUP($B$5,Region_Table,25,0)</f>
        <v>0</v>
      </c>
      <c r="U85" s="548" t="s">
        <v>1073</v>
      </c>
      <c r="V85" s="549"/>
      <c r="W85" s="549"/>
      <c r="X85" s="549"/>
      <c r="Y85" s="549"/>
      <c r="Z85" s="549"/>
      <c r="AA85" s="549"/>
      <c r="AB85" s="549"/>
      <c r="AC85" s="568"/>
      <c r="AD85" s="568"/>
      <c r="AE85" s="569"/>
      <c r="AF85" s="543">
        <f>SUMIF('caseload data'!$C:$C,'custody %'!T85,'caseload data'!V:V)</f>
        <v>0</v>
      </c>
      <c r="AG85" s="560"/>
      <c r="AH85" s="561"/>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167" t="str">
        <f>IFERROR(SUMIFS('caseload data'!E:E,'caseload data'!$C:$C,'custody %'!$B$85,'caseload data'!$D:$D,"PO",'caseload data'!$B:$B,"custody")/SUMIFS('caseload data'!E:E,'caseload data'!$B:$B,"custody",'caseload data'!$C:$C,'custody %'!$B$85),"")</f>
        <v/>
      </c>
      <c r="D87" s="167" t="str">
        <f>IFERROR(SUMIFS('caseload data'!F:F,'caseload data'!$C:$C,'custody %'!$B$85,'caseload data'!$D:$D,"PO",'caseload data'!$B:$B,"custody")/SUMIFS('caseload data'!F:F,'caseload data'!$B:$B,"custody",'caseload data'!$C:$C,'custody %'!$B$85),"")</f>
        <v/>
      </c>
      <c r="E87" s="167" t="str">
        <f>IFERROR(SUMIFS('caseload data'!G:G,'caseload data'!$C:$C,'custody %'!$B$85,'caseload data'!$D:$D,"PO",'caseload data'!$B:$B,"custody")/SUMIFS('caseload data'!G:G,'caseload data'!$B:$B,"custody",'caseload data'!$C:$C,'custody %'!$B$85),"")</f>
        <v/>
      </c>
      <c r="F87" s="167" t="str">
        <f>IFERROR(SUMIFS('caseload data'!H:H,'caseload data'!$C:$C,'custody %'!$B$85,'caseload data'!$D:$D,"PO",'caseload data'!$B:$B,"custody")/SUMIFS('caseload data'!H:H,'caseload data'!$B:$B,"custody",'caseload data'!$C:$C,'custody %'!$B$85),"")</f>
        <v/>
      </c>
      <c r="G87" s="167" t="str">
        <f>IFERROR(SUMIFS('caseload data'!I:I,'caseload data'!$C:$C,'custody %'!$B$85,'caseload data'!$D:$D,"PO",'caseload data'!$B:$B,"custody")/SUMIFS('caseload data'!I:I,'caseload data'!$B:$B,"custody",'caseload data'!$C:$C,'custody %'!$B$85),"")</f>
        <v/>
      </c>
      <c r="H87" s="167" t="str">
        <f>IFERROR(SUMIFS('caseload data'!J:J,'caseload data'!$C:$C,'custody %'!$B$85,'caseload data'!$D:$D,"PO",'caseload data'!$B:$B,"custody")/SUMIFS('caseload data'!J:J,'caseload data'!$B:$B,"custody",'caseload data'!$C:$C,'custody %'!$B$85),"")</f>
        <v/>
      </c>
      <c r="I87" s="167" t="str">
        <f>IFERROR(SUMIFS('caseload data'!K:K,'caseload data'!$C:$C,'custody %'!$B$85,'caseload data'!$D:$D,"PO",'caseload data'!$B:$B,"custody")/SUMIFS('caseload data'!K:K,'caseload data'!$B:$B,"custody",'caseload data'!$C:$C,'custody %'!$B$85),"")</f>
        <v/>
      </c>
      <c r="J87" s="167" t="str">
        <f>IFERROR(SUMIFS('caseload data'!L:L,'caseload data'!$C:$C,'custody %'!$B$85,'caseload data'!$D:$D,"PO",'caseload data'!$B:$B,"custody")/SUMIFS('caseload data'!L:L,'caseload data'!$B:$B,"custody",'caseload data'!$C:$C,'custody %'!$B$85),"")</f>
        <v/>
      </c>
      <c r="K87" s="167" t="str">
        <f>IFERROR(SUMIFS('caseload data'!M:M,'caseload data'!$C:$C,'custody %'!$B$85,'caseload data'!$D:$D,"PO",'caseload data'!$B:$B,"custody")/SUMIFS('caseload data'!M:M,'caseload data'!$B:$B,"custody",'caseload data'!$C:$C,'custody %'!$B$85),"")</f>
        <v/>
      </c>
      <c r="L87" s="167" t="str">
        <f>IFERROR(SUMIFS('caseload data'!N:N,'caseload data'!$C:$C,'custody %'!$B$85,'caseload data'!$D:$D,"PO",'caseload data'!$B:$B,"custody")/SUMIFS('caseload data'!N:N,'caseload data'!$B:$B,"custody",'caseload data'!$C:$C,'custody %'!$B$85),"")</f>
        <v/>
      </c>
      <c r="M87" s="167" t="str">
        <f>IFERROR(SUMIFS('caseload data'!O:O,'caseload data'!$C:$C,'custody %'!$B$85,'caseload data'!$D:$D,"PO",'caseload data'!$B:$B,"custody")/SUMIFS('caseload data'!O:O,'caseload data'!$B:$B,"custody",'caseload data'!$C:$C,'custody %'!$B$85),"")</f>
        <v/>
      </c>
      <c r="N87" s="167" t="str">
        <f>IFERROR(SUMIFS('caseload data'!P:P,'caseload data'!$C:$C,'custody %'!$B$85,'caseload data'!$D:$D,"PO",'caseload data'!$B:$B,"custody")/SUMIFS('caseload data'!P:P,'caseload data'!$B:$B,"custody",'caseload data'!$C:$C,'custody %'!$B$85),"")</f>
        <v/>
      </c>
      <c r="O87" s="167" t="str">
        <f>IFERROR(SUMIFS('caseload data'!Q:Q,'caseload data'!$C:$C,'custody %'!$B$85,'caseload data'!$D:$D,"PO",'caseload data'!$B:$B,"custody")/SUMIFS('caseload data'!Q:Q,'caseload data'!$B:$B,"custody",'caseload data'!$C:$C,'custody %'!$B$85),"")</f>
        <v/>
      </c>
      <c r="P87" s="167" t="str">
        <f>IFERROR(SUMIFS('caseload data'!R:R,'caseload data'!$C:$C,'custody %'!$B$85,'caseload data'!$D:$D,"PO",'caseload data'!$B:$B,"custody")/SUMIFS('caseload data'!R:R,'caseload data'!$B:$B,"custody",'caseload data'!$C:$C,'custody %'!$B$85),"")</f>
        <v/>
      </c>
      <c r="Q87" s="167" t="str">
        <f>IFERROR(SUMIFS('caseload data'!S:S,'caseload data'!$C:$C,'custody %'!$B$85,'caseload data'!$D:$D,"PO",'caseload data'!$B:$B,"custody")/SUMIFS('caseload data'!S:S,'caseload data'!$B:$B,"custody",'caseload data'!$C:$C,'custody %'!$B$85),"")</f>
        <v/>
      </c>
      <c r="R87" s="167" t="str">
        <f>IFERROR(SUMIFS('caseload data'!T:T,'caseload data'!$C:$C,'custody %'!$B$85,'caseload data'!$D:$D,"PO",'caseload data'!$B:$B,"custody")/SUMIFS('caseload data'!T:T,'caseload data'!$B:$B,"custody",'caseload data'!$C:$C,'custody %'!$B$85),"")</f>
        <v/>
      </c>
      <c r="T87" s="96" t="s">
        <v>947</v>
      </c>
      <c r="U87" s="167" t="str">
        <f>IFERROR(SUMIFS('caseload data'!E:E,'caseload data'!$C:$C,'custody %'!$T$85,'caseload data'!$D:$D,"PO",'caseload data'!$B:$B,"custody")/SUMIFS('caseload data'!E:E,'caseload data'!$B:$B,"custody",'caseload data'!$C:$C,'custody %'!$T$85),"")</f>
        <v/>
      </c>
      <c r="V87" s="167" t="str">
        <f>IFERROR(SUMIFS('caseload data'!F:F,'caseload data'!$C:$C,'custody %'!$T$85,'caseload data'!$D:$D,"PO",'caseload data'!$B:$B,"custody")/SUMIFS('caseload data'!F:F,'caseload data'!$B:$B,"custody",'caseload data'!$C:$C,'custody %'!$T$85),"")</f>
        <v/>
      </c>
      <c r="W87" s="167" t="str">
        <f>IFERROR(SUMIFS('caseload data'!G:G,'caseload data'!$C:$C,'custody %'!$T$85,'caseload data'!$D:$D,"PO",'caseload data'!$B:$B,"custody")/SUMIFS('caseload data'!G:G,'caseload data'!$B:$B,"custody",'caseload data'!$C:$C,'custody %'!$T$85),"")</f>
        <v/>
      </c>
      <c r="X87" s="167" t="str">
        <f>IFERROR(SUMIFS('caseload data'!H:H,'caseload data'!$C:$C,'custody %'!$T$85,'caseload data'!$D:$D,"PO",'caseload data'!$B:$B,"custody")/SUMIFS('caseload data'!H:H,'caseload data'!$B:$B,"custody",'caseload data'!$C:$C,'custody %'!$T$85),"")</f>
        <v/>
      </c>
      <c r="Y87" s="167" t="str">
        <f>IFERROR(SUMIFS('caseload data'!I:I,'caseload data'!$C:$C,'custody %'!$T$85,'caseload data'!$D:$D,"PO",'caseload data'!$B:$B,"custody")/SUMIFS('caseload data'!I:I,'caseload data'!$B:$B,"custody",'caseload data'!$C:$C,'custody %'!$T$85),"")</f>
        <v/>
      </c>
      <c r="Z87" s="167" t="str">
        <f>IFERROR(SUMIFS('caseload data'!J:J,'caseload data'!$C:$C,'custody %'!$T$85,'caseload data'!$D:$D,"PO",'caseload data'!$B:$B,"custody")/SUMIFS('caseload data'!J:J,'caseload data'!$B:$B,"custody",'caseload data'!$C:$C,'custody %'!$T$85),"")</f>
        <v/>
      </c>
      <c r="AA87" s="167" t="str">
        <f>IFERROR(SUMIFS('caseload data'!K:K,'caseload data'!$C:$C,'custody %'!$T$85,'caseload data'!$D:$D,"PO",'caseload data'!$B:$B,"custody")/SUMIFS('caseload data'!K:K,'caseload data'!$B:$B,"custody",'caseload data'!$C:$C,'custody %'!$T$85),"")</f>
        <v/>
      </c>
      <c r="AB87" s="167" t="str">
        <f>IFERROR(SUMIFS('caseload data'!L:L,'caseload data'!$C:$C,'custody %'!$T$85,'caseload data'!$D:$D,"PO",'caseload data'!$B:$B,"custody")/SUMIFS('caseload data'!L:L,'caseload data'!$B:$B,"custody",'caseload data'!$C:$C,'custody %'!$T$85),"")</f>
        <v/>
      </c>
      <c r="AC87" s="167" t="str">
        <f>IFERROR(SUMIFS('caseload data'!M:M,'caseload data'!$C:$C,'custody %'!$T$85,'caseload data'!$D:$D,"PO",'caseload data'!$B:$B,"custody")/SUMIFS('caseload data'!M:M,'caseload data'!$B:$B,"custody",'caseload data'!$C:$C,'custody %'!$T$85),"")</f>
        <v/>
      </c>
      <c r="AD87" s="167" t="str">
        <f>IFERROR(SUMIFS('caseload data'!N:N,'caseload data'!$C:$C,'custody %'!$T$85,'caseload data'!$D:$D,"PO",'caseload data'!$B:$B,"custody")/SUMIFS('caseload data'!N:N,'caseload data'!$B:$B,"custody",'caseload data'!$C:$C,'custody %'!$T$85),"")</f>
        <v/>
      </c>
      <c r="AE87" s="167" t="str">
        <f>IFERROR(SUMIFS('caseload data'!O:O,'caseload data'!$C:$C,'custody %'!$T$85,'caseload data'!$D:$D,"PO",'caseload data'!$B:$B,"custody")/SUMIFS('caseload data'!O:O,'caseload data'!$B:$B,"custody",'caseload data'!$C:$C,'custody %'!$T$85),"")</f>
        <v/>
      </c>
      <c r="AF87" s="167" t="str">
        <f>IFERROR(SUMIFS('caseload data'!P:P,'caseload data'!$C:$C,'custody %'!$T$85,'caseload data'!$D:$D,"PO",'caseload data'!$B:$B,"custody")/SUMIFS('caseload data'!P:P,'caseload data'!$B:$B,"custody",'caseload data'!$C:$C,'custody %'!$T$85),"")</f>
        <v/>
      </c>
      <c r="AG87" s="167" t="str">
        <f>IFERROR(SUMIFS('caseload data'!Q:Q,'caseload data'!$C:$C,'custody %'!$T$85,'caseload data'!$D:$D,"PO",'caseload data'!$B:$B,"custody")/SUMIFS('caseload data'!Q:Q,'caseload data'!$B:$B,"custody",'caseload data'!$C:$C,'custody %'!$T$85),"")</f>
        <v/>
      </c>
      <c r="AH87" s="167" t="str">
        <f>IFERROR(SUMIFS('caseload data'!R:R,'caseload data'!$C:$C,'custody %'!$T$85,'caseload data'!$D:$D,"PO",'caseload data'!$B:$B,"custody")/SUMIFS('caseload data'!R:R,'caseload data'!$B:$B,"custody",'caseload data'!$C:$C,'custody %'!$T$85),"")</f>
        <v/>
      </c>
      <c r="AI87" s="167"/>
      <c r="AJ87" s="167"/>
    </row>
    <row r="88" spans="2:36" x14ac:dyDescent="0.15">
      <c r="B88" s="97" t="s">
        <v>952</v>
      </c>
      <c r="C88" s="167" t="str">
        <f>IFERROR(SUMIFS('caseload data'!E:E,'caseload data'!$C:$C,'custody %'!$B$85,'caseload data'!$D:$D,"PSO",'caseload data'!$B:$B,"custody")/SUMIFS('caseload data'!E:E,'caseload data'!$B:$B,"custody",'caseload data'!$C:$C,'custody %'!$B$85),"")</f>
        <v/>
      </c>
      <c r="D88" s="167" t="str">
        <f>IFERROR(SUMIFS('caseload data'!F:F,'caseload data'!$C:$C,'custody %'!$B$85,'caseload data'!$D:$D,"PSO",'caseload data'!$B:$B,"custody")/SUMIFS('caseload data'!F:F,'caseload data'!$B:$B,"custody",'caseload data'!$C:$C,'custody %'!$B$85),"")</f>
        <v/>
      </c>
      <c r="E88" s="167" t="str">
        <f>IFERROR(SUMIFS('caseload data'!G:G,'caseload data'!$C:$C,'custody %'!$B$85,'caseload data'!$D:$D,"PSO",'caseload data'!$B:$B,"custody")/SUMIFS('caseload data'!G:G,'caseload data'!$B:$B,"custody",'caseload data'!$C:$C,'custody %'!$B$85),"")</f>
        <v/>
      </c>
      <c r="F88" s="167" t="str">
        <f>IFERROR(SUMIFS('caseload data'!H:H,'caseload data'!$C:$C,'custody %'!$B$85,'caseload data'!$D:$D,"PSO",'caseload data'!$B:$B,"custody")/SUMIFS('caseload data'!H:H,'caseload data'!$B:$B,"custody",'caseload data'!$C:$C,'custody %'!$B$85),"")</f>
        <v/>
      </c>
      <c r="G88" s="167" t="str">
        <f>IFERROR(SUMIFS('caseload data'!I:I,'caseload data'!$C:$C,'custody %'!$B$85,'caseload data'!$D:$D,"PSO",'caseload data'!$B:$B,"custody")/SUMIFS('caseload data'!I:I,'caseload data'!$B:$B,"custody",'caseload data'!$C:$C,'custody %'!$B$85),"")</f>
        <v/>
      </c>
      <c r="H88" s="167" t="str">
        <f>IFERROR(SUMIFS('caseload data'!J:J,'caseload data'!$C:$C,'custody %'!$B$85,'caseload data'!$D:$D,"PSO",'caseload data'!$B:$B,"custody")/SUMIFS('caseload data'!J:J,'caseload data'!$B:$B,"custody",'caseload data'!$C:$C,'custody %'!$B$85),"")</f>
        <v/>
      </c>
      <c r="I88" s="167" t="str">
        <f>IFERROR(SUMIFS('caseload data'!K:K,'caseload data'!$C:$C,'custody %'!$B$85,'caseload data'!$D:$D,"PSO",'caseload data'!$B:$B,"custody")/SUMIFS('caseload data'!K:K,'caseload data'!$B:$B,"custody",'caseload data'!$C:$C,'custody %'!$B$85),"")</f>
        <v/>
      </c>
      <c r="J88" s="167" t="str">
        <f>IFERROR(SUMIFS('caseload data'!L:L,'caseload data'!$C:$C,'custody %'!$B$85,'caseload data'!$D:$D,"PSO",'caseload data'!$B:$B,"custody")/SUMIFS('caseload data'!L:L,'caseload data'!$B:$B,"custody",'caseload data'!$C:$C,'custody %'!$B$85),"")</f>
        <v/>
      </c>
      <c r="K88" s="167" t="str">
        <f>IFERROR(SUMIFS('caseload data'!M:M,'caseload data'!$C:$C,'custody %'!$B$85,'caseload data'!$D:$D,"PSO",'caseload data'!$B:$B,"custody")/SUMIFS('caseload data'!M:M,'caseload data'!$B:$B,"custody",'caseload data'!$C:$C,'custody %'!$B$85),"")</f>
        <v/>
      </c>
      <c r="L88" s="167" t="str">
        <f>IFERROR(SUMIFS('caseload data'!N:N,'caseload data'!$C:$C,'custody %'!$B$85,'caseload data'!$D:$D,"PSO",'caseload data'!$B:$B,"custody")/SUMIFS('caseload data'!N:N,'caseload data'!$B:$B,"custody",'caseload data'!$C:$C,'custody %'!$B$85),"")</f>
        <v/>
      </c>
      <c r="M88" s="167" t="str">
        <f>IFERROR(SUMIFS('caseload data'!O:O,'caseload data'!$C:$C,'custody %'!$B$85,'caseload data'!$D:$D,"PSO",'caseload data'!$B:$B,"custody")/SUMIFS('caseload data'!O:O,'caseload data'!$B:$B,"custody",'caseload data'!$C:$C,'custody %'!$B$85),"")</f>
        <v/>
      </c>
      <c r="N88" s="167" t="str">
        <f>IFERROR(SUMIFS('caseload data'!P:P,'caseload data'!$C:$C,'custody %'!$B$85,'caseload data'!$D:$D,"PSO",'caseload data'!$B:$B,"custody")/SUMIFS('caseload data'!P:P,'caseload data'!$B:$B,"custody",'caseload data'!$C:$C,'custody %'!$B$85),"")</f>
        <v/>
      </c>
      <c r="O88" s="167" t="str">
        <f>IFERROR(SUMIFS('caseload data'!Q:Q,'caseload data'!$C:$C,'custody %'!$B$85,'caseload data'!$D:$D,"PSO",'caseload data'!$B:$B,"custody")/SUMIFS('caseload data'!Q:Q,'caseload data'!$B:$B,"custody",'caseload data'!$C:$C,'custody %'!$B$85),"")</f>
        <v/>
      </c>
      <c r="P88" s="167" t="str">
        <f>IFERROR(SUMIFS('caseload data'!R:R,'caseload data'!$C:$C,'custody %'!$B$85,'caseload data'!$D:$D,"PSO",'caseload data'!$B:$B,"custody")/SUMIFS('caseload data'!R:R,'caseload data'!$B:$B,"custody",'caseload data'!$C:$C,'custody %'!$B$85),"")</f>
        <v/>
      </c>
      <c r="Q88" s="167" t="str">
        <f>IFERROR(SUMIFS('caseload data'!S:S,'caseload data'!$C:$C,'custody %'!$B$85,'caseload data'!$D:$D,"PSO",'caseload data'!$B:$B,"custody")/SUMIFS('caseload data'!S:S,'caseload data'!$B:$B,"custody",'caseload data'!$C:$C,'custody %'!$B$85),"")</f>
        <v/>
      </c>
      <c r="R88" s="167" t="str">
        <f>IFERROR(SUMIFS('caseload data'!T:T,'caseload data'!$C:$C,'custody %'!$B$85,'caseload data'!$D:$D,"PSO",'caseload data'!$B:$B,"custody")/SUMIFS('caseload data'!T:T,'caseload data'!$B:$B,"custody",'caseload data'!$C:$C,'custody %'!$B$85),"")</f>
        <v/>
      </c>
      <c r="T88" s="97" t="s">
        <v>952</v>
      </c>
      <c r="U88" s="167" t="str">
        <f>IFERROR(SUMIFS('caseload data'!E:E,'caseload data'!$C:$C,'custody %'!$T$85,'caseload data'!$D:$D,"PSO",'caseload data'!$B:$B,"custody")/SUMIFS('caseload data'!E:E,'caseload data'!$B:$B,"custody",'caseload data'!$C:$C,'custody %'!$T$85),"")</f>
        <v/>
      </c>
      <c r="V88" s="167" t="str">
        <f>IFERROR(SUMIFS('caseload data'!F:F,'caseload data'!$C:$C,'custody %'!$T$85,'caseload data'!$D:$D,"PSO",'caseload data'!$B:$B,"custody")/SUMIFS('caseload data'!F:F,'caseload data'!$B:$B,"custody",'caseload data'!$C:$C,'custody %'!$T$85),"")</f>
        <v/>
      </c>
      <c r="W88" s="167" t="str">
        <f>IFERROR(SUMIFS('caseload data'!G:G,'caseload data'!$C:$C,'custody %'!$T$85,'caseload data'!$D:$D,"PSO",'caseload data'!$B:$B,"custody")/SUMIFS('caseload data'!G:G,'caseload data'!$B:$B,"custody",'caseload data'!$C:$C,'custody %'!$T$85),"")</f>
        <v/>
      </c>
      <c r="X88" s="167" t="str">
        <f>IFERROR(SUMIFS('caseload data'!H:H,'caseload data'!$C:$C,'custody %'!$T$85,'caseload data'!$D:$D,"PSO",'caseload data'!$B:$B,"custody")/SUMIFS('caseload data'!H:H,'caseload data'!$B:$B,"custody",'caseload data'!$C:$C,'custody %'!$T$85),"")</f>
        <v/>
      </c>
      <c r="Y88" s="167" t="str">
        <f>IFERROR(SUMIFS('caseload data'!I:I,'caseload data'!$C:$C,'custody %'!$T$85,'caseload data'!$D:$D,"PSO",'caseload data'!$B:$B,"custody")/SUMIFS('caseload data'!I:I,'caseload data'!$B:$B,"custody",'caseload data'!$C:$C,'custody %'!$T$85),"")</f>
        <v/>
      </c>
      <c r="Z88" s="167" t="str">
        <f>IFERROR(SUMIFS('caseload data'!J:J,'caseload data'!$C:$C,'custody %'!$T$85,'caseload data'!$D:$D,"PSO",'caseload data'!$B:$B,"custody")/SUMIFS('caseload data'!J:J,'caseload data'!$B:$B,"custody",'caseload data'!$C:$C,'custody %'!$T$85),"")</f>
        <v/>
      </c>
      <c r="AA88" s="167" t="str">
        <f>IFERROR(SUMIFS('caseload data'!K:K,'caseload data'!$C:$C,'custody %'!$T$85,'caseload data'!$D:$D,"PSO",'caseload data'!$B:$B,"custody")/SUMIFS('caseload data'!K:K,'caseload data'!$B:$B,"custody",'caseload data'!$C:$C,'custody %'!$T$85),"")</f>
        <v/>
      </c>
      <c r="AB88" s="167" t="str">
        <f>IFERROR(SUMIFS('caseload data'!L:L,'caseload data'!$C:$C,'custody %'!$T$85,'caseload data'!$D:$D,"PSO",'caseload data'!$B:$B,"custody")/SUMIFS('caseload data'!L:L,'caseload data'!$B:$B,"custody",'caseload data'!$C:$C,'custody %'!$T$85),"")</f>
        <v/>
      </c>
      <c r="AC88" s="167" t="str">
        <f>IFERROR(SUMIFS('caseload data'!M:M,'caseload data'!$C:$C,'custody %'!$T$85,'caseload data'!$D:$D,"PSO",'caseload data'!$B:$B,"custody")/SUMIFS('caseload data'!M:M,'caseload data'!$B:$B,"custody",'caseload data'!$C:$C,'custody %'!$T$85),"")</f>
        <v/>
      </c>
      <c r="AD88" s="167" t="str">
        <f>IFERROR(SUMIFS('caseload data'!N:N,'caseload data'!$C:$C,'custody %'!$T$85,'caseload data'!$D:$D,"PSO",'caseload data'!$B:$B,"custody")/SUMIFS('caseload data'!N:N,'caseload data'!$B:$B,"custody",'caseload data'!$C:$C,'custody %'!$T$85),"")</f>
        <v/>
      </c>
      <c r="AE88" s="167" t="str">
        <f>IFERROR(SUMIFS('caseload data'!O:O,'caseload data'!$C:$C,'custody %'!$T$85,'caseload data'!$D:$D,"PSO",'caseload data'!$B:$B,"custody")/SUMIFS('caseload data'!O:O,'caseload data'!$B:$B,"custody",'caseload data'!$C:$C,'custody %'!$T$85),"")</f>
        <v/>
      </c>
      <c r="AF88" s="167" t="str">
        <f>IFERROR(SUMIFS('caseload data'!P:P,'caseload data'!$C:$C,'custody %'!$T$85,'caseload data'!$D:$D,"PSO",'caseload data'!$B:$B,"custody")/SUMIFS('caseload data'!P:P,'caseload data'!$B:$B,"custody",'caseload data'!$C:$C,'custody %'!$T$85),"")</f>
        <v/>
      </c>
      <c r="AG88" s="167" t="str">
        <f>IFERROR(SUMIFS('caseload data'!Q:Q,'caseload data'!$C:$C,'custody %'!$T$85,'caseload data'!$D:$D,"PSO",'caseload data'!$B:$B,"custody")/SUMIFS('caseload data'!Q:Q,'caseload data'!$B:$B,"custody",'caseload data'!$C:$C,'custody %'!$T$85),"")</f>
        <v/>
      </c>
      <c r="AH88" s="167" t="str">
        <f>IFERROR(SUMIFS('caseload data'!R:R,'caseload data'!$C:$C,'custody %'!$T$85,'caseload data'!$D:$D,"PSO",'caseload data'!$B:$B,"custody")/SUMIFS('caseload data'!R:R,'caseload data'!$B:$B,"custody",'caseload data'!$C:$C,'custody %'!$T$85),"")</f>
        <v/>
      </c>
      <c r="AI88" s="167"/>
      <c r="AJ88" s="167"/>
    </row>
    <row r="89" spans="2:36" x14ac:dyDescent="0.15">
      <c r="B89" s="97" t="s">
        <v>953</v>
      </c>
      <c r="C89" s="167" t="str">
        <f>IFERROR(SUMIFS('caseload data'!E:E,'caseload data'!$C:$C,'custody %'!$B$85,'caseload data'!$D:$D,"TPO",'caseload data'!$B:$B,"custody")/SUMIFS('caseload data'!E:E,'caseload data'!$B:$B,"custody",'caseload data'!$C:$C,'custody %'!$B$85),"")</f>
        <v/>
      </c>
      <c r="D89" s="167" t="str">
        <f>IFERROR(SUMIFS('caseload data'!F:F,'caseload data'!$C:$C,'custody %'!$B$85,'caseload data'!$D:$D,"TPO",'caseload data'!$B:$B,"custody")/SUMIFS('caseload data'!F:F,'caseload data'!$B:$B,"custody",'caseload data'!$C:$C,'custody %'!$B$85),"")</f>
        <v/>
      </c>
      <c r="E89" s="167" t="str">
        <f>IFERROR(SUMIFS('caseload data'!G:G,'caseload data'!$C:$C,'custody %'!$B$85,'caseload data'!$D:$D,"TPO",'caseload data'!$B:$B,"custody")/SUMIFS('caseload data'!G:G,'caseload data'!$B:$B,"custody",'caseload data'!$C:$C,'custody %'!$B$85),"")</f>
        <v/>
      </c>
      <c r="F89" s="167" t="str">
        <f>IFERROR(SUMIFS('caseload data'!H:H,'caseload data'!$C:$C,'custody %'!$B$85,'caseload data'!$D:$D,"TPO",'caseload data'!$B:$B,"custody")/SUMIFS('caseload data'!H:H,'caseload data'!$B:$B,"custody",'caseload data'!$C:$C,'custody %'!$B$85),"")</f>
        <v/>
      </c>
      <c r="G89" s="167" t="str">
        <f>IFERROR(SUMIFS('caseload data'!I:I,'caseload data'!$C:$C,'custody %'!$B$85,'caseload data'!$D:$D,"TPO",'caseload data'!$B:$B,"custody")/SUMIFS('caseload data'!I:I,'caseload data'!$B:$B,"custody",'caseload data'!$C:$C,'custody %'!$B$85),"")</f>
        <v/>
      </c>
      <c r="H89" s="167" t="str">
        <f>IFERROR(SUMIFS('caseload data'!J:J,'caseload data'!$C:$C,'custody %'!$B$85,'caseload data'!$D:$D,"TPO",'caseload data'!$B:$B,"custody")/SUMIFS('caseload data'!J:J,'caseload data'!$B:$B,"custody",'caseload data'!$C:$C,'custody %'!$B$85),"")</f>
        <v/>
      </c>
      <c r="I89" s="167" t="str">
        <f>IFERROR(SUMIFS('caseload data'!K:K,'caseload data'!$C:$C,'custody %'!$B$85,'caseload data'!$D:$D,"TPO",'caseload data'!$B:$B,"custody")/SUMIFS('caseload data'!K:K,'caseload data'!$B:$B,"custody",'caseload data'!$C:$C,'custody %'!$B$85),"")</f>
        <v/>
      </c>
      <c r="J89" s="167" t="str">
        <f>IFERROR(SUMIFS('caseload data'!L:L,'caseload data'!$C:$C,'custody %'!$B$85,'caseload data'!$D:$D,"TPO",'caseload data'!$B:$B,"custody")/SUMIFS('caseload data'!L:L,'caseload data'!$B:$B,"custody",'caseload data'!$C:$C,'custody %'!$B$85),"")</f>
        <v/>
      </c>
      <c r="K89" s="167" t="str">
        <f>IFERROR(SUMIFS('caseload data'!M:M,'caseload data'!$C:$C,'custody %'!$B$85,'caseload data'!$D:$D,"TPO",'caseload data'!$B:$B,"custody")/SUMIFS('caseload data'!M:M,'caseload data'!$B:$B,"custody",'caseload data'!$C:$C,'custody %'!$B$85),"")</f>
        <v/>
      </c>
      <c r="L89" s="167" t="str">
        <f>IFERROR(SUMIFS('caseload data'!N:N,'caseload data'!$C:$C,'custody %'!$B$85,'caseload data'!$D:$D,"TPO",'caseload data'!$B:$B,"custody")/SUMIFS('caseload data'!N:N,'caseload data'!$B:$B,"custody",'caseload data'!$C:$C,'custody %'!$B$85),"")</f>
        <v/>
      </c>
      <c r="M89" s="167" t="str">
        <f>IFERROR(SUMIFS('caseload data'!O:O,'caseload data'!$C:$C,'custody %'!$B$85,'caseload data'!$D:$D,"TPO",'caseload data'!$B:$B,"custody")/SUMIFS('caseload data'!O:O,'caseload data'!$B:$B,"custody",'caseload data'!$C:$C,'custody %'!$B$85),"")</f>
        <v/>
      </c>
      <c r="N89" s="167" t="str">
        <f>IFERROR(SUMIFS('caseload data'!P:P,'caseload data'!$C:$C,'custody %'!$B$85,'caseload data'!$D:$D,"TPO",'caseload data'!$B:$B,"custody")/SUMIFS('caseload data'!P:P,'caseload data'!$B:$B,"custody",'caseload data'!$C:$C,'custody %'!$B$85),"")</f>
        <v/>
      </c>
      <c r="O89" s="167" t="str">
        <f>IFERROR(SUMIFS('caseload data'!Q:Q,'caseload data'!$C:$C,'custody %'!$B$85,'caseload data'!$D:$D,"TPO",'caseload data'!$B:$B,"custody")/SUMIFS('caseload data'!Q:Q,'caseload data'!$B:$B,"custody",'caseload data'!$C:$C,'custody %'!$B$85),"")</f>
        <v/>
      </c>
      <c r="P89" s="167" t="str">
        <f>IFERROR(SUMIFS('caseload data'!R:R,'caseload data'!$C:$C,'custody %'!$B$85,'caseload data'!$D:$D,"TPO",'caseload data'!$B:$B,"custody")/SUMIFS('caseload data'!R:R,'caseload data'!$B:$B,"custody",'caseload data'!$C:$C,'custody %'!$B$85),"")</f>
        <v/>
      </c>
      <c r="Q89" s="167" t="str">
        <f>IFERROR(SUMIFS('caseload data'!S:S,'caseload data'!$C:$C,'custody %'!$B$85,'caseload data'!$D:$D,"TPO",'caseload data'!$B:$B,"custody")/SUMIFS('caseload data'!S:S,'caseload data'!$B:$B,"custody",'caseload data'!$C:$C,'custody %'!$B$85),"")</f>
        <v/>
      </c>
      <c r="R89" s="167" t="str">
        <f>IFERROR(SUMIFS('caseload data'!T:T,'caseload data'!$C:$C,'custody %'!$B$85,'caseload data'!$D:$D,"TPO",'caseload data'!$B:$B,"custody")/SUMIFS('caseload data'!T:T,'caseload data'!$B:$B,"custody",'caseload data'!$C:$C,'custody %'!$B$85),"")</f>
        <v/>
      </c>
      <c r="T89" s="97" t="s">
        <v>953</v>
      </c>
      <c r="U89" s="167" t="str">
        <f>IFERROR(SUMIFS('caseload data'!E:E,'caseload data'!$C:$C,'custody %'!$T$85,'caseload data'!$D:$D,"TPO",'caseload data'!$B:$B,"custody")/SUMIFS('caseload data'!E:E,'caseload data'!$B:$B,"custody",'caseload data'!$C:$C,'custody %'!$T$85),"")</f>
        <v/>
      </c>
      <c r="V89" s="167" t="str">
        <f>IFERROR(SUMIFS('caseload data'!F:F,'caseload data'!$C:$C,'custody %'!$T$85,'caseload data'!$D:$D,"TPO",'caseload data'!$B:$B,"custody")/SUMIFS('caseload data'!F:F,'caseload data'!$B:$B,"custody",'caseload data'!$C:$C,'custody %'!$T$85),"")</f>
        <v/>
      </c>
      <c r="W89" s="167" t="str">
        <f>IFERROR(SUMIFS('caseload data'!G:G,'caseload data'!$C:$C,'custody %'!$T$85,'caseload data'!$D:$D,"TPO",'caseload data'!$B:$B,"custody")/SUMIFS('caseload data'!G:G,'caseload data'!$B:$B,"custody",'caseload data'!$C:$C,'custody %'!$T$85),"")</f>
        <v/>
      </c>
      <c r="X89" s="167" t="str">
        <f>IFERROR(SUMIFS('caseload data'!H:H,'caseload data'!$C:$C,'custody %'!$T$85,'caseload data'!$D:$D,"TPO",'caseload data'!$B:$B,"custody")/SUMIFS('caseload data'!H:H,'caseload data'!$B:$B,"custody",'caseload data'!$C:$C,'custody %'!$T$85),"")</f>
        <v/>
      </c>
      <c r="Y89" s="167" t="str">
        <f>IFERROR(SUMIFS('caseload data'!I:I,'caseload data'!$C:$C,'custody %'!$T$85,'caseload data'!$D:$D,"TPO",'caseload data'!$B:$B,"custody")/SUMIFS('caseload data'!I:I,'caseload data'!$B:$B,"custody",'caseload data'!$C:$C,'custody %'!$T$85),"")</f>
        <v/>
      </c>
      <c r="Z89" s="167" t="str">
        <f>IFERROR(SUMIFS('caseload data'!J:J,'caseload data'!$C:$C,'custody %'!$T$85,'caseload data'!$D:$D,"TPO",'caseload data'!$B:$B,"custody")/SUMIFS('caseload data'!J:J,'caseload data'!$B:$B,"custody",'caseload data'!$C:$C,'custody %'!$T$85),"")</f>
        <v/>
      </c>
      <c r="AA89" s="167" t="str">
        <f>IFERROR(SUMIFS('caseload data'!K:K,'caseload data'!$C:$C,'custody %'!$T$85,'caseload data'!$D:$D,"TPO",'caseload data'!$B:$B,"custody")/SUMIFS('caseload data'!K:K,'caseload data'!$B:$B,"custody",'caseload data'!$C:$C,'custody %'!$T$85),"")</f>
        <v/>
      </c>
      <c r="AB89" s="167" t="str">
        <f>IFERROR(SUMIFS('caseload data'!L:L,'caseload data'!$C:$C,'custody %'!$T$85,'caseload data'!$D:$D,"TPO",'caseload data'!$B:$B,"custody")/SUMIFS('caseload data'!L:L,'caseload data'!$B:$B,"custody",'caseload data'!$C:$C,'custody %'!$T$85),"")</f>
        <v/>
      </c>
      <c r="AC89" s="167" t="str">
        <f>IFERROR(SUMIFS('caseload data'!M:M,'caseload data'!$C:$C,'custody %'!$T$85,'caseload data'!$D:$D,"TPO",'caseload data'!$B:$B,"custody")/SUMIFS('caseload data'!M:M,'caseload data'!$B:$B,"custody",'caseload data'!$C:$C,'custody %'!$T$85),"")</f>
        <v/>
      </c>
      <c r="AD89" s="167" t="str">
        <f>IFERROR(SUMIFS('caseload data'!N:N,'caseload data'!$C:$C,'custody %'!$T$85,'caseload data'!$D:$D,"TPO",'caseload data'!$B:$B,"custody")/SUMIFS('caseload data'!N:N,'caseload data'!$B:$B,"custody",'caseload data'!$C:$C,'custody %'!$T$85),"")</f>
        <v/>
      </c>
      <c r="AE89" s="167" t="str">
        <f>IFERROR(SUMIFS('caseload data'!O:O,'caseload data'!$C:$C,'custody %'!$T$85,'caseload data'!$D:$D,"TPO",'caseload data'!$B:$B,"custody")/SUMIFS('caseload data'!O:O,'caseload data'!$B:$B,"custody",'caseload data'!$C:$C,'custody %'!$T$85),"")</f>
        <v/>
      </c>
      <c r="AF89" s="167" t="str">
        <f>IFERROR(SUMIFS('caseload data'!P:P,'caseload data'!$C:$C,'custody %'!$T$85,'caseload data'!$D:$D,"TPO",'caseload data'!$B:$B,"custody")/SUMIFS('caseload data'!P:P,'caseload data'!$B:$B,"custody",'caseload data'!$C:$C,'custody %'!$T$85),"")</f>
        <v/>
      </c>
      <c r="AG89" s="167" t="str">
        <f>IFERROR(SUMIFS('caseload data'!Q:Q,'caseload data'!$C:$C,'custody %'!$T$85,'caseload data'!$D:$D,"TPO",'caseload data'!$B:$B,"custody")/SUMIFS('caseload data'!Q:Q,'caseload data'!$B:$B,"custody",'caseload data'!$C:$C,'custody %'!$T$85),"")</f>
        <v/>
      </c>
      <c r="AH89" s="167" t="str">
        <f>IFERROR(SUMIFS('caseload data'!R:R,'caseload data'!$C:$C,'custody %'!$T$85,'caseload data'!$D:$D,"TPO",'caseload data'!$B:$B,"custody")/SUMIFS('caseload data'!R:R,'caseload data'!$B:$B,"custody",'caseload data'!$C:$C,'custody %'!$T$85),"")</f>
        <v/>
      </c>
      <c r="AI89" s="167"/>
      <c r="AJ89" s="167"/>
    </row>
    <row r="90" spans="2:36" x14ac:dyDescent="0.15">
      <c r="B90" s="98" t="s">
        <v>954</v>
      </c>
      <c r="C90" s="167" t="str">
        <f>IFERROR(SUMIFS('caseload data'!E:E,'caseload data'!$C:$C,'custody %'!$B$85,'caseload data'!$D:$D,"SPO",'caseload data'!$B:$B,"custody")/SUMIFS('caseload data'!E:E,'caseload data'!$B:$B,"custody",'caseload data'!$C:$C,'custody %'!$B$85),"")</f>
        <v/>
      </c>
      <c r="D90" s="167" t="str">
        <f>IFERROR(SUMIFS('caseload data'!F:F,'caseload data'!$C:$C,'custody %'!$B$85,'caseload data'!$D:$D,"SPO",'caseload data'!$B:$B,"custody")/SUMIFS('caseload data'!F:F,'caseload data'!$B:$B,"custody",'caseload data'!$C:$C,'custody %'!$B$85),"")</f>
        <v/>
      </c>
      <c r="E90" s="167" t="str">
        <f>IFERROR(SUMIFS('caseload data'!G:G,'caseload data'!$C:$C,'custody %'!$B$85,'caseload data'!$D:$D,"SPO",'caseload data'!$B:$B,"custody")/SUMIFS('caseload data'!G:G,'caseload data'!$B:$B,"custody",'caseload data'!$C:$C,'custody %'!$B$85),"")</f>
        <v/>
      </c>
      <c r="F90" s="167" t="str">
        <f>IFERROR(SUMIFS('caseload data'!H:H,'caseload data'!$C:$C,'custody %'!$B$85,'caseload data'!$D:$D,"SPO",'caseload data'!$B:$B,"custody")/SUMIFS('caseload data'!H:H,'caseload data'!$B:$B,"custody",'caseload data'!$C:$C,'custody %'!$B$85),"")</f>
        <v/>
      </c>
      <c r="G90" s="167" t="str">
        <f>IFERROR(SUMIFS('caseload data'!I:I,'caseload data'!$C:$C,'custody %'!$B$85,'caseload data'!$D:$D,"SPO",'caseload data'!$B:$B,"custody")/SUMIFS('caseload data'!I:I,'caseload data'!$B:$B,"custody",'caseload data'!$C:$C,'custody %'!$B$85),"")</f>
        <v/>
      </c>
      <c r="H90" s="167" t="str">
        <f>IFERROR(SUMIFS('caseload data'!J:J,'caseload data'!$C:$C,'custody %'!$B$85,'caseload data'!$D:$D,"SPO",'caseload data'!$B:$B,"custody")/SUMIFS('caseload data'!J:J,'caseload data'!$B:$B,"custody",'caseload data'!$C:$C,'custody %'!$B$85),"")</f>
        <v/>
      </c>
      <c r="I90" s="167" t="str">
        <f>IFERROR(SUMIFS('caseload data'!K:K,'caseload data'!$C:$C,'custody %'!$B$85,'caseload data'!$D:$D,"SPO",'caseload data'!$B:$B,"custody")/SUMIFS('caseload data'!K:K,'caseload data'!$B:$B,"custody",'caseload data'!$C:$C,'custody %'!$B$85),"")</f>
        <v/>
      </c>
      <c r="J90" s="167" t="str">
        <f>IFERROR(SUMIFS('caseload data'!L:L,'caseload data'!$C:$C,'custody %'!$B$85,'caseload data'!$D:$D,"SPO",'caseload data'!$B:$B,"custody")/SUMIFS('caseload data'!L:L,'caseload data'!$B:$B,"custody",'caseload data'!$C:$C,'custody %'!$B$85),"")</f>
        <v/>
      </c>
      <c r="K90" s="167" t="str">
        <f>IFERROR(SUMIFS('caseload data'!M:M,'caseload data'!$C:$C,'custody %'!$B$85,'caseload data'!$D:$D,"SPO",'caseload data'!$B:$B,"custody")/SUMIFS('caseload data'!M:M,'caseload data'!$B:$B,"custody",'caseload data'!$C:$C,'custody %'!$B$85),"")</f>
        <v/>
      </c>
      <c r="L90" s="167" t="str">
        <f>IFERROR(SUMIFS('caseload data'!N:N,'caseload data'!$C:$C,'custody %'!$B$85,'caseload data'!$D:$D,"SPO",'caseload data'!$B:$B,"custody")/SUMIFS('caseload data'!N:N,'caseload data'!$B:$B,"custody",'caseload data'!$C:$C,'custody %'!$B$85),"")</f>
        <v/>
      </c>
      <c r="M90" s="167" t="str">
        <f>IFERROR(SUMIFS('caseload data'!O:O,'caseload data'!$C:$C,'custody %'!$B$85,'caseload data'!$D:$D,"SPO",'caseload data'!$B:$B,"custody")/SUMIFS('caseload data'!O:O,'caseload data'!$B:$B,"custody",'caseload data'!$C:$C,'custody %'!$B$85),"")</f>
        <v/>
      </c>
      <c r="N90" s="167" t="str">
        <f>IFERROR(SUMIFS('caseload data'!P:P,'caseload data'!$C:$C,'custody %'!$B$85,'caseload data'!$D:$D,"SPO",'caseload data'!$B:$B,"custody")/SUMIFS('caseload data'!P:P,'caseload data'!$B:$B,"custody",'caseload data'!$C:$C,'custody %'!$B$85),"")</f>
        <v/>
      </c>
      <c r="O90" s="167" t="str">
        <f>IFERROR(SUMIFS('caseload data'!Q:Q,'caseload data'!$C:$C,'custody %'!$B$85,'caseload data'!$D:$D,"SPO",'caseload data'!$B:$B,"custody")/SUMIFS('caseload data'!Q:Q,'caseload data'!$B:$B,"custody",'caseload data'!$C:$C,'custody %'!$B$85),"")</f>
        <v/>
      </c>
      <c r="P90" s="167" t="str">
        <f>IFERROR(SUMIFS('caseload data'!R:R,'caseload data'!$C:$C,'custody %'!$B$85,'caseload data'!$D:$D,"SPO",'caseload data'!$B:$B,"custody")/SUMIFS('caseload data'!R:R,'caseload data'!$B:$B,"custody",'caseload data'!$C:$C,'custody %'!$B$85),"")</f>
        <v/>
      </c>
      <c r="Q90" s="167" t="str">
        <f>IFERROR(SUMIFS('caseload data'!S:S,'caseload data'!$C:$C,'custody %'!$B$85,'caseload data'!$D:$D,"SPO",'caseload data'!$B:$B,"custody")/SUMIFS('caseload data'!S:S,'caseload data'!$B:$B,"custody",'caseload data'!$C:$C,'custody %'!$B$85),"")</f>
        <v/>
      </c>
      <c r="R90" s="167" t="str">
        <f>IFERROR(SUMIFS('caseload data'!T:T,'caseload data'!$C:$C,'custody %'!$B$85,'caseload data'!$D:$D,"SPO",'caseload data'!$B:$B,"custody")/SUMIFS('caseload data'!T:T,'caseload data'!$B:$B,"custody",'caseload data'!$C:$C,'custody %'!$B$85),"")</f>
        <v/>
      </c>
      <c r="T90" s="98" t="s">
        <v>954</v>
      </c>
      <c r="U90" s="167" t="str">
        <f>IFERROR(SUMIFS('caseload data'!E:E,'caseload data'!$C:$C,'custody %'!$T$85,'caseload data'!$D:$D,"SPO",'caseload data'!$B:$B,"custody")/SUMIFS('caseload data'!E:E,'caseload data'!$B:$B,"custody",'caseload data'!$C:$C,'custody %'!$T$85),"")</f>
        <v/>
      </c>
      <c r="V90" s="167" t="str">
        <f>IFERROR(SUMIFS('caseload data'!F:F,'caseload data'!$C:$C,'custody %'!$T$85,'caseload data'!$D:$D,"SPO",'caseload data'!$B:$B,"custody")/SUMIFS('caseload data'!F:F,'caseload data'!$B:$B,"custody",'caseload data'!$C:$C,'custody %'!$T$85),"")</f>
        <v/>
      </c>
      <c r="W90" s="167" t="str">
        <f>IFERROR(SUMIFS('caseload data'!G:G,'caseload data'!$C:$C,'custody %'!$T$85,'caseload data'!$D:$D,"SPO",'caseload data'!$B:$B,"custody")/SUMIFS('caseload data'!G:G,'caseload data'!$B:$B,"custody",'caseload data'!$C:$C,'custody %'!$T$85),"")</f>
        <v/>
      </c>
      <c r="X90" s="167" t="str">
        <f>IFERROR(SUMIFS('caseload data'!H:H,'caseload data'!$C:$C,'custody %'!$T$85,'caseload data'!$D:$D,"SPO",'caseload data'!$B:$B,"custody")/SUMIFS('caseload data'!H:H,'caseload data'!$B:$B,"custody",'caseload data'!$C:$C,'custody %'!$T$85),"")</f>
        <v/>
      </c>
      <c r="Y90" s="167" t="str">
        <f>IFERROR(SUMIFS('caseload data'!I:I,'caseload data'!$C:$C,'custody %'!$T$85,'caseload data'!$D:$D,"SPO",'caseload data'!$B:$B,"custody")/SUMIFS('caseload data'!I:I,'caseload data'!$B:$B,"custody",'caseload data'!$C:$C,'custody %'!$T$85),"")</f>
        <v/>
      </c>
      <c r="Z90" s="167" t="str">
        <f>IFERROR(SUMIFS('caseload data'!J:J,'caseload data'!$C:$C,'custody %'!$T$85,'caseload data'!$D:$D,"SPO",'caseload data'!$B:$B,"custody")/SUMIFS('caseload data'!J:J,'caseload data'!$B:$B,"custody",'caseload data'!$C:$C,'custody %'!$T$85),"")</f>
        <v/>
      </c>
      <c r="AA90" s="167" t="str">
        <f>IFERROR(SUMIFS('caseload data'!K:K,'caseload data'!$C:$C,'custody %'!$T$85,'caseload data'!$D:$D,"SPO",'caseload data'!$B:$B,"custody")/SUMIFS('caseload data'!K:K,'caseload data'!$B:$B,"custody",'caseload data'!$C:$C,'custody %'!$T$85),"")</f>
        <v/>
      </c>
      <c r="AB90" s="167" t="str">
        <f>IFERROR(SUMIFS('caseload data'!L:L,'caseload data'!$C:$C,'custody %'!$T$85,'caseload data'!$D:$D,"SPO",'caseload data'!$B:$B,"custody")/SUMIFS('caseload data'!L:L,'caseload data'!$B:$B,"custody",'caseload data'!$C:$C,'custody %'!$T$85),"")</f>
        <v/>
      </c>
      <c r="AC90" s="167" t="str">
        <f>IFERROR(SUMIFS('caseload data'!M:M,'caseload data'!$C:$C,'custody %'!$T$85,'caseload data'!$D:$D,"SPO",'caseload data'!$B:$B,"custody")/SUMIFS('caseload data'!M:M,'caseload data'!$B:$B,"custody",'caseload data'!$C:$C,'custody %'!$T$85),"")</f>
        <v/>
      </c>
      <c r="AD90" s="167" t="str">
        <f>IFERROR(SUMIFS('caseload data'!N:N,'caseload data'!$C:$C,'custody %'!$T$85,'caseload data'!$D:$D,"SPO",'caseload data'!$B:$B,"custody")/SUMIFS('caseload data'!N:N,'caseload data'!$B:$B,"custody",'caseload data'!$C:$C,'custody %'!$T$85),"")</f>
        <v/>
      </c>
      <c r="AE90" s="167" t="str">
        <f>IFERROR(SUMIFS('caseload data'!O:O,'caseload data'!$C:$C,'custody %'!$T$85,'caseload data'!$D:$D,"SPO",'caseload data'!$B:$B,"custody")/SUMIFS('caseload data'!O:O,'caseload data'!$B:$B,"custody",'caseload data'!$C:$C,'custody %'!$T$85),"")</f>
        <v/>
      </c>
      <c r="AF90" s="167" t="str">
        <f>IFERROR(SUMIFS('caseload data'!P:P,'caseload data'!$C:$C,'custody %'!$T$85,'caseload data'!$D:$D,"SPO",'caseload data'!$B:$B,"custody")/SUMIFS('caseload data'!P:P,'caseload data'!$B:$B,"custody",'caseload data'!$C:$C,'custody %'!$T$85),"")</f>
        <v/>
      </c>
      <c r="AG90" s="167" t="str">
        <f>IFERROR(SUMIFS('caseload data'!Q:Q,'caseload data'!$C:$C,'custody %'!$T$85,'caseload data'!$D:$D,"SPO",'caseload data'!$B:$B,"custody")/SUMIFS('caseload data'!Q:Q,'caseload data'!$B:$B,"custody",'caseload data'!$C:$C,'custody %'!$T$85),"")</f>
        <v/>
      </c>
      <c r="AH90" s="167" t="str">
        <f>IFERROR(SUMIFS('caseload data'!R:R,'caseload data'!$C:$C,'custody %'!$T$85,'caseload data'!$D:$D,"SPO",'caseload data'!$B:$B,"custody")/SUMIFS('caseload data'!R:R,'caseload data'!$B:$B,"custody",'caseload data'!$C:$C,'custody %'!$T$85),"")</f>
        <v/>
      </c>
      <c r="AI90" s="167"/>
      <c r="AJ90" s="167"/>
    </row>
    <row r="92" spans="2:36" ht="21" customHeight="1" x14ac:dyDescent="0.15">
      <c r="B92" s="288">
        <f>HLOOKUP($B$5,Region_Table,26,0)</f>
        <v>0</v>
      </c>
      <c r="C92" s="548" t="s">
        <v>1073</v>
      </c>
      <c r="D92" s="549"/>
      <c r="E92" s="549"/>
      <c r="F92" s="549"/>
      <c r="G92" s="549"/>
      <c r="H92" s="549"/>
      <c r="I92" s="549"/>
      <c r="J92" s="549"/>
      <c r="K92" s="549"/>
      <c r="L92" s="549"/>
      <c r="M92" s="568"/>
      <c r="N92" s="568"/>
      <c r="O92" s="569"/>
      <c r="P92" s="543">
        <f>SUMIF('caseload data'!$C:$C,'custody %'!B92,'caseload data'!V:V)</f>
        <v>0</v>
      </c>
      <c r="Q92" s="560"/>
      <c r="R92" s="561"/>
      <c r="T92" s="288">
        <f>HLOOKUP($B$5,Region_Table,27,0)</f>
        <v>0</v>
      </c>
      <c r="U92" s="548" t="s">
        <v>1073</v>
      </c>
      <c r="V92" s="549"/>
      <c r="W92" s="549"/>
      <c r="X92" s="549"/>
      <c r="Y92" s="549"/>
      <c r="Z92" s="549"/>
      <c r="AA92" s="549"/>
      <c r="AB92" s="549"/>
      <c r="AC92" s="568"/>
      <c r="AD92" s="568"/>
      <c r="AE92" s="569"/>
      <c r="AF92" s="543">
        <f>SUMIF('caseload data'!$C:$C,'custody %'!T92,'caseload data'!V:V)</f>
        <v>0</v>
      </c>
      <c r="AG92" s="560"/>
      <c r="AH92" s="561"/>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167" t="str">
        <f>IFERROR(SUMIFS('caseload data'!E:E,'caseload data'!$C:$C,'custody %'!$B$92,'caseload data'!$D:$D,"PO",'caseload data'!$B:$B,"custody")/SUMIFS('caseload data'!E:E,'caseload data'!$B:$B,"custody",'caseload data'!$C:$C,'custody %'!$B$92),"")</f>
        <v/>
      </c>
      <c r="D94" s="167" t="str">
        <f>IFERROR(SUMIFS('caseload data'!F:F,'caseload data'!$C:$C,'custody %'!$B$92,'caseload data'!$D:$D,"PO",'caseload data'!$B:$B,"custody")/SUMIFS('caseload data'!F:F,'caseload data'!$B:$B,"custody",'caseload data'!$C:$C,'custody %'!$B$92),"")</f>
        <v/>
      </c>
      <c r="E94" s="167" t="str">
        <f>IFERROR(SUMIFS('caseload data'!G:G,'caseload data'!$C:$C,'custody %'!$B$92,'caseload data'!$D:$D,"PO",'caseload data'!$B:$B,"custody")/SUMIFS('caseload data'!G:G,'caseload data'!$B:$B,"custody",'caseload data'!$C:$C,'custody %'!$B$92),"")</f>
        <v/>
      </c>
      <c r="F94" s="167" t="str">
        <f>IFERROR(SUMIFS('caseload data'!H:H,'caseload data'!$C:$C,'custody %'!$B$92,'caseload data'!$D:$D,"PO",'caseload data'!$B:$B,"custody")/SUMIFS('caseload data'!H:H,'caseload data'!$B:$B,"custody",'caseload data'!$C:$C,'custody %'!$B$92),"")</f>
        <v/>
      </c>
      <c r="G94" s="167" t="str">
        <f>IFERROR(SUMIFS('caseload data'!I:I,'caseload data'!$C:$C,'custody %'!$B$92,'caseload data'!$D:$D,"PO",'caseload data'!$B:$B,"custody")/SUMIFS('caseload data'!I:I,'caseload data'!$B:$B,"custody",'caseload data'!$C:$C,'custody %'!$B$92),"")</f>
        <v/>
      </c>
      <c r="H94" s="167" t="str">
        <f>IFERROR(SUMIFS('caseload data'!J:J,'caseload data'!$C:$C,'custody %'!$B$92,'caseload data'!$D:$D,"PO",'caseload data'!$B:$B,"custody")/SUMIFS('caseload data'!J:J,'caseload data'!$B:$B,"custody",'caseload data'!$C:$C,'custody %'!$B$92),"")</f>
        <v/>
      </c>
      <c r="I94" s="167" t="str">
        <f>IFERROR(SUMIFS('caseload data'!K:K,'caseload data'!$C:$C,'custody %'!$B$92,'caseload data'!$D:$D,"PO",'caseload data'!$B:$B,"custody")/SUMIFS('caseload data'!K:K,'caseload data'!$B:$B,"custody",'caseload data'!$C:$C,'custody %'!$B$92),"")</f>
        <v/>
      </c>
      <c r="J94" s="167" t="str">
        <f>IFERROR(SUMIFS('caseload data'!L:L,'caseload data'!$C:$C,'custody %'!$B$92,'caseload data'!$D:$D,"PO",'caseload data'!$B:$B,"custody")/SUMIFS('caseload data'!L:L,'caseload data'!$B:$B,"custody",'caseload data'!$C:$C,'custody %'!$B$92),"")</f>
        <v/>
      </c>
      <c r="K94" s="167" t="str">
        <f>IFERROR(SUMIFS('caseload data'!M:M,'caseload data'!$C:$C,'custody %'!$B$92,'caseload data'!$D:$D,"PO",'caseload data'!$B:$B,"custody")/SUMIFS('caseload data'!M:M,'caseload data'!$B:$B,"custody",'caseload data'!$C:$C,'custody %'!$B$92),"")</f>
        <v/>
      </c>
      <c r="L94" s="167" t="str">
        <f>IFERROR(SUMIFS('caseload data'!N:N,'caseload data'!$C:$C,'custody %'!$B$92,'caseload data'!$D:$D,"PO",'caseload data'!$B:$B,"custody")/SUMIFS('caseload data'!N:N,'caseload data'!$B:$B,"custody",'caseload data'!$C:$C,'custody %'!$B$92),"")</f>
        <v/>
      </c>
      <c r="M94" s="167" t="str">
        <f>IFERROR(SUMIFS('caseload data'!O:O,'caseload data'!$C:$C,'custody %'!$B$92,'caseload data'!$D:$D,"PO",'caseload data'!$B:$B,"custody")/SUMIFS('caseload data'!O:O,'caseload data'!$B:$B,"custody",'caseload data'!$C:$C,'custody %'!$B$92),"")</f>
        <v/>
      </c>
      <c r="N94" s="167" t="str">
        <f>IFERROR(SUMIFS('caseload data'!P:P,'caseload data'!$C:$C,'custody %'!$B$92,'caseload data'!$D:$D,"PO",'caseload data'!$B:$B,"custody")/SUMIFS('caseload data'!P:P,'caseload data'!$B:$B,"custody",'caseload data'!$C:$C,'custody %'!$B$92),"")</f>
        <v/>
      </c>
      <c r="O94" s="167" t="str">
        <f>IFERROR(SUMIFS('caseload data'!Q:Q,'caseload data'!$C:$C,'custody %'!$B$92,'caseload data'!$D:$D,"PO",'caseload data'!$B:$B,"custody")/SUMIFS('caseload data'!Q:Q,'caseload data'!$B:$B,"custody",'caseload data'!$C:$C,'custody %'!$B$92),"")</f>
        <v/>
      </c>
      <c r="P94" s="167" t="str">
        <f>IFERROR(SUMIFS('caseload data'!R:R,'caseload data'!$C:$C,'custody %'!$B$92,'caseload data'!$D:$D,"PO",'caseload data'!$B:$B,"custody")/SUMIFS('caseload data'!R:R,'caseload data'!$B:$B,"custody",'caseload data'!$C:$C,'custody %'!$B$92),"")</f>
        <v/>
      </c>
      <c r="Q94" s="167" t="str">
        <f>IFERROR(SUMIFS('caseload data'!S:S,'caseload data'!$C:$C,'custody %'!$B$92,'caseload data'!$D:$D,"PO",'caseload data'!$B:$B,"custody")/SUMIFS('caseload data'!S:S,'caseload data'!$B:$B,"custody",'caseload data'!$C:$C,'custody %'!$B$92),"")</f>
        <v/>
      </c>
      <c r="R94" s="167" t="str">
        <f>IFERROR(SUMIFS('caseload data'!T:T,'caseload data'!$C:$C,'custody %'!$B$92,'caseload data'!$D:$D,"PO",'caseload data'!$B:$B,"custody")/SUMIFS('caseload data'!T:T,'caseload data'!$B:$B,"custody",'caseload data'!$C:$C,'custody %'!$B$92),"")</f>
        <v/>
      </c>
      <c r="T94" s="96" t="s">
        <v>947</v>
      </c>
      <c r="U94" s="167" t="str">
        <f>IFERROR(SUMIFS('caseload data'!E:E,'caseload data'!$C:$C,'custody %'!$T$92,'caseload data'!$D:$D,"PO",'caseload data'!$B:$B,"custody")/SUMIFS('caseload data'!E:E,'caseload data'!$B:$B,"custody",'caseload data'!$C:$C,'custody %'!$T$92),"")</f>
        <v/>
      </c>
      <c r="V94" s="167" t="str">
        <f>IFERROR(SUMIFS('caseload data'!F:F,'caseload data'!$C:$C,'custody %'!$T$92,'caseload data'!$D:$D,"PO",'caseload data'!$B:$B,"custody")/SUMIFS('caseload data'!F:F,'caseload data'!$B:$B,"custody",'caseload data'!$C:$C,'custody %'!$T$92),"")</f>
        <v/>
      </c>
      <c r="W94" s="167" t="str">
        <f>IFERROR(SUMIFS('caseload data'!G:G,'caseload data'!$C:$C,'custody %'!$T$92,'caseload data'!$D:$D,"PO",'caseload data'!$B:$B,"custody")/SUMIFS('caseload data'!G:G,'caseload data'!$B:$B,"custody",'caseload data'!$C:$C,'custody %'!$T$92),"")</f>
        <v/>
      </c>
      <c r="X94" s="167" t="str">
        <f>IFERROR(SUMIFS('caseload data'!H:H,'caseload data'!$C:$C,'custody %'!$T$92,'caseload data'!$D:$D,"PO",'caseload data'!$B:$B,"custody")/SUMIFS('caseload data'!H:H,'caseload data'!$B:$B,"custody",'caseload data'!$C:$C,'custody %'!$T$92),"")</f>
        <v/>
      </c>
      <c r="Y94" s="167" t="str">
        <f>IFERROR(SUMIFS('caseload data'!I:I,'caseload data'!$C:$C,'custody %'!$T$92,'caseload data'!$D:$D,"PO",'caseload data'!$B:$B,"custody")/SUMIFS('caseload data'!I:I,'caseload data'!$B:$B,"custody",'caseload data'!$C:$C,'custody %'!$T$92),"")</f>
        <v/>
      </c>
      <c r="Z94" s="167" t="str">
        <f>IFERROR(SUMIFS('caseload data'!J:J,'caseload data'!$C:$C,'custody %'!$T$92,'caseload data'!$D:$D,"PO",'caseload data'!$B:$B,"custody")/SUMIFS('caseload data'!J:J,'caseload data'!$B:$B,"custody",'caseload data'!$C:$C,'custody %'!$T$92),"")</f>
        <v/>
      </c>
      <c r="AA94" s="167" t="str">
        <f>IFERROR(SUMIFS('caseload data'!K:K,'caseload data'!$C:$C,'custody %'!$T$92,'caseload data'!$D:$D,"PO",'caseload data'!$B:$B,"custody")/SUMIFS('caseload data'!K:K,'caseload data'!$B:$B,"custody",'caseload data'!$C:$C,'custody %'!$T$92),"")</f>
        <v/>
      </c>
      <c r="AB94" s="167" t="str">
        <f>IFERROR(SUMIFS('caseload data'!L:L,'caseload data'!$C:$C,'custody %'!$T$92,'caseload data'!$D:$D,"PO",'caseload data'!$B:$B,"custody")/SUMIFS('caseload data'!L:L,'caseload data'!$B:$B,"custody",'caseload data'!$C:$C,'custody %'!$T$92),"")</f>
        <v/>
      </c>
      <c r="AC94" s="167" t="str">
        <f>IFERROR(SUMIFS('caseload data'!M:M,'caseload data'!$C:$C,'custody %'!$T$92,'caseload data'!$D:$D,"PO",'caseload data'!$B:$B,"custody")/SUMIFS('caseload data'!M:M,'caseload data'!$B:$B,"custody",'caseload data'!$C:$C,'custody %'!$T$92),"")</f>
        <v/>
      </c>
      <c r="AD94" s="167" t="str">
        <f>IFERROR(SUMIFS('caseload data'!N:N,'caseload data'!$C:$C,'custody %'!$T$92,'caseload data'!$D:$D,"PO",'caseload data'!$B:$B,"custody")/SUMIFS('caseload data'!N:N,'caseload data'!$B:$B,"custody",'caseload data'!$C:$C,'custody %'!$T$92),"")</f>
        <v/>
      </c>
      <c r="AE94" s="167" t="str">
        <f>IFERROR(SUMIFS('caseload data'!O:O,'caseload data'!$C:$C,'custody %'!$T$92,'caseload data'!$D:$D,"PO",'caseload data'!$B:$B,"custody")/SUMIFS('caseload data'!O:O,'caseload data'!$B:$B,"custody",'caseload data'!$C:$C,'custody %'!$T$92),"")</f>
        <v/>
      </c>
      <c r="AF94" s="167" t="str">
        <f>IFERROR(SUMIFS('caseload data'!P:P,'caseload data'!$C:$C,'custody %'!$T$92,'caseload data'!$D:$D,"PO",'caseload data'!$B:$B,"custody")/SUMIFS('caseload data'!P:P,'caseload data'!$B:$B,"custody",'caseload data'!$C:$C,'custody %'!$T$92),"")</f>
        <v/>
      </c>
      <c r="AG94" s="167" t="str">
        <f>IFERROR(SUMIFS('caseload data'!Q:Q,'caseload data'!$C:$C,'custody %'!$T$92,'caseload data'!$D:$D,"PO",'caseload data'!$B:$B,"custody")/SUMIFS('caseload data'!Q:Q,'caseload data'!$B:$B,"custody",'caseload data'!$C:$C,'custody %'!$T$92),"")</f>
        <v/>
      </c>
      <c r="AH94" s="167" t="str">
        <f>IFERROR(SUMIFS('caseload data'!R:R,'caseload data'!$C:$C,'custody %'!$T$92,'caseload data'!$D:$D,"PO",'caseload data'!$B:$B,"custody")/SUMIFS('caseload data'!R:R,'caseload data'!$B:$B,"custody",'caseload data'!$C:$C,'custody %'!$T$92),"")</f>
        <v/>
      </c>
      <c r="AI94" s="167"/>
      <c r="AJ94" s="167"/>
    </row>
    <row r="95" spans="2:36" x14ac:dyDescent="0.15">
      <c r="B95" s="97" t="s">
        <v>952</v>
      </c>
      <c r="C95" s="167" t="str">
        <f>IFERROR(SUMIFS('caseload data'!E:E,'caseload data'!$C:$C,'custody %'!$B$92,'caseload data'!$D:$D,"PSO",'caseload data'!$B:$B,"custody")/SUMIFS('caseload data'!E:E,'caseload data'!$B:$B,"custody",'caseload data'!$C:$C,'custody %'!$B$92),"")</f>
        <v/>
      </c>
      <c r="D95" s="167" t="str">
        <f>IFERROR(SUMIFS('caseload data'!F:F,'caseload data'!$C:$C,'custody %'!$B$92,'caseload data'!$D:$D,"PSO",'caseload data'!$B:$B,"custody")/SUMIFS('caseload data'!F:F,'caseload data'!$B:$B,"custody",'caseload data'!$C:$C,'custody %'!$B$92),"")</f>
        <v/>
      </c>
      <c r="E95" s="167" t="str">
        <f>IFERROR(SUMIFS('caseload data'!G:G,'caseload data'!$C:$C,'custody %'!$B$92,'caseload data'!$D:$D,"PSO",'caseload data'!$B:$B,"custody")/SUMIFS('caseload data'!G:G,'caseload data'!$B:$B,"custody",'caseload data'!$C:$C,'custody %'!$B$92),"")</f>
        <v/>
      </c>
      <c r="F95" s="167" t="str">
        <f>IFERROR(SUMIFS('caseload data'!H:H,'caseload data'!$C:$C,'custody %'!$B$92,'caseload data'!$D:$D,"PSO",'caseload data'!$B:$B,"custody")/SUMIFS('caseload data'!H:H,'caseload data'!$B:$B,"custody",'caseload data'!$C:$C,'custody %'!$B$92),"")</f>
        <v/>
      </c>
      <c r="G95" s="167" t="str">
        <f>IFERROR(SUMIFS('caseload data'!I:I,'caseload data'!$C:$C,'custody %'!$B$92,'caseload data'!$D:$D,"PSO",'caseload data'!$B:$B,"custody")/SUMIFS('caseload data'!I:I,'caseload data'!$B:$B,"custody",'caseload data'!$C:$C,'custody %'!$B$92),"")</f>
        <v/>
      </c>
      <c r="H95" s="167" t="str">
        <f>IFERROR(SUMIFS('caseload data'!J:J,'caseload data'!$C:$C,'custody %'!$B$92,'caseload data'!$D:$D,"PSO",'caseload data'!$B:$B,"custody")/SUMIFS('caseload data'!J:J,'caseload data'!$B:$B,"custody",'caseload data'!$C:$C,'custody %'!$B$92),"")</f>
        <v/>
      </c>
      <c r="I95" s="167" t="str">
        <f>IFERROR(SUMIFS('caseload data'!K:K,'caseload data'!$C:$C,'custody %'!$B$92,'caseload data'!$D:$D,"PSO",'caseload data'!$B:$B,"custody")/SUMIFS('caseload data'!K:K,'caseload data'!$B:$B,"custody",'caseload data'!$C:$C,'custody %'!$B$92),"")</f>
        <v/>
      </c>
      <c r="J95" s="167" t="str">
        <f>IFERROR(SUMIFS('caseload data'!L:L,'caseload data'!$C:$C,'custody %'!$B$92,'caseload data'!$D:$D,"PSO",'caseload data'!$B:$B,"custody")/SUMIFS('caseload data'!L:L,'caseload data'!$B:$B,"custody",'caseload data'!$C:$C,'custody %'!$B$92),"")</f>
        <v/>
      </c>
      <c r="K95" s="167" t="str">
        <f>IFERROR(SUMIFS('caseload data'!M:M,'caseload data'!$C:$C,'custody %'!$B$92,'caseload data'!$D:$D,"PSO",'caseload data'!$B:$B,"custody")/SUMIFS('caseload data'!M:M,'caseload data'!$B:$B,"custody",'caseload data'!$C:$C,'custody %'!$B$92),"")</f>
        <v/>
      </c>
      <c r="L95" s="167" t="str">
        <f>IFERROR(SUMIFS('caseload data'!N:N,'caseload data'!$C:$C,'custody %'!$B$92,'caseload data'!$D:$D,"PSO",'caseload data'!$B:$B,"custody")/SUMIFS('caseload data'!N:N,'caseload data'!$B:$B,"custody",'caseload data'!$C:$C,'custody %'!$B$92),"")</f>
        <v/>
      </c>
      <c r="M95" s="167" t="str">
        <f>IFERROR(SUMIFS('caseload data'!O:O,'caseload data'!$C:$C,'custody %'!$B$92,'caseload data'!$D:$D,"PSO",'caseload data'!$B:$B,"custody")/SUMIFS('caseload data'!O:O,'caseload data'!$B:$B,"custody",'caseload data'!$C:$C,'custody %'!$B$92),"")</f>
        <v/>
      </c>
      <c r="N95" s="167" t="str">
        <f>IFERROR(SUMIFS('caseload data'!P:P,'caseload data'!$C:$C,'custody %'!$B$92,'caseload data'!$D:$D,"PSO",'caseload data'!$B:$B,"custody")/SUMIFS('caseload data'!P:P,'caseload data'!$B:$B,"custody",'caseload data'!$C:$C,'custody %'!$B$92),"")</f>
        <v/>
      </c>
      <c r="O95" s="167" t="str">
        <f>IFERROR(SUMIFS('caseload data'!Q:Q,'caseload data'!$C:$C,'custody %'!$B$92,'caseload data'!$D:$D,"PSO",'caseload data'!$B:$B,"custody")/SUMIFS('caseload data'!Q:Q,'caseload data'!$B:$B,"custody",'caseload data'!$C:$C,'custody %'!$B$92),"")</f>
        <v/>
      </c>
      <c r="P95" s="167" t="str">
        <f>IFERROR(SUMIFS('caseload data'!R:R,'caseload data'!$C:$C,'custody %'!$B$92,'caseload data'!$D:$D,"PSO",'caseload data'!$B:$B,"custody")/SUMIFS('caseload data'!R:R,'caseload data'!$B:$B,"custody",'caseload data'!$C:$C,'custody %'!$B$92),"")</f>
        <v/>
      </c>
      <c r="Q95" s="167" t="str">
        <f>IFERROR(SUMIFS('caseload data'!S:S,'caseload data'!$C:$C,'custody %'!$B$92,'caseload data'!$D:$D,"PSO",'caseload data'!$B:$B,"custody")/SUMIFS('caseload data'!S:S,'caseload data'!$B:$B,"custody",'caseload data'!$C:$C,'custody %'!$B$92),"")</f>
        <v/>
      </c>
      <c r="R95" s="167" t="str">
        <f>IFERROR(SUMIFS('caseload data'!T:T,'caseload data'!$C:$C,'custody %'!$B$92,'caseload data'!$D:$D,"PSO",'caseload data'!$B:$B,"custody")/SUMIFS('caseload data'!T:T,'caseload data'!$B:$B,"custody",'caseload data'!$C:$C,'custody %'!$B$92),"")</f>
        <v/>
      </c>
      <c r="T95" s="97" t="s">
        <v>952</v>
      </c>
      <c r="U95" s="167" t="str">
        <f>IFERROR(SUMIFS('caseload data'!E:E,'caseload data'!$C:$C,'custody %'!$T$92,'caseload data'!$D:$D,"PSO",'caseload data'!$B:$B,"custody")/SUMIFS('caseload data'!E:E,'caseload data'!$B:$B,"custody",'caseload data'!$C:$C,'custody %'!$T$92),"")</f>
        <v/>
      </c>
      <c r="V95" s="167" t="str">
        <f>IFERROR(SUMIFS('caseload data'!F:F,'caseload data'!$C:$C,'custody %'!$T$92,'caseload data'!$D:$D,"PSO",'caseload data'!$B:$B,"custody")/SUMIFS('caseload data'!F:F,'caseload data'!$B:$B,"custody",'caseload data'!$C:$C,'custody %'!$T$92),"")</f>
        <v/>
      </c>
      <c r="W95" s="167" t="str">
        <f>IFERROR(SUMIFS('caseload data'!G:G,'caseload data'!$C:$C,'custody %'!$T$92,'caseload data'!$D:$D,"PSO",'caseload data'!$B:$B,"custody")/SUMIFS('caseload data'!G:G,'caseload data'!$B:$B,"custody",'caseload data'!$C:$C,'custody %'!$T$92),"")</f>
        <v/>
      </c>
      <c r="X95" s="167" t="str">
        <f>IFERROR(SUMIFS('caseload data'!H:H,'caseload data'!$C:$C,'custody %'!$T$92,'caseload data'!$D:$D,"PSO",'caseload data'!$B:$B,"custody")/SUMIFS('caseload data'!H:H,'caseload data'!$B:$B,"custody",'caseload data'!$C:$C,'custody %'!$T$92),"")</f>
        <v/>
      </c>
      <c r="Y95" s="167" t="str">
        <f>IFERROR(SUMIFS('caseload data'!I:I,'caseload data'!$C:$C,'custody %'!$T$92,'caseload data'!$D:$D,"PSO",'caseload data'!$B:$B,"custody")/SUMIFS('caseload data'!I:I,'caseload data'!$B:$B,"custody",'caseload data'!$C:$C,'custody %'!$T$92),"")</f>
        <v/>
      </c>
      <c r="Z95" s="167" t="str">
        <f>IFERROR(SUMIFS('caseload data'!J:J,'caseload data'!$C:$C,'custody %'!$T$92,'caseload data'!$D:$D,"PSO",'caseload data'!$B:$B,"custody")/SUMIFS('caseload data'!J:J,'caseload data'!$B:$B,"custody",'caseload data'!$C:$C,'custody %'!$T$92),"")</f>
        <v/>
      </c>
      <c r="AA95" s="167" t="str">
        <f>IFERROR(SUMIFS('caseload data'!K:K,'caseload data'!$C:$C,'custody %'!$T$92,'caseload data'!$D:$D,"PSO",'caseload data'!$B:$B,"custody")/SUMIFS('caseload data'!K:K,'caseload data'!$B:$B,"custody",'caseload data'!$C:$C,'custody %'!$T$92),"")</f>
        <v/>
      </c>
      <c r="AB95" s="167" t="str">
        <f>IFERROR(SUMIFS('caseload data'!L:L,'caseload data'!$C:$C,'custody %'!$T$92,'caseload data'!$D:$D,"PSO",'caseload data'!$B:$B,"custody")/SUMIFS('caseload data'!L:L,'caseload data'!$B:$B,"custody",'caseload data'!$C:$C,'custody %'!$T$92),"")</f>
        <v/>
      </c>
      <c r="AC95" s="167" t="str">
        <f>IFERROR(SUMIFS('caseload data'!M:M,'caseload data'!$C:$C,'custody %'!$T$92,'caseload data'!$D:$D,"PSO",'caseload data'!$B:$B,"custody")/SUMIFS('caseload data'!M:M,'caseload data'!$B:$B,"custody",'caseload data'!$C:$C,'custody %'!$T$92),"")</f>
        <v/>
      </c>
      <c r="AD95" s="167" t="str">
        <f>IFERROR(SUMIFS('caseload data'!N:N,'caseload data'!$C:$C,'custody %'!$T$92,'caseload data'!$D:$D,"PSO",'caseload data'!$B:$B,"custody")/SUMIFS('caseload data'!N:N,'caseload data'!$B:$B,"custody",'caseload data'!$C:$C,'custody %'!$T$92),"")</f>
        <v/>
      </c>
      <c r="AE95" s="167" t="str">
        <f>IFERROR(SUMIFS('caseload data'!O:O,'caseload data'!$C:$C,'custody %'!$T$92,'caseload data'!$D:$D,"PSO",'caseload data'!$B:$B,"custody")/SUMIFS('caseload data'!O:O,'caseload data'!$B:$B,"custody",'caseload data'!$C:$C,'custody %'!$T$92),"")</f>
        <v/>
      </c>
      <c r="AF95" s="167" t="str">
        <f>IFERROR(SUMIFS('caseload data'!P:P,'caseload data'!$C:$C,'custody %'!$T$92,'caseload data'!$D:$D,"PSO",'caseload data'!$B:$B,"custody")/SUMIFS('caseload data'!P:P,'caseload data'!$B:$B,"custody",'caseload data'!$C:$C,'custody %'!$T$92),"")</f>
        <v/>
      </c>
      <c r="AG95" s="167" t="str">
        <f>IFERROR(SUMIFS('caseload data'!Q:Q,'caseload data'!$C:$C,'custody %'!$T$92,'caseload data'!$D:$D,"PSO",'caseload data'!$B:$B,"custody")/SUMIFS('caseload data'!Q:Q,'caseload data'!$B:$B,"custody",'caseload data'!$C:$C,'custody %'!$T$92),"")</f>
        <v/>
      </c>
      <c r="AH95" s="167" t="str">
        <f>IFERROR(SUMIFS('caseload data'!R:R,'caseload data'!$C:$C,'custody %'!$T$92,'caseload data'!$D:$D,"PSO",'caseload data'!$B:$B,"custody")/SUMIFS('caseload data'!R:R,'caseload data'!$B:$B,"custody",'caseload data'!$C:$C,'custody %'!$T$92),"")</f>
        <v/>
      </c>
      <c r="AI95" s="167"/>
      <c r="AJ95" s="167"/>
    </row>
    <row r="96" spans="2:36" x14ac:dyDescent="0.15">
      <c r="B96" s="97" t="s">
        <v>953</v>
      </c>
      <c r="C96" s="167" t="str">
        <f>IFERROR(SUMIFS('caseload data'!E:E,'caseload data'!$C:$C,'custody %'!$B$92,'caseload data'!$D:$D,"TPO",'caseload data'!$B:$B,"custody")/SUMIFS('caseload data'!E:E,'caseload data'!$B:$B,"custody",'caseload data'!$C:$C,'custody %'!$B$92),"")</f>
        <v/>
      </c>
      <c r="D96" s="167" t="str">
        <f>IFERROR(SUMIFS('caseload data'!F:F,'caseload data'!$C:$C,'custody %'!$B$92,'caseload data'!$D:$D,"TPO",'caseload data'!$B:$B,"custody")/SUMIFS('caseload data'!F:F,'caseload data'!$B:$B,"custody",'caseload data'!$C:$C,'custody %'!$B$92),"")</f>
        <v/>
      </c>
      <c r="E96" s="167" t="str">
        <f>IFERROR(SUMIFS('caseload data'!G:G,'caseload data'!$C:$C,'custody %'!$B$92,'caseload data'!$D:$D,"TPO",'caseload data'!$B:$B,"custody")/SUMIFS('caseload data'!G:G,'caseload data'!$B:$B,"custody",'caseload data'!$C:$C,'custody %'!$B$92),"")</f>
        <v/>
      </c>
      <c r="F96" s="167" t="str">
        <f>IFERROR(SUMIFS('caseload data'!H:H,'caseload data'!$C:$C,'custody %'!$B$92,'caseload data'!$D:$D,"TPO",'caseload data'!$B:$B,"custody")/SUMIFS('caseload data'!H:H,'caseload data'!$B:$B,"custody",'caseload data'!$C:$C,'custody %'!$B$92),"")</f>
        <v/>
      </c>
      <c r="G96" s="167" t="str">
        <f>IFERROR(SUMIFS('caseload data'!I:I,'caseload data'!$C:$C,'custody %'!$B$92,'caseload data'!$D:$D,"TPO",'caseload data'!$B:$B,"custody")/SUMIFS('caseload data'!I:I,'caseload data'!$B:$B,"custody",'caseload data'!$C:$C,'custody %'!$B$92),"")</f>
        <v/>
      </c>
      <c r="H96" s="167" t="str">
        <f>IFERROR(SUMIFS('caseload data'!J:J,'caseload data'!$C:$C,'custody %'!$B$92,'caseload data'!$D:$D,"TPO",'caseload data'!$B:$B,"custody")/SUMIFS('caseload data'!J:J,'caseload data'!$B:$B,"custody",'caseload data'!$C:$C,'custody %'!$B$92),"")</f>
        <v/>
      </c>
      <c r="I96" s="167" t="str">
        <f>IFERROR(SUMIFS('caseload data'!K:K,'caseload data'!$C:$C,'custody %'!$B$92,'caseload data'!$D:$D,"TPO",'caseload data'!$B:$B,"custody")/SUMIFS('caseload data'!K:K,'caseload data'!$B:$B,"custody",'caseload data'!$C:$C,'custody %'!$B$92),"")</f>
        <v/>
      </c>
      <c r="J96" s="167" t="str">
        <f>IFERROR(SUMIFS('caseload data'!L:L,'caseload data'!$C:$C,'custody %'!$B$92,'caseload data'!$D:$D,"TPO",'caseload data'!$B:$B,"custody")/SUMIFS('caseload data'!L:L,'caseload data'!$B:$B,"custody",'caseload data'!$C:$C,'custody %'!$B$92),"")</f>
        <v/>
      </c>
      <c r="K96" s="167" t="str">
        <f>IFERROR(SUMIFS('caseload data'!M:M,'caseload data'!$C:$C,'custody %'!$B$92,'caseload data'!$D:$D,"TPO",'caseload data'!$B:$B,"custody")/SUMIFS('caseload data'!M:M,'caseload data'!$B:$B,"custody",'caseload data'!$C:$C,'custody %'!$B$92),"")</f>
        <v/>
      </c>
      <c r="L96" s="167" t="str">
        <f>IFERROR(SUMIFS('caseload data'!N:N,'caseload data'!$C:$C,'custody %'!$B$92,'caseload data'!$D:$D,"TPO",'caseload data'!$B:$B,"custody")/SUMIFS('caseload data'!N:N,'caseload data'!$B:$B,"custody",'caseload data'!$C:$C,'custody %'!$B$92),"")</f>
        <v/>
      </c>
      <c r="M96" s="167" t="str">
        <f>IFERROR(SUMIFS('caseload data'!O:O,'caseload data'!$C:$C,'custody %'!$B$92,'caseload data'!$D:$D,"TPO",'caseload data'!$B:$B,"custody")/SUMIFS('caseload data'!O:O,'caseload data'!$B:$B,"custody",'caseload data'!$C:$C,'custody %'!$B$92),"")</f>
        <v/>
      </c>
      <c r="N96" s="167" t="str">
        <f>IFERROR(SUMIFS('caseload data'!P:P,'caseload data'!$C:$C,'custody %'!$B$92,'caseload data'!$D:$D,"TPO",'caseload data'!$B:$B,"custody")/SUMIFS('caseload data'!P:P,'caseload data'!$B:$B,"custody",'caseload data'!$C:$C,'custody %'!$B$92),"")</f>
        <v/>
      </c>
      <c r="O96" s="167" t="str">
        <f>IFERROR(SUMIFS('caseload data'!Q:Q,'caseload data'!$C:$C,'custody %'!$B$92,'caseload data'!$D:$D,"TPO",'caseload data'!$B:$B,"custody")/SUMIFS('caseload data'!Q:Q,'caseload data'!$B:$B,"custody",'caseload data'!$C:$C,'custody %'!$B$92),"")</f>
        <v/>
      </c>
      <c r="P96" s="167" t="str">
        <f>IFERROR(SUMIFS('caseload data'!R:R,'caseload data'!$C:$C,'custody %'!$B$92,'caseload data'!$D:$D,"TPO",'caseload data'!$B:$B,"custody")/SUMIFS('caseload data'!R:R,'caseload data'!$B:$B,"custody",'caseload data'!$C:$C,'custody %'!$B$92),"")</f>
        <v/>
      </c>
      <c r="Q96" s="167" t="str">
        <f>IFERROR(SUMIFS('caseload data'!S:S,'caseload data'!$C:$C,'custody %'!$B$92,'caseload data'!$D:$D,"TPO",'caseload data'!$B:$B,"custody")/SUMIFS('caseload data'!S:S,'caseload data'!$B:$B,"custody",'caseload data'!$C:$C,'custody %'!$B$92),"")</f>
        <v/>
      </c>
      <c r="R96" s="167" t="str">
        <f>IFERROR(SUMIFS('caseload data'!T:T,'caseload data'!$C:$C,'custody %'!$B$92,'caseload data'!$D:$D,"TPO",'caseload data'!$B:$B,"custody")/SUMIFS('caseload data'!T:T,'caseload data'!$B:$B,"custody",'caseload data'!$C:$C,'custody %'!$B$92),"")</f>
        <v/>
      </c>
      <c r="T96" s="97" t="s">
        <v>953</v>
      </c>
      <c r="U96" s="167" t="str">
        <f>IFERROR(SUMIFS('caseload data'!E:E,'caseload data'!$C:$C,'custody %'!$T$92,'caseload data'!$D:$D,"TPO",'caseload data'!$B:$B,"custody")/SUMIFS('caseload data'!E:E,'caseload data'!$B:$B,"custody",'caseload data'!$C:$C,'custody %'!$T$92),"")</f>
        <v/>
      </c>
      <c r="V96" s="167" t="str">
        <f>IFERROR(SUMIFS('caseload data'!F:F,'caseload data'!$C:$C,'custody %'!$T$92,'caseload data'!$D:$D,"TPO",'caseload data'!$B:$B,"custody")/SUMIFS('caseload data'!F:F,'caseload data'!$B:$B,"custody",'caseload data'!$C:$C,'custody %'!$T$92),"")</f>
        <v/>
      </c>
      <c r="W96" s="167" t="str">
        <f>IFERROR(SUMIFS('caseload data'!G:G,'caseload data'!$C:$C,'custody %'!$T$92,'caseload data'!$D:$D,"TPO",'caseload data'!$B:$B,"custody")/SUMIFS('caseload data'!G:G,'caseload data'!$B:$B,"custody",'caseload data'!$C:$C,'custody %'!$T$92),"")</f>
        <v/>
      </c>
      <c r="X96" s="167" t="str">
        <f>IFERROR(SUMIFS('caseload data'!H:H,'caseload data'!$C:$C,'custody %'!$T$92,'caseload data'!$D:$D,"TPO",'caseload data'!$B:$B,"custody")/SUMIFS('caseload data'!H:H,'caseload data'!$B:$B,"custody",'caseload data'!$C:$C,'custody %'!$T$92),"")</f>
        <v/>
      </c>
      <c r="Y96" s="167" t="str">
        <f>IFERROR(SUMIFS('caseload data'!I:I,'caseload data'!$C:$C,'custody %'!$T$92,'caseload data'!$D:$D,"TPO",'caseload data'!$B:$B,"custody")/SUMIFS('caseload data'!I:I,'caseload data'!$B:$B,"custody",'caseload data'!$C:$C,'custody %'!$T$92),"")</f>
        <v/>
      </c>
      <c r="Z96" s="167" t="str">
        <f>IFERROR(SUMIFS('caseload data'!J:J,'caseload data'!$C:$C,'custody %'!$T$92,'caseload data'!$D:$D,"TPO",'caseload data'!$B:$B,"custody")/SUMIFS('caseload data'!J:J,'caseload data'!$B:$B,"custody",'caseload data'!$C:$C,'custody %'!$T$92),"")</f>
        <v/>
      </c>
      <c r="AA96" s="167" t="str">
        <f>IFERROR(SUMIFS('caseload data'!K:K,'caseload data'!$C:$C,'custody %'!$T$92,'caseload data'!$D:$D,"TPO",'caseload data'!$B:$B,"custody")/SUMIFS('caseload data'!K:K,'caseload data'!$B:$B,"custody",'caseload data'!$C:$C,'custody %'!$T$92),"")</f>
        <v/>
      </c>
      <c r="AB96" s="167" t="str">
        <f>IFERROR(SUMIFS('caseload data'!L:L,'caseload data'!$C:$C,'custody %'!$T$92,'caseload data'!$D:$D,"TPO",'caseload data'!$B:$B,"custody")/SUMIFS('caseload data'!L:L,'caseload data'!$B:$B,"custody",'caseload data'!$C:$C,'custody %'!$T$92),"")</f>
        <v/>
      </c>
      <c r="AC96" s="167" t="str">
        <f>IFERROR(SUMIFS('caseload data'!M:M,'caseload data'!$C:$C,'custody %'!$T$92,'caseload data'!$D:$D,"TPO",'caseload data'!$B:$B,"custody")/SUMIFS('caseload data'!M:M,'caseload data'!$B:$B,"custody",'caseload data'!$C:$C,'custody %'!$T$92),"")</f>
        <v/>
      </c>
      <c r="AD96" s="167" t="str">
        <f>IFERROR(SUMIFS('caseload data'!N:N,'caseload data'!$C:$C,'custody %'!$T$92,'caseload data'!$D:$D,"TPO",'caseload data'!$B:$B,"custody")/SUMIFS('caseload data'!N:N,'caseload data'!$B:$B,"custody",'caseload data'!$C:$C,'custody %'!$T$92),"")</f>
        <v/>
      </c>
      <c r="AE96" s="167" t="str">
        <f>IFERROR(SUMIFS('caseload data'!O:O,'caseload data'!$C:$C,'custody %'!$T$92,'caseload data'!$D:$D,"TPO",'caseload data'!$B:$B,"custody")/SUMIFS('caseload data'!O:O,'caseload data'!$B:$B,"custody",'caseload data'!$C:$C,'custody %'!$T$92),"")</f>
        <v/>
      </c>
      <c r="AF96" s="167" t="str">
        <f>IFERROR(SUMIFS('caseload data'!P:P,'caseload data'!$C:$C,'custody %'!$T$92,'caseload data'!$D:$D,"TPO",'caseload data'!$B:$B,"custody")/SUMIFS('caseload data'!P:P,'caseload data'!$B:$B,"custody",'caseload data'!$C:$C,'custody %'!$T$92),"")</f>
        <v/>
      </c>
      <c r="AG96" s="167" t="str">
        <f>IFERROR(SUMIFS('caseload data'!Q:Q,'caseload data'!$C:$C,'custody %'!$T$92,'caseload data'!$D:$D,"TPO",'caseload data'!$B:$B,"custody")/SUMIFS('caseload data'!Q:Q,'caseload data'!$B:$B,"custody",'caseload data'!$C:$C,'custody %'!$T$92),"")</f>
        <v/>
      </c>
      <c r="AH96" s="167" t="str">
        <f>IFERROR(SUMIFS('caseload data'!R:R,'caseload data'!$C:$C,'custody %'!$T$92,'caseload data'!$D:$D,"TPO",'caseload data'!$B:$B,"custody")/SUMIFS('caseload data'!R:R,'caseload data'!$B:$B,"custody",'caseload data'!$C:$C,'custody %'!$T$92),"")</f>
        <v/>
      </c>
      <c r="AI96" s="167"/>
      <c r="AJ96" s="167"/>
    </row>
    <row r="97" spans="2:36" x14ac:dyDescent="0.15">
      <c r="B97" s="98" t="s">
        <v>954</v>
      </c>
      <c r="C97" s="167" t="str">
        <f>IFERROR(SUMIFS('caseload data'!E:E,'caseload data'!$C:$C,'custody %'!$B$92,'caseload data'!$D:$D,"SPO",'caseload data'!$B:$B,"custody")/SUMIFS('caseload data'!E:E,'caseload data'!$B:$B,"custody",'caseload data'!$C:$C,'custody %'!$B$92),"")</f>
        <v/>
      </c>
      <c r="D97" s="167" t="str">
        <f>IFERROR(SUMIFS('caseload data'!F:F,'caseload data'!$C:$C,'custody %'!$B$92,'caseload data'!$D:$D,"SPO",'caseload data'!$B:$B,"custody")/SUMIFS('caseload data'!F:F,'caseload data'!$B:$B,"custody",'caseload data'!$C:$C,'custody %'!$B$92),"")</f>
        <v/>
      </c>
      <c r="E97" s="167" t="str">
        <f>IFERROR(SUMIFS('caseload data'!G:G,'caseload data'!$C:$C,'custody %'!$B$92,'caseload data'!$D:$D,"SPO",'caseload data'!$B:$B,"custody")/SUMIFS('caseload data'!G:G,'caseload data'!$B:$B,"custody",'caseload data'!$C:$C,'custody %'!$B$92),"")</f>
        <v/>
      </c>
      <c r="F97" s="167" t="str">
        <f>IFERROR(SUMIFS('caseload data'!H:H,'caseload data'!$C:$C,'custody %'!$B$92,'caseload data'!$D:$D,"SPO",'caseload data'!$B:$B,"custody")/SUMIFS('caseload data'!H:H,'caseload data'!$B:$B,"custody",'caseload data'!$C:$C,'custody %'!$B$92),"")</f>
        <v/>
      </c>
      <c r="G97" s="167" t="str">
        <f>IFERROR(SUMIFS('caseload data'!I:I,'caseload data'!$C:$C,'custody %'!$B$92,'caseload data'!$D:$D,"SPO",'caseload data'!$B:$B,"custody")/SUMIFS('caseload data'!I:I,'caseload data'!$B:$B,"custody",'caseload data'!$C:$C,'custody %'!$B$92),"")</f>
        <v/>
      </c>
      <c r="H97" s="167" t="str">
        <f>IFERROR(SUMIFS('caseload data'!J:J,'caseload data'!$C:$C,'custody %'!$B$92,'caseload data'!$D:$D,"SPO",'caseload data'!$B:$B,"custody")/SUMIFS('caseload data'!J:J,'caseload data'!$B:$B,"custody",'caseload data'!$C:$C,'custody %'!$B$92),"")</f>
        <v/>
      </c>
      <c r="I97" s="167" t="str">
        <f>IFERROR(SUMIFS('caseload data'!K:K,'caseload data'!$C:$C,'custody %'!$B$92,'caseload data'!$D:$D,"SPO",'caseload data'!$B:$B,"custody")/SUMIFS('caseload data'!K:K,'caseload data'!$B:$B,"custody",'caseload data'!$C:$C,'custody %'!$B$92),"")</f>
        <v/>
      </c>
      <c r="J97" s="167" t="str">
        <f>IFERROR(SUMIFS('caseload data'!L:L,'caseload data'!$C:$C,'custody %'!$B$92,'caseload data'!$D:$D,"SPO",'caseload data'!$B:$B,"custody")/SUMIFS('caseload data'!L:L,'caseload data'!$B:$B,"custody",'caseload data'!$C:$C,'custody %'!$B$92),"")</f>
        <v/>
      </c>
      <c r="K97" s="167" t="str">
        <f>IFERROR(SUMIFS('caseload data'!M:M,'caseload data'!$C:$C,'custody %'!$B$92,'caseload data'!$D:$D,"SPO",'caseload data'!$B:$B,"custody")/SUMIFS('caseload data'!M:M,'caseload data'!$B:$B,"custody",'caseload data'!$C:$C,'custody %'!$B$92),"")</f>
        <v/>
      </c>
      <c r="L97" s="167" t="str">
        <f>IFERROR(SUMIFS('caseload data'!N:N,'caseload data'!$C:$C,'custody %'!$B$92,'caseload data'!$D:$D,"SPO",'caseload data'!$B:$B,"custody")/SUMIFS('caseload data'!N:N,'caseload data'!$B:$B,"custody",'caseload data'!$C:$C,'custody %'!$B$92),"")</f>
        <v/>
      </c>
      <c r="M97" s="167" t="str">
        <f>IFERROR(SUMIFS('caseload data'!O:O,'caseload data'!$C:$C,'custody %'!$B$92,'caseload data'!$D:$D,"SPO",'caseload data'!$B:$B,"custody")/SUMIFS('caseload data'!O:O,'caseload data'!$B:$B,"custody",'caseload data'!$C:$C,'custody %'!$B$92),"")</f>
        <v/>
      </c>
      <c r="N97" s="167" t="str">
        <f>IFERROR(SUMIFS('caseload data'!P:P,'caseload data'!$C:$C,'custody %'!$B$92,'caseload data'!$D:$D,"SPO",'caseload data'!$B:$B,"custody")/SUMIFS('caseload data'!P:P,'caseload data'!$B:$B,"custody",'caseload data'!$C:$C,'custody %'!$B$92),"")</f>
        <v/>
      </c>
      <c r="O97" s="167" t="str">
        <f>IFERROR(SUMIFS('caseload data'!Q:Q,'caseload data'!$C:$C,'custody %'!$B$92,'caseload data'!$D:$D,"SPO",'caseload data'!$B:$B,"custody")/SUMIFS('caseload data'!Q:Q,'caseload data'!$B:$B,"custody",'caseload data'!$C:$C,'custody %'!$B$92),"")</f>
        <v/>
      </c>
      <c r="P97" s="167" t="str">
        <f>IFERROR(SUMIFS('caseload data'!R:R,'caseload data'!$C:$C,'custody %'!$B$92,'caseload data'!$D:$D,"SPO",'caseload data'!$B:$B,"custody")/SUMIFS('caseload data'!R:R,'caseload data'!$B:$B,"custody",'caseload data'!$C:$C,'custody %'!$B$92),"")</f>
        <v/>
      </c>
      <c r="Q97" s="167" t="str">
        <f>IFERROR(SUMIFS('caseload data'!S:S,'caseload data'!$C:$C,'custody %'!$B$92,'caseload data'!$D:$D,"SPO",'caseload data'!$B:$B,"custody")/SUMIFS('caseload data'!S:S,'caseload data'!$B:$B,"custody",'caseload data'!$C:$C,'custody %'!$B$92),"")</f>
        <v/>
      </c>
      <c r="R97" s="167" t="str">
        <f>IFERROR(SUMIFS('caseload data'!T:T,'caseload data'!$C:$C,'custody %'!$B$92,'caseload data'!$D:$D,"SPO",'caseload data'!$B:$B,"custody")/SUMIFS('caseload data'!T:T,'caseload data'!$B:$B,"custody",'caseload data'!$C:$C,'custody %'!$B$92),"")</f>
        <v/>
      </c>
      <c r="T97" s="98" t="s">
        <v>954</v>
      </c>
      <c r="U97" s="167" t="str">
        <f>IFERROR(SUMIFS('caseload data'!E:E,'caseload data'!$C:$C,'custody %'!$T$92,'caseload data'!$D:$D,"SPO",'caseload data'!$B:$B,"custody")/SUMIFS('caseload data'!E:E,'caseload data'!$B:$B,"custody",'caseload data'!$C:$C,'custody %'!$T$92),"")</f>
        <v/>
      </c>
      <c r="V97" s="167" t="str">
        <f>IFERROR(SUMIFS('caseload data'!F:F,'caseload data'!$C:$C,'custody %'!$T$92,'caseload data'!$D:$D,"SPO",'caseload data'!$B:$B,"custody")/SUMIFS('caseload data'!F:F,'caseload data'!$B:$B,"custody",'caseload data'!$C:$C,'custody %'!$T$92),"")</f>
        <v/>
      </c>
      <c r="W97" s="167" t="str">
        <f>IFERROR(SUMIFS('caseload data'!G:G,'caseload data'!$C:$C,'custody %'!$T$92,'caseload data'!$D:$D,"SPO",'caseload data'!$B:$B,"custody")/SUMIFS('caseload data'!G:G,'caseload data'!$B:$B,"custody",'caseload data'!$C:$C,'custody %'!$T$92),"")</f>
        <v/>
      </c>
      <c r="X97" s="167" t="str">
        <f>IFERROR(SUMIFS('caseload data'!H:H,'caseload data'!$C:$C,'custody %'!$T$92,'caseload data'!$D:$D,"SPO",'caseload data'!$B:$B,"custody")/SUMIFS('caseload data'!H:H,'caseload data'!$B:$B,"custody",'caseload data'!$C:$C,'custody %'!$T$92),"")</f>
        <v/>
      </c>
      <c r="Y97" s="167" t="str">
        <f>IFERROR(SUMIFS('caseload data'!I:I,'caseload data'!$C:$C,'custody %'!$T$92,'caseload data'!$D:$D,"SPO",'caseload data'!$B:$B,"custody")/SUMIFS('caseload data'!I:I,'caseload data'!$B:$B,"custody",'caseload data'!$C:$C,'custody %'!$T$92),"")</f>
        <v/>
      </c>
      <c r="Z97" s="167" t="str">
        <f>IFERROR(SUMIFS('caseload data'!J:J,'caseload data'!$C:$C,'custody %'!$T$92,'caseload data'!$D:$D,"SPO",'caseload data'!$B:$B,"custody")/SUMIFS('caseload data'!J:J,'caseload data'!$B:$B,"custody",'caseload data'!$C:$C,'custody %'!$T$92),"")</f>
        <v/>
      </c>
      <c r="AA97" s="167" t="str">
        <f>IFERROR(SUMIFS('caseload data'!K:K,'caseload data'!$C:$C,'custody %'!$T$92,'caseload data'!$D:$D,"SPO",'caseload data'!$B:$B,"custody")/SUMIFS('caseload data'!K:K,'caseload data'!$B:$B,"custody",'caseload data'!$C:$C,'custody %'!$T$92),"")</f>
        <v/>
      </c>
      <c r="AB97" s="167" t="str">
        <f>IFERROR(SUMIFS('caseload data'!L:L,'caseload data'!$C:$C,'custody %'!$T$92,'caseload data'!$D:$D,"SPO",'caseload data'!$B:$B,"custody")/SUMIFS('caseload data'!L:L,'caseload data'!$B:$B,"custody",'caseload data'!$C:$C,'custody %'!$T$92),"")</f>
        <v/>
      </c>
      <c r="AC97" s="167" t="str">
        <f>IFERROR(SUMIFS('caseload data'!M:M,'caseload data'!$C:$C,'custody %'!$T$92,'caseload data'!$D:$D,"SPO",'caseload data'!$B:$B,"custody")/SUMIFS('caseload data'!M:M,'caseload data'!$B:$B,"custody",'caseload data'!$C:$C,'custody %'!$T$92),"")</f>
        <v/>
      </c>
      <c r="AD97" s="167" t="str">
        <f>IFERROR(SUMIFS('caseload data'!N:N,'caseload data'!$C:$C,'custody %'!$T$92,'caseload data'!$D:$D,"SPO",'caseload data'!$B:$B,"custody")/SUMIFS('caseload data'!N:N,'caseload data'!$B:$B,"custody",'caseload data'!$C:$C,'custody %'!$T$92),"")</f>
        <v/>
      </c>
      <c r="AE97" s="167" t="str">
        <f>IFERROR(SUMIFS('caseload data'!O:O,'caseload data'!$C:$C,'custody %'!$T$92,'caseload data'!$D:$D,"SPO",'caseload data'!$B:$B,"custody")/SUMIFS('caseload data'!O:O,'caseload data'!$B:$B,"custody",'caseload data'!$C:$C,'custody %'!$T$92),"")</f>
        <v/>
      </c>
      <c r="AF97" s="167" t="str">
        <f>IFERROR(SUMIFS('caseload data'!P:P,'caseload data'!$C:$C,'custody %'!$T$92,'caseload data'!$D:$D,"SPO",'caseload data'!$B:$B,"custody")/SUMIFS('caseload data'!P:P,'caseload data'!$B:$B,"custody",'caseload data'!$C:$C,'custody %'!$T$92),"")</f>
        <v/>
      </c>
      <c r="AG97" s="167" t="str">
        <f>IFERROR(SUMIFS('caseload data'!Q:Q,'caseload data'!$C:$C,'custody %'!$T$92,'caseload data'!$D:$D,"SPO",'caseload data'!$B:$B,"custody")/SUMIFS('caseload data'!Q:Q,'caseload data'!$B:$B,"custody",'caseload data'!$C:$C,'custody %'!$T$92),"")</f>
        <v/>
      </c>
      <c r="AH97" s="167" t="str">
        <f>IFERROR(SUMIFS('caseload data'!R:R,'caseload data'!$C:$C,'custody %'!$T$92,'caseload data'!$D:$D,"SPO",'caseload data'!$B:$B,"custody")/SUMIFS('caseload data'!R:R,'caseload data'!$B:$B,"custody",'caseload data'!$C:$C,'custody %'!$T$92),"")</f>
        <v/>
      </c>
      <c r="AI97" s="167"/>
      <c r="AJ97" s="167"/>
    </row>
    <row r="99" spans="2:36" ht="23.25" customHeight="1" x14ac:dyDescent="0.15">
      <c r="B99" s="288">
        <f>HLOOKUP($B$5,Region_Table,28,0)</f>
        <v>0</v>
      </c>
      <c r="C99" s="548" t="s">
        <v>1073</v>
      </c>
      <c r="D99" s="549"/>
      <c r="E99" s="549"/>
      <c r="F99" s="549"/>
      <c r="G99" s="549"/>
      <c r="H99" s="549"/>
      <c r="I99" s="549"/>
      <c r="J99" s="549"/>
      <c r="K99" s="549"/>
      <c r="L99" s="549"/>
      <c r="M99" s="568"/>
      <c r="N99" s="568"/>
      <c r="O99" s="569"/>
      <c r="P99" s="543">
        <f>SUMIF('caseload data'!$C:$C,'custody %'!B99,'caseload data'!V:V)</f>
        <v>0</v>
      </c>
      <c r="Q99" s="560"/>
      <c r="R99" s="561"/>
    </row>
    <row r="100" spans="2:36" x14ac:dyDescent="0.15">
      <c r="B100" s="95"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row>
    <row r="101" spans="2:36" x14ac:dyDescent="0.15">
      <c r="B101" s="96" t="s">
        <v>947</v>
      </c>
      <c r="C101" s="167" t="str">
        <f>IFERROR(SUMIFS('caseload data'!E:E,'caseload data'!$C:$C,'custody %'!$B$99,'caseload data'!$D:$D,"PO",'caseload data'!$B:$B,"custody")/SUMIFS('caseload data'!E:E,'caseload data'!$B:$B,"custody",'caseload data'!$C:$C,'custody %'!$B$99),"")</f>
        <v/>
      </c>
      <c r="D101" s="167" t="str">
        <f>IFERROR(SUMIFS('caseload data'!F:F,'caseload data'!$C:$C,'custody %'!$B$99,'caseload data'!$D:$D,"PO",'caseload data'!$B:$B,"custody")/SUMIFS('caseload data'!F:F,'caseload data'!$B:$B,"custody",'caseload data'!$C:$C,'custody %'!$B$99),"")</f>
        <v/>
      </c>
      <c r="E101" s="167" t="str">
        <f>IFERROR(SUMIFS('caseload data'!G:G,'caseload data'!$C:$C,'custody %'!$B$99,'caseload data'!$D:$D,"PO",'caseload data'!$B:$B,"custody")/SUMIFS('caseload data'!G:G,'caseload data'!$B:$B,"custody",'caseload data'!$C:$C,'custody %'!$B$99),"")</f>
        <v/>
      </c>
      <c r="F101" s="167" t="str">
        <f>IFERROR(SUMIFS('caseload data'!H:H,'caseload data'!$C:$C,'custody %'!$B$99,'caseload data'!$D:$D,"PO",'caseload data'!$B:$B,"custody")/SUMIFS('caseload data'!H:H,'caseload data'!$B:$B,"custody",'caseload data'!$C:$C,'custody %'!$B$99),"")</f>
        <v/>
      </c>
      <c r="G101" s="167" t="str">
        <f>IFERROR(SUMIFS('caseload data'!I:I,'caseload data'!$C:$C,'custody %'!$B$99,'caseload data'!$D:$D,"PO",'caseload data'!$B:$B,"custody")/SUMIFS('caseload data'!I:I,'caseload data'!$B:$B,"custody",'caseload data'!$C:$C,'custody %'!$B$99),"")</f>
        <v/>
      </c>
      <c r="H101" s="167" t="str">
        <f>IFERROR(SUMIFS('caseload data'!J:J,'caseload data'!$C:$C,'custody %'!$B$99,'caseload data'!$D:$D,"PO",'caseload data'!$B:$B,"custody")/SUMIFS('caseload data'!J:J,'caseload data'!$B:$B,"custody",'caseload data'!$C:$C,'custody %'!$B$99),"")</f>
        <v/>
      </c>
      <c r="I101" s="167" t="str">
        <f>IFERROR(SUMIFS('caseload data'!K:K,'caseload data'!$C:$C,'custody %'!$B$99,'caseload data'!$D:$D,"PO",'caseload data'!$B:$B,"custody")/SUMIFS('caseload data'!K:K,'caseload data'!$B:$B,"custody",'caseload data'!$C:$C,'custody %'!$B$99),"")</f>
        <v/>
      </c>
      <c r="J101" s="167" t="str">
        <f>IFERROR(SUMIFS('caseload data'!L:L,'caseload data'!$C:$C,'custody %'!$B$99,'caseload data'!$D:$D,"PO",'caseload data'!$B:$B,"custody")/SUMIFS('caseload data'!L:L,'caseload data'!$B:$B,"custody",'caseload data'!$C:$C,'custody %'!$B$99),"")</f>
        <v/>
      </c>
      <c r="K101" s="167" t="str">
        <f>IFERROR(SUMIFS('caseload data'!M:M,'caseload data'!$C:$C,'custody %'!$B$99,'caseload data'!$D:$D,"PO",'caseload data'!$B:$B,"custody")/SUMIFS('caseload data'!M:M,'caseload data'!$B:$B,"custody",'caseload data'!$C:$C,'custody %'!$B$99),"")</f>
        <v/>
      </c>
      <c r="L101" s="167" t="str">
        <f>IFERROR(SUMIFS('caseload data'!N:N,'caseload data'!$C:$C,'custody %'!$B$99,'caseload data'!$D:$D,"PO",'caseload data'!$B:$B,"custody")/SUMIFS('caseload data'!N:N,'caseload data'!$B:$B,"custody",'caseload data'!$C:$C,'custody %'!$B$99),"")</f>
        <v/>
      </c>
      <c r="M101" s="167" t="str">
        <f>IFERROR(SUMIFS('caseload data'!O:O,'caseload data'!$C:$C,'custody %'!$B$99,'caseload data'!$D:$D,"PO",'caseload data'!$B:$B,"custody")/SUMIFS('caseload data'!O:O,'caseload data'!$B:$B,"custody",'caseload data'!$C:$C,'custody %'!$B$99),"")</f>
        <v/>
      </c>
      <c r="N101" s="167" t="str">
        <f>IFERROR(SUMIFS('caseload data'!P:P,'caseload data'!$C:$C,'custody %'!$B$99,'caseload data'!$D:$D,"PO",'caseload data'!$B:$B,"custody")/SUMIFS('caseload data'!P:P,'caseload data'!$B:$B,"custody",'caseload data'!$C:$C,'custody %'!$B$99),"")</f>
        <v/>
      </c>
      <c r="O101" s="167" t="str">
        <f>IFERROR(SUMIFS('caseload data'!Q:Q,'caseload data'!$C:$C,'custody %'!$B$99,'caseload data'!$D:$D,"PO",'caseload data'!$B:$B,"custody")/SUMIFS('caseload data'!Q:Q,'caseload data'!$B:$B,"custody",'caseload data'!$C:$C,'custody %'!$B$99),"")</f>
        <v/>
      </c>
      <c r="P101" s="167" t="str">
        <f>IFERROR(SUMIFS('caseload data'!R:R,'caseload data'!$C:$C,'custody %'!$B$99,'caseload data'!$D:$D,"PO",'caseload data'!$B:$B,"custody")/SUMIFS('caseload data'!R:R,'caseload data'!$B:$B,"custody",'caseload data'!$C:$C,'custody %'!$B$99),"")</f>
        <v/>
      </c>
      <c r="Q101" s="167" t="str">
        <f>IFERROR(SUMIFS('caseload data'!S:S,'caseload data'!$C:$C,'custody %'!$B$99,'caseload data'!$D:$D,"PO",'caseload data'!$B:$B,"custody")/SUMIFS('caseload data'!S:S,'caseload data'!$B:$B,"custody",'caseload data'!$C:$C,'custody %'!$B$99),"")</f>
        <v/>
      </c>
      <c r="R101" s="167" t="str">
        <f>IFERROR(SUMIFS('caseload data'!T:T,'caseload data'!$C:$C,'custody %'!$B$99,'caseload data'!$D:$D,"PO",'caseload data'!$B:$B,"custody")/SUMIFS('caseload data'!T:T,'caseload data'!$B:$B,"custody",'caseload data'!$C:$C,'custody %'!$B$99),"")</f>
        <v/>
      </c>
    </row>
    <row r="102" spans="2:36" x14ac:dyDescent="0.15">
      <c r="B102" s="97" t="s">
        <v>952</v>
      </c>
      <c r="C102" s="167" t="str">
        <f>IFERROR(SUMIFS('caseload data'!E:E,'caseload data'!$C:$C,'custody %'!$B$99,'caseload data'!$D:$D,"PSO",'caseload data'!$B:$B,"custody")/SUMIFS('caseload data'!E:E,'caseload data'!$B:$B,"custody",'caseload data'!$C:$C,'custody %'!$B$99),"")</f>
        <v/>
      </c>
      <c r="D102" s="167" t="str">
        <f>IFERROR(SUMIFS('caseload data'!F:F,'caseload data'!$C:$C,'custody %'!$B$99,'caseload data'!$D:$D,"PSO",'caseload data'!$B:$B,"custody")/SUMIFS('caseload data'!F:F,'caseload data'!$B:$B,"custody",'caseload data'!$C:$C,'custody %'!$B$99),"")</f>
        <v/>
      </c>
      <c r="E102" s="167" t="str">
        <f>IFERROR(SUMIFS('caseload data'!G:G,'caseload data'!$C:$C,'custody %'!$B$99,'caseload data'!$D:$D,"PSO",'caseload data'!$B:$B,"custody")/SUMIFS('caseload data'!G:G,'caseload data'!$B:$B,"custody",'caseload data'!$C:$C,'custody %'!$B$99),"")</f>
        <v/>
      </c>
      <c r="F102" s="167" t="str">
        <f>IFERROR(SUMIFS('caseload data'!H:H,'caseload data'!$C:$C,'custody %'!$B$99,'caseload data'!$D:$D,"PSO",'caseload data'!$B:$B,"custody")/SUMIFS('caseload data'!H:H,'caseload data'!$B:$B,"custody",'caseload data'!$C:$C,'custody %'!$B$99),"")</f>
        <v/>
      </c>
      <c r="G102" s="167" t="str">
        <f>IFERROR(SUMIFS('caseload data'!I:I,'caseload data'!$C:$C,'custody %'!$B$99,'caseload data'!$D:$D,"PSO",'caseload data'!$B:$B,"custody")/SUMIFS('caseload data'!I:I,'caseload data'!$B:$B,"custody",'caseload data'!$C:$C,'custody %'!$B$99),"")</f>
        <v/>
      </c>
      <c r="H102" s="167" t="str">
        <f>IFERROR(SUMIFS('caseload data'!J:J,'caseload data'!$C:$C,'custody %'!$B$99,'caseload data'!$D:$D,"PSO",'caseload data'!$B:$B,"custody")/SUMIFS('caseload data'!J:J,'caseload data'!$B:$B,"custody",'caseload data'!$C:$C,'custody %'!$B$99),"")</f>
        <v/>
      </c>
      <c r="I102" s="167" t="str">
        <f>IFERROR(SUMIFS('caseload data'!K:K,'caseload data'!$C:$C,'custody %'!$B$99,'caseload data'!$D:$D,"PSO",'caseload data'!$B:$B,"custody")/SUMIFS('caseload data'!K:K,'caseload data'!$B:$B,"custody",'caseload data'!$C:$C,'custody %'!$B$99),"")</f>
        <v/>
      </c>
      <c r="J102" s="167" t="str">
        <f>IFERROR(SUMIFS('caseload data'!L:L,'caseload data'!$C:$C,'custody %'!$B$99,'caseload data'!$D:$D,"PSO",'caseload data'!$B:$B,"custody")/SUMIFS('caseload data'!L:L,'caseload data'!$B:$B,"custody",'caseload data'!$C:$C,'custody %'!$B$99),"")</f>
        <v/>
      </c>
      <c r="K102" s="167" t="str">
        <f>IFERROR(SUMIFS('caseload data'!M:M,'caseload data'!$C:$C,'custody %'!$B$99,'caseload data'!$D:$D,"PSO",'caseload data'!$B:$B,"custody")/SUMIFS('caseload data'!M:M,'caseload data'!$B:$B,"custody",'caseload data'!$C:$C,'custody %'!$B$99),"")</f>
        <v/>
      </c>
      <c r="L102" s="167" t="str">
        <f>IFERROR(SUMIFS('caseload data'!N:N,'caseload data'!$C:$C,'custody %'!$B$99,'caseload data'!$D:$D,"PSO",'caseload data'!$B:$B,"custody")/SUMIFS('caseload data'!N:N,'caseload data'!$B:$B,"custody",'caseload data'!$C:$C,'custody %'!$B$99),"")</f>
        <v/>
      </c>
      <c r="M102" s="167" t="str">
        <f>IFERROR(SUMIFS('caseload data'!O:O,'caseload data'!$C:$C,'custody %'!$B$99,'caseload data'!$D:$D,"PSO",'caseload data'!$B:$B,"custody")/SUMIFS('caseload data'!O:O,'caseload data'!$B:$B,"custody",'caseload data'!$C:$C,'custody %'!$B$99),"")</f>
        <v/>
      </c>
      <c r="N102" s="167" t="str">
        <f>IFERROR(SUMIFS('caseload data'!P:P,'caseload data'!$C:$C,'custody %'!$B$99,'caseload data'!$D:$D,"PSO",'caseload data'!$B:$B,"custody")/SUMIFS('caseload data'!P:P,'caseload data'!$B:$B,"custody",'caseload data'!$C:$C,'custody %'!$B$99),"")</f>
        <v/>
      </c>
      <c r="O102" s="167" t="str">
        <f>IFERROR(SUMIFS('caseload data'!Q:Q,'caseload data'!$C:$C,'custody %'!$B$99,'caseload data'!$D:$D,"PSO",'caseload data'!$B:$B,"custody")/SUMIFS('caseload data'!Q:Q,'caseload data'!$B:$B,"custody",'caseload data'!$C:$C,'custody %'!$B$99),"")</f>
        <v/>
      </c>
      <c r="P102" s="167" t="str">
        <f>IFERROR(SUMIFS('caseload data'!R:R,'caseload data'!$C:$C,'custody %'!$B$99,'caseload data'!$D:$D,"PSO",'caseload data'!$B:$B,"custody")/SUMIFS('caseload data'!R:R,'caseload data'!$B:$B,"custody",'caseload data'!$C:$C,'custody %'!$B$99),"")</f>
        <v/>
      </c>
      <c r="Q102" s="167" t="str">
        <f>IFERROR(SUMIFS('caseload data'!S:S,'caseload data'!$C:$C,'custody %'!$B$99,'caseload data'!$D:$D,"PSO",'caseload data'!$B:$B,"custody")/SUMIFS('caseload data'!S:S,'caseload data'!$B:$B,"custody",'caseload data'!$C:$C,'custody %'!$B$99),"")</f>
        <v/>
      </c>
      <c r="R102" s="167" t="str">
        <f>IFERROR(SUMIFS('caseload data'!T:T,'caseload data'!$C:$C,'custody %'!$B$99,'caseload data'!$D:$D,"PSO",'caseload data'!$B:$B,"custody")/SUMIFS('caseload data'!T:T,'caseload data'!$B:$B,"custody",'caseload data'!$C:$C,'custody %'!$B$99),"")</f>
        <v/>
      </c>
    </row>
    <row r="103" spans="2:36" x14ac:dyDescent="0.15">
      <c r="B103" s="97" t="s">
        <v>953</v>
      </c>
      <c r="C103" s="167" t="str">
        <f>IFERROR(SUMIFS('caseload data'!E:E,'caseload data'!$C:$C,'custody %'!$B$99,'caseload data'!$D:$D,"TPO",'caseload data'!$B:$B,"custody")/SUMIFS('caseload data'!E:E,'caseload data'!$B:$B,"custody",'caseload data'!$C:$C,'custody %'!$B$99),"")</f>
        <v/>
      </c>
      <c r="D103" s="167" t="str">
        <f>IFERROR(SUMIFS('caseload data'!F:F,'caseload data'!$C:$C,'custody %'!$B$99,'caseload data'!$D:$D,"TPO",'caseload data'!$B:$B,"custody")/SUMIFS('caseload data'!F:F,'caseload data'!$B:$B,"custody",'caseload data'!$C:$C,'custody %'!$B$99),"")</f>
        <v/>
      </c>
      <c r="E103" s="167" t="str">
        <f>IFERROR(SUMIFS('caseload data'!G:G,'caseload data'!$C:$C,'custody %'!$B$99,'caseload data'!$D:$D,"TPO",'caseload data'!$B:$B,"custody")/SUMIFS('caseload data'!G:G,'caseload data'!$B:$B,"custody",'caseload data'!$C:$C,'custody %'!$B$99),"")</f>
        <v/>
      </c>
      <c r="F103" s="167" t="str">
        <f>IFERROR(SUMIFS('caseload data'!H:H,'caseload data'!$C:$C,'custody %'!$B$99,'caseload data'!$D:$D,"TPO",'caseload data'!$B:$B,"custody")/SUMIFS('caseload data'!H:H,'caseload data'!$B:$B,"custody",'caseload data'!$C:$C,'custody %'!$B$99),"")</f>
        <v/>
      </c>
      <c r="G103" s="167" t="str">
        <f>IFERROR(SUMIFS('caseload data'!I:I,'caseload data'!$C:$C,'custody %'!$B$99,'caseload data'!$D:$D,"TPO",'caseload data'!$B:$B,"custody")/SUMIFS('caseload data'!I:I,'caseload data'!$B:$B,"custody",'caseload data'!$C:$C,'custody %'!$B$99),"")</f>
        <v/>
      </c>
      <c r="H103" s="167" t="str">
        <f>IFERROR(SUMIFS('caseload data'!J:J,'caseload data'!$C:$C,'custody %'!$B$99,'caseload data'!$D:$D,"TPO",'caseload data'!$B:$B,"custody")/SUMIFS('caseload data'!J:J,'caseload data'!$B:$B,"custody",'caseload data'!$C:$C,'custody %'!$B$99),"")</f>
        <v/>
      </c>
      <c r="I103" s="167" t="str">
        <f>IFERROR(SUMIFS('caseload data'!K:K,'caseload data'!$C:$C,'custody %'!$B$99,'caseload data'!$D:$D,"TPO",'caseload data'!$B:$B,"custody")/SUMIFS('caseload data'!K:K,'caseload data'!$B:$B,"custody",'caseload data'!$C:$C,'custody %'!$B$99),"")</f>
        <v/>
      </c>
      <c r="J103" s="167" t="str">
        <f>IFERROR(SUMIFS('caseload data'!L:L,'caseload data'!$C:$C,'custody %'!$B$99,'caseload data'!$D:$D,"TPO",'caseload data'!$B:$B,"custody")/SUMIFS('caseload data'!L:L,'caseload data'!$B:$B,"custody",'caseload data'!$C:$C,'custody %'!$B$99),"")</f>
        <v/>
      </c>
      <c r="K103" s="167" t="str">
        <f>IFERROR(SUMIFS('caseload data'!M:M,'caseload data'!$C:$C,'custody %'!$B$99,'caseload data'!$D:$D,"TPO",'caseload data'!$B:$B,"custody")/SUMIFS('caseload data'!M:M,'caseload data'!$B:$B,"custody",'caseload data'!$C:$C,'custody %'!$B$99),"")</f>
        <v/>
      </c>
      <c r="L103" s="167" t="str">
        <f>IFERROR(SUMIFS('caseload data'!N:N,'caseload data'!$C:$C,'custody %'!$B$99,'caseload data'!$D:$D,"TPO",'caseload data'!$B:$B,"custody")/SUMIFS('caseload data'!N:N,'caseload data'!$B:$B,"custody",'caseload data'!$C:$C,'custody %'!$B$99),"")</f>
        <v/>
      </c>
      <c r="M103" s="167" t="str">
        <f>IFERROR(SUMIFS('caseload data'!O:O,'caseload data'!$C:$C,'custody %'!$B$99,'caseload data'!$D:$D,"TPO",'caseload data'!$B:$B,"custody")/SUMIFS('caseload data'!O:O,'caseload data'!$B:$B,"custody",'caseload data'!$C:$C,'custody %'!$B$99),"")</f>
        <v/>
      </c>
      <c r="N103" s="167" t="str">
        <f>IFERROR(SUMIFS('caseload data'!P:P,'caseload data'!$C:$C,'custody %'!$B$99,'caseload data'!$D:$D,"TPO",'caseload data'!$B:$B,"custody")/SUMIFS('caseload data'!P:P,'caseload data'!$B:$B,"custody",'caseload data'!$C:$C,'custody %'!$B$99),"")</f>
        <v/>
      </c>
      <c r="O103" s="167" t="str">
        <f>IFERROR(SUMIFS('caseload data'!Q:Q,'caseload data'!$C:$C,'custody %'!$B$99,'caseload data'!$D:$D,"TPO",'caseload data'!$B:$B,"custody")/SUMIFS('caseload data'!Q:Q,'caseload data'!$B:$B,"custody",'caseload data'!$C:$C,'custody %'!$B$99),"")</f>
        <v/>
      </c>
      <c r="P103" s="167" t="str">
        <f>IFERROR(SUMIFS('caseload data'!R:R,'caseload data'!$C:$C,'custody %'!$B$99,'caseload data'!$D:$D,"TPO",'caseload data'!$B:$B,"custody")/SUMIFS('caseload data'!R:R,'caseload data'!$B:$B,"custody",'caseload data'!$C:$C,'custody %'!$B$99),"")</f>
        <v/>
      </c>
      <c r="Q103" s="167" t="str">
        <f>IFERROR(SUMIFS('caseload data'!S:S,'caseload data'!$C:$C,'custody %'!$B$99,'caseload data'!$D:$D,"TPO",'caseload data'!$B:$B,"custody")/SUMIFS('caseload data'!S:S,'caseload data'!$B:$B,"custody",'caseload data'!$C:$C,'custody %'!$B$99),"")</f>
        <v/>
      </c>
      <c r="R103" s="167" t="str">
        <f>IFERROR(SUMIFS('caseload data'!T:T,'caseload data'!$C:$C,'custody %'!$B$99,'caseload data'!$D:$D,"TPO",'caseload data'!$B:$B,"custody")/SUMIFS('caseload data'!T:T,'caseload data'!$B:$B,"custody",'caseload data'!$C:$C,'custody %'!$B$99),"")</f>
        <v/>
      </c>
    </row>
    <row r="104" spans="2:36" x14ac:dyDescent="0.15">
      <c r="B104" s="98" t="s">
        <v>954</v>
      </c>
      <c r="C104" s="167" t="str">
        <f>IFERROR(SUMIFS('caseload data'!E:E,'caseload data'!$C:$C,'custody %'!$B$99,'caseload data'!$D:$D,"SPO",'caseload data'!$B:$B,"custody")/SUMIFS('caseload data'!E:E,'caseload data'!$B:$B,"custody",'caseload data'!$C:$C,'custody %'!$B$99),"")</f>
        <v/>
      </c>
      <c r="D104" s="167" t="str">
        <f>IFERROR(SUMIFS('caseload data'!F:F,'caseload data'!$C:$C,'custody %'!$B$99,'caseload data'!$D:$D,"SPO",'caseload data'!$B:$B,"custody")/SUMIFS('caseload data'!F:F,'caseload data'!$B:$B,"custody",'caseload data'!$C:$C,'custody %'!$B$99),"")</f>
        <v/>
      </c>
      <c r="E104" s="167" t="str">
        <f>IFERROR(SUMIFS('caseload data'!G:G,'caseload data'!$C:$C,'custody %'!$B$99,'caseload data'!$D:$D,"SPO",'caseload data'!$B:$B,"custody")/SUMIFS('caseload data'!G:G,'caseload data'!$B:$B,"custody",'caseload data'!$C:$C,'custody %'!$B$99),"")</f>
        <v/>
      </c>
      <c r="F104" s="167" t="str">
        <f>IFERROR(SUMIFS('caseload data'!H:H,'caseload data'!$C:$C,'custody %'!$B$99,'caseload data'!$D:$D,"SPO",'caseload data'!$B:$B,"custody")/SUMIFS('caseload data'!H:H,'caseload data'!$B:$B,"custody",'caseload data'!$C:$C,'custody %'!$B$99),"")</f>
        <v/>
      </c>
      <c r="G104" s="167" t="str">
        <f>IFERROR(SUMIFS('caseload data'!I:I,'caseload data'!$C:$C,'custody %'!$B$99,'caseload data'!$D:$D,"SPO",'caseload data'!$B:$B,"custody")/SUMIFS('caseload data'!I:I,'caseload data'!$B:$B,"custody",'caseload data'!$C:$C,'custody %'!$B$99),"")</f>
        <v/>
      </c>
      <c r="H104" s="167" t="str">
        <f>IFERROR(SUMIFS('caseload data'!J:J,'caseload data'!$C:$C,'custody %'!$B$99,'caseload data'!$D:$D,"SPO",'caseload data'!$B:$B,"custody")/SUMIFS('caseload data'!J:J,'caseload data'!$B:$B,"custody",'caseload data'!$C:$C,'custody %'!$B$99),"")</f>
        <v/>
      </c>
      <c r="I104" s="167" t="str">
        <f>IFERROR(SUMIFS('caseload data'!K:K,'caseload data'!$C:$C,'custody %'!$B$99,'caseload data'!$D:$D,"SPO",'caseload data'!$B:$B,"custody")/SUMIFS('caseload data'!K:K,'caseload data'!$B:$B,"custody",'caseload data'!$C:$C,'custody %'!$B$99),"")</f>
        <v/>
      </c>
      <c r="J104" s="167" t="str">
        <f>IFERROR(SUMIFS('caseload data'!L:L,'caseload data'!$C:$C,'custody %'!$B$99,'caseload data'!$D:$D,"SPO",'caseload data'!$B:$B,"custody")/SUMIFS('caseload data'!L:L,'caseload data'!$B:$B,"custody",'caseload data'!$C:$C,'custody %'!$B$99),"")</f>
        <v/>
      </c>
      <c r="K104" s="167" t="str">
        <f>IFERROR(SUMIFS('caseload data'!M:M,'caseload data'!$C:$C,'custody %'!$B$99,'caseload data'!$D:$D,"SPO",'caseload data'!$B:$B,"custody")/SUMIFS('caseload data'!M:M,'caseload data'!$B:$B,"custody",'caseload data'!$C:$C,'custody %'!$B$99),"")</f>
        <v/>
      </c>
      <c r="L104" s="167" t="str">
        <f>IFERROR(SUMIFS('caseload data'!N:N,'caseload data'!$C:$C,'custody %'!$B$99,'caseload data'!$D:$D,"SPO",'caseload data'!$B:$B,"custody")/SUMIFS('caseload data'!N:N,'caseload data'!$B:$B,"custody",'caseload data'!$C:$C,'custody %'!$B$99),"")</f>
        <v/>
      </c>
      <c r="M104" s="167" t="str">
        <f>IFERROR(SUMIFS('caseload data'!O:O,'caseload data'!$C:$C,'custody %'!$B$99,'caseload data'!$D:$D,"SPO",'caseload data'!$B:$B,"custody")/SUMIFS('caseload data'!O:O,'caseload data'!$B:$B,"custody",'caseload data'!$C:$C,'custody %'!$B$99),"")</f>
        <v/>
      </c>
      <c r="N104" s="167" t="str">
        <f>IFERROR(SUMIFS('caseload data'!P:P,'caseload data'!$C:$C,'custody %'!$B$99,'caseload data'!$D:$D,"SPO",'caseload data'!$B:$B,"custody")/SUMIFS('caseload data'!P:P,'caseload data'!$B:$B,"custody",'caseload data'!$C:$C,'custody %'!$B$99),"")</f>
        <v/>
      </c>
      <c r="O104" s="167" t="str">
        <f>IFERROR(SUMIFS('caseload data'!Q:Q,'caseload data'!$C:$C,'custody %'!$B$99,'caseload data'!$D:$D,"SPO",'caseload data'!$B:$B,"custody")/SUMIFS('caseload data'!Q:Q,'caseload data'!$B:$B,"custody",'caseload data'!$C:$C,'custody %'!$B$99),"")</f>
        <v/>
      </c>
      <c r="P104" s="167" t="str">
        <f>IFERROR(SUMIFS('caseload data'!R:R,'caseload data'!$C:$C,'custody %'!$B$99,'caseload data'!$D:$D,"SPO",'caseload data'!$B:$B,"custody")/SUMIFS('caseload data'!R:R,'caseload data'!$B:$B,"custody",'caseload data'!$C:$C,'custody %'!$B$99),"")</f>
        <v/>
      </c>
      <c r="Q104" s="167" t="str">
        <f>IFERROR(SUMIFS('caseload data'!S:S,'caseload data'!$C:$C,'custody %'!$B$99,'caseload data'!$D:$D,"SPO",'caseload data'!$B:$B,"custody")/SUMIFS('caseload data'!S:S,'caseload data'!$B:$B,"custody",'caseload data'!$C:$C,'custody %'!$B$99),"")</f>
        <v/>
      </c>
      <c r="R104" s="167"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J1"/>
    <mergeCell ref="A2:AJ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activeCell="A3" sqref="A3"/>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564" t="s">
        <v>1076</v>
      </c>
      <c r="B1" s="564"/>
      <c r="C1" s="564"/>
      <c r="D1" s="564"/>
      <c r="E1" s="564"/>
      <c r="F1" s="564"/>
      <c r="G1" s="564"/>
      <c r="H1" s="564"/>
      <c r="I1" s="564"/>
      <c r="J1" s="564"/>
      <c r="K1" s="564"/>
      <c r="L1" s="564"/>
      <c r="M1" s="564"/>
      <c r="N1" s="564"/>
      <c r="O1" s="564"/>
      <c r="P1" s="564"/>
      <c r="Q1" s="564"/>
      <c r="R1" s="564"/>
      <c r="S1" s="564"/>
      <c r="T1" s="564"/>
      <c r="U1" s="564"/>
      <c r="V1" s="564"/>
      <c r="W1" s="564"/>
      <c r="X1" s="564"/>
      <c r="Y1" s="564"/>
      <c r="Z1" s="564"/>
      <c r="AA1" s="564"/>
      <c r="AB1" s="564"/>
      <c r="AC1" s="564"/>
      <c r="AD1" s="564"/>
      <c r="AE1" s="564"/>
      <c r="AF1" s="564"/>
      <c r="AG1" s="564"/>
      <c r="AH1" s="564"/>
      <c r="AI1" s="564"/>
      <c r="AJ1" s="564"/>
      <c r="AK1" s="260"/>
      <c r="AL1" s="260"/>
      <c r="AM1" s="260"/>
      <c r="AN1" s="260"/>
      <c r="AO1" s="260"/>
      <c r="AP1" s="260"/>
      <c r="AQ1" s="260"/>
      <c r="AR1" s="260"/>
      <c r="AS1" s="260"/>
      <c r="AT1" s="260"/>
      <c r="AU1" s="260"/>
      <c r="AV1" s="260"/>
      <c r="AW1" s="260"/>
      <c r="AX1" s="260"/>
    </row>
    <row r="2" spans="1:50" ht="49.5" customHeight="1" x14ac:dyDescent="0.15">
      <c r="A2" s="572" t="s">
        <v>1362</v>
      </c>
      <c r="B2" s="572"/>
      <c r="C2" s="572"/>
      <c r="D2" s="572"/>
      <c r="E2" s="572"/>
      <c r="F2" s="572"/>
      <c r="G2" s="572"/>
      <c r="H2" s="572"/>
      <c r="I2" s="572"/>
      <c r="J2" s="572"/>
      <c r="K2" s="572"/>
      <c r="L2" s="572"/>
      <c r="M2" s="572"/>
      <c r="N2" s="572"/>
      <c r="O2" s="572"/>
      <c r="P2" s="572"/>
      <c r="Q2" s="572"/>
      <c r="R2" s="572"/>
      <c r="S2" s="572"/>
      <c r="T2" s="572"/>
      <c r="U2" s="572"/>
      <c r="V2" s="572"/>
      <c r="W2" s="572"/>
      <c r="X2" s="572"/>
      <c r="Y2" s="572"/>
      <c r="Z2" s="572"/>
      <c r="AA2" s="572"/>
      <c r="AB2" s="572"/>
      <c r="AC2" s="572"/>
      <c r="AD2" s="572"/>
      <c r="AE2" s="572"/>
      <c r="AF2" s="572"/>
      <c r="AG2" s="572"/>
      <c r="AH2" s="572"/>
      <c r="AI2" s="572"/>
      <c r="AJ2" s="572"/>
      <c r="AK2" s="263"/>
      <c r="AL2" s="263"/>
      <c r="AM2" s="263"/>
      <c r="AN2" s="263"/>
      <c r="AO2" s="263"/>
      <c r="AP2" s="263"/>
      <c r="AQ2" s="263"/>
      <c r="AR2" s="263"/>
      <c r="AS2" s="263"/>
      <c r="AT2" s="263"/>
      <c r="AU2" s="263"/>
      <c r="AV2" s="263"/>
      <c r="AW2" s="263"/>
      <c r="AX2" s="263"/>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885</v>
      </c>
    </row>
    <row r="5" spans="1:50" ht="29.25" customHeight="1" x14ac:dyDescent="0.15">
      <c r="B5" s="242" t="s">
        <v>17</v>
      </c>
      <c r="K5" s="239"/>
      <c r="P5" s="40"/>
      <c r="Q5" s="40"/>
    </row>
    <row r="6" spans="1:50" x14ac:dyDescent="0.15">
      <c r="B6" s="46"/>
    </row>
    <row r="8" spans="1:50" ht="36.75" customHeight="1" x14ac:dyDescent="0.15">
      <c r="B8" s="288" t="str">
        <f>HLOOKUP($B$5,Region_Table,2,0)</f>
        <v>All East Midlands Region</v>
      </c>
      <c r="C8" s="540" t="s">
        <v>1077</v>
      </c>
      <c r="D8" s="541"/>
      <c r="E8" s="541"/>
      <c r="F8" s="541"/>
      <c r="G8" s="541"/>
      <c r="H8" s="541"/>
      <c r="I8" s="541"/>
      <c r="J8" s="541"/>
      <c r="K8" s="541"/>
      <c r="L8" s="541"/>
      <c r="M8" s="570"/>
      <c r="N8" s="570"/>
      <c r="O8" s="571"/>
      <c r="P8" s="543">
        <f>SUM(SUMIFS('caseload data'!V:V,'caseload data'!B:B,{"licence","community"},'caseload data'!C:C,'community caseload'!B8))</f>
        <v>0</v>
      </c>
      <c r="Q8" s="560"/>
      <c r="R8" s="561"/>
      <c r="S8" s="290"/>
      <c r="T8" s="288" t="str">
        <f>HLOOKUP($B$5,Region_Table,3,0)</f>
        <v>Derby City - N53</v>
      </c>
      <c r="U8" s="540" t="s">
        <v>1077</v>
      </c>
      <c r="V8" s="541"/>
      <c r="W8" s="541"/>
      <c r="X8" s="541"/>
      <c r="Y8" s="541"/>
      <c r="Z8" s="541"/>
      <c r="AA8" s="541"/>
      <c r="AB8" s="541"/>
      <c r="AC8" s="541"/>
      <c r="AD8" s="541"/>
      <c r="AE8" s="570"/>
      <c r="AF8" s="570"/>
      <c r="AG8" s="571"/>
      <c r="AH8" s="543">
        <f>SUM(SUMIFS('caseload data'!V:V,'caseload data'!B:B,{"licence","community"},'caseload data'!C:C,'community caseload'!T8))</f>
        <v>0</v>
      </c>
      <c r="AI8" s="560"/>
      <c r="AJ8" s="561"/>
    </row>
    <row r="9" spans="1:50"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94">
        <f>SUM(SUMIFS('caseload data'!E:E,'caseload data'!$D:$D,"PO",'caseload data'!$C:$C,'community caseload'!$B$8,'caseload data'!$B:$B,{"licence","community"}))</f>
        <v>0</v>
      </c>
      <c r="D10" s="94">
        <f>SUM(SUMIFS('caseload data'!F:F,'caseload data'!$D:$D,"PO",'caseload data'!$C:$C,'community caseload'!$B$8,'caseload data'!$B:$B,{"licence","community"}))</f>
        <v>0</v>
      </c>
      <c r="E10" s="94">
        <f>SUM(SUMIFS('caseload data'!G:G,'caseload data'!$D:$D,"PO",'caseload data'!$C:$C,'community caseload'!$B$8,'caseload data'!$B:$B,{"licence","community"}))</f>
        <v>0</v>
      </c>
      <c r="F10" s="94">
        <f>SUM(SUMIFS('caseload data'!H:H,'caseload data'!$D:$D,"PO",'caseload data'!$C:$C,'community caseload'!$B$8,'caseload data'!$B:$B,{"licence","community"}))</f>
        <v>0</v>
      </c>
      <c r="G10" s="94">
        <f>SUM(SUMIFS('caseload data'!I:I,'caseload data'!$D:$D,"PO",'caseload data'!$C:$C,'community caseload'!$B$8,'caseload data'!$B:$B,{"licence","community"}))</f>
        <v>0</v>
      </c>
      <c r="H10" s="94">
        <f>SUM(SUMIFS('caseload data'!J:J,'caseload data'!$D:$D,"PO",'caseload data'!$C:$C,'community caseload'!$B$8,'caseload data'!$B:$B,{"licence","community"}))</f>
        <v>0</v>
      </c>
      <c r="I10" s="94">
        <f>SUM(SUMIFS('caseload data'!K:K,'caseload data'!$D:$D,"PO",'caseload data'!$C:$C,'community caseload'!$B$8,'caseload data'!$B:$B,{"licence","community"}))</f>
        <v>0</v>
      </c>
      <c r="J10" s="94">
        <f>SUM(SUMIFS('caseload data'!L:L,'caseload data'!$D:$D,"PO",'caseload data'!$C:$C,'community caseload'!$B$8,'caseload data'!$B:$B,{"licence","community"}))</f>
        <v>0</v>
      </c>
      <c r="K10" s="94">
        <f>SUM(SUMIFS('caseload data'!M:M,'caseload data'!$D:$D,"PO",'caseload data'!$C:$C,'community caseload'!$B$8,'caseload data'!$B:$B,{"licence","community"}))</f>
        <v>0</v>
      </c>
      <c r="L10" s="94">
        <f>SUM(SUMIFS('caseload data'!N:N,'caseload data'!$D:$D,"PO",'caseload data'!$C:$C,'community caseload'!$B$8,'caseload data'!$B:$B,{"licence","community"}))</f>
        <v>0</v>
      </c>
      <c r="M10" s="94">
        <f>SUM(SUMIFS('caseload data'!O:O,'caseload data'!$D:$D,"PO",'caseload data'!$C:$C,'community caseload'!$B$8,'caseload data'!$B:$B,{"licence","community"}))</f>
        <v>0</v>
      </c>
      <c r="N10" s="94">
        <f>SUM(SUMIFS('caseload data'!P:P,'caseload data'!$D:$D,"PO",'caseload data'!$C:$C,'community caseload'!$B$8,'caseload data'!$B:$B,{"licence","community"}))</f>
        <v>0</v>
      </c>
      <c r="O10" s="94">
        <f>SUM(SUMIFS('caseload data'!Q:Q,'caseload data'!$D:$D,"PO",'caseload data'!$C:$C,'community caseload'!$B$8,'caseload data'!$B:$B,{"licence","community"}))</f>
        <v>0</v>
      </c>
      <c r="P10" s="94">
        <f>SUM(SUMIFS('caseload data'!R:R,'caseload data'!$D:$D,"PO",'caseload data'!$C:$C,'community caseload'!$B$8,'caseload data'!$B:$B,{"licence","community"}))</f>
        <v>0</v>
      </c>
      <c r="Q10" s="94">
        <f>SUM(SUMIFS('caseload data'!S:S,'caseload data'!$D:$D,"PO",'caseload data'!$C:$C,'community caseload'!$B$8,'caseload data'!$B:$B,{"licence","community"}))</f>
        <v>0</v>
      </c>
      <c r="R10" s="94">
        <f>SUM(SUMIFS('caseload data'!T:T,'caseload data'!$D:$D,"PO",'caseload data'!$C:$C,'community caseload'!$B$8,'caseload data'!$B:$B,{"licence","community"}))</f>
        <v>0</v>
      </c>
      <c r="S10" s="64"/>
      <c r="T10" s="96" t="s">
        <v>947</v>
      </c>
      <c r="U10" s="94">
        <f>SUM(SUMIFS('caseload data'!E:E,'caseload data'!$D:$D,"PO",'caseload data'!$C:$C,'community caseload'!$T$8,'caseload data'!$B:$B,{"licence","community"}))</f>
        <v>0</v>
      </c>
      <c r="V10" s="94"/>
      <c r="W10" s="94"/>
      <c r="X10" s="94"/>
      <c r="Y10" s="94"/>
      <c r="Z10" s="94"/>
      <c r="AA10" s="94"/>
      <c r="AB10" s="94"/>
      <c r="AC10" s="94"/>
      <c r="AD10" s="94"/>
      <c r="AE10" s="94">
        <f>SUM(SUMIFS('caseload data'!J:J,'caseload data'!$D:$D,"PO",'caseload data'!$C:$C,'community caseload'!$T$8,'caseload data'!$B:$B,{"licence","community"}))</f>
        <v>0</v>
      </c>
      <c r="AF10" s="94">
        <f>SUM(SUMIFS('caseload data'!K:K,'caseload data'!$D:$D,"PO",'caseload data'!$C:$C,'community caseload'!$T$8,'caseload data'!$B:$B,{"licence","community"}))</f>
        <v>0</v>
      </c>
      <c r="AG10" s="94">
        <f>SUM(SUMIFS('caseload data'!N:N,'caseload data'!$D:$D,"PO",'caseload data'!$C:$C,'community caseload'!$T$8,'caseload data'!$B:$B,{"licence","community"}))</f>
        <v>0</v>
      </c>
      <c r="AH10" s="94">
        <f>SUM(SUMIFS('caseload data'!O:O,'caseload data'!$D:$D,"PO",'caseload data'!$C:$C,'community caseload'!$T$8,'caseload data'!$B:$B,{"licence","community"}))</f>
        <v>0</v>
      </c>
      <c r="AI10" s="94">
        <f>SUM(SUMIFS('caseload data'!R:R,'caseload data'!$D:$D,"PO",'caseload data'!$C:$C,'community caseload'!$T$8,'caseload data'!$B:$B,{"licence","community"}))</f>
        <v>0</v>
      </c>
      <c r="AJ10" s="94">
        <f>SUM(SUMIFS('caseload data'!S:S,'caseload data'!$D:$D,"PO",'caseload data'!$C:$C,'community caseload'!$T$8,'caseload data'!$B:$B,{"licence","community"}))</f>
        <v>0</v>
      </c>
    </row>
    <row r="11" spans="1:50" x14ac:dyDescent="0.15">
      <c r="B11" s="97" t="s">
        <v>952</v>
      </c>
      <c r="C11" s="94">
        <f>SUM(SUMIFS('caseload data'!E:E,'caseload data'!$D:$D,"PSO",'caseload data'!$C:$C,'community caseload'!$B$8,'caseload data'!$B:$B,{"licence","community"}))</f>
        <v>0</v>
      </c>
      <c r="D11" s="94">
        <f>SUM(SUMIFS('caseload data'!F:F,'caseload data'!$D:$D,"PSO",'caseload data'!$C:$C,'community caseload'!$B$8,'caseload data'!$B:$B,{"licence","community"}))</f>
        <v>0</v>
      </c>
      <c r="E11" s="94">
        <f>SUM(SUMIFS('caseload data'!G:G,'caseload data'!$D:$D,"PSO",'caseload data'!$C:$C,'community caseload'!$B$8,'caseload data'!$B:$B,{"licence","community"}))</f>
        <v>0</v>
      </c>
      <c r="F11" s="94">
        <f>SUM(SUMIFS('caseload data'!H:H,'caseload data'!$D:$D,"PSO",'caseload data'!$C:$C,'community caseload'!$B$8,'caseload data'!$B:$B,{"licence","community"}))</f>
        <v>0</v>
      </c>
      <c r="G11" s="94">
        <f>SUM(SUMIFS('caseload data'!I:I,'caseload data'!$D:$D,"PSO",'caseload data'!$C:$C,'community caseload'!$B$8,'caseload data'!$B:$B,{"licence","community"}))</f>
        <v>0</v>
      </c>
      <c r="H11" s="94">
        <f>SUM(SUMIFS('caseload data'!J:J,'caseload data'!$D:$D,"PSO",'caseload data'!$C:$C,'community caseload'!$B$8,'caseload data'!$B:$B,{"licence","community"}))</f>
        <v>0</v>
      </c>
      <c r="I11" s="94">
        <f>SUM(SUMIFS('caseload data'!K:K,'caseload data'!$D:$D,"PSO",'caseload data'!$C:$C,'community caseload'!$B$8,'caseload data'!$B:$B,{"licence","community"}))</f>
        <v>0</v>
      </c>
      <c r="J11" s="94">
        <f>SUM(SUMIFS('caseload data'!L:L,'caseload data'!$D:$D,"PSO",'caseload data'!$C:$C,'community caseload'!$B$8,'caseload data'!$B:$B,{"licence","community"}))</f>
        <v>0</v>
      </c>
      <c r="K11" s="94">
        <f>SUM(SUMIFS('caseload data'!M:M,'caseload data'!$D:$D,"PSO",'caseload data'!$C:$C,'community caseload'!$B$8,'caseload data'!$B:$B,{"licence","community"}))</f>
        <v>0</v>
      </c>
      <c r="L11" s="94">
        <f>SUM(SUMIFS('caseload data'!N:N,'caseload data'!$D:$D,"PSO",'caseload data'!$C:$C,'community caseload'!$B$8,'caseload data'!$B:$B,{"licence","community"}))</f>
        <v>0</v>
      </c>
      <c r="M11" s="94">
        <f>SUM(SUMIFS('caseload data'!O:O,'caseload data'!$D:$D,"PSO",'caseload data'!$C:$C,'community caseload'!$B$8,'caseload data'!$B:$B,{"licence","community"}))</f>
        <v>0</v>
      </c>
      <c r="N11" s="94">
        <f>SUM(SUMIFS('caseload data'!P:P,'caseload data'!$D:$D,"PSO",'caseload data'!$C:$C,'community caseload'!$B$8,'caseload data'!$B:$B,{"licence","community"}))</f>
        <v>0</v>
      </c>
      <c r="O11" s="94">
        <f>SUM(SUMIFS('caseload data'!Q:Q,'caseload data'!$D:$D,"PSO",'caseload data'!$C:$C,'community caseload'!$B$8,'caseload data'!$B:$B,{"licence","community"}))</f>
        <v>0</v>
      </c>
      <c r="P11" s="94">
        <f>SUM(SUMIFS('caseload data'!R:R,'caseload data'!$D:$D,"PSO",'caseload data'!$C:$C,'community caseload'!$B$8,'caseload data'!$B:$B,{"licence","community"}))</f>
        <v>0</v>
      </c>
      <c r="Q11" s="94">
        <f>SUM(SUMIFS('caseload data'!S:S,'caseload data'!$D:$D,"PSO",'caseload data'!$C:$C,'community caseload'!$B$8,'caseload data'!$B:$B,{"licence","community"}))</f>
        <v>0</v>
      </c>
      <c r="R11" s="94">
        <f>SUM(SUMIFS('caseload data'!T:T,'caseload data'!$D:$D,"PSO",'caseload data'!$C:$C,'community caseload'!$B$8,'caseload data'!$B:$B,{"licence","community"}))</f>
        <v>0</v>
      </c>
      <c r="S11" s="64"/>
      <c r="T11" s="97" t="s">
        <v>952</v>
      </c>
      <c r="U11" s="94">
        <f>SUM(SUMIFS('caseload data'!E:E,'caseload data'!$D:$D,"PSO",'caseload data'!$C:$C,'community caseload'!$T$8,'caseload data'!$B:$B,{"licence","community"}))</f>
        <v>0</v>
      </c>
      <c r="V11" s="94"/>
      <c r="W11" s="94"/>
      <c r="X11" s="94"/>
      <c r="Y11" s="94"/>
      <c r="Z11" s="94"/>
      <c r="AA11" s="94"/>
      <c r="AB11" s="94"/>
      <c r="AC11" s="94"/>
      <c r="AD11" s="94"/>
      <c r="AE11" s="94">
        <f>SUM(SUMIFS('caseload data'!J:J,'caseload data'!$D:$D,"PSO",'caseload data'!$C:$C,'community caseload'!$T$8,'caseload data'!$B:$B,{"licence","community"}))</f>
        <v>0</v>
      </c>
      <c r="AF11" s="94">
        <f>SUM(SUMIFS('caseload data'!K:K,'caseload data'!$D:$D,"PSO",'caseload data'!$C:$C,'community caseload'!$T$8,'caseload data'!$B:$B,{"licence","community"}))</f>
        <v>0</v>
      </c>
      <c r="AG11" s="94">
        <f>SUM(SUMIFS('caseload data'!N:N,'caseload data'!$D:$D,"PSO",'caseload data'!$C:$C,'community caseload'!$T$8,'caseload data'!$B:$B,{"licence","community"}))</f>
        <v>0</v>
      </c>
      <c r="AH11" s="94">
        <f>SUM(SUMIFS('caseload data'!O:O,'caseload data'!$D:$D,"PSO",'caseload data'!$C:$C,'community caseload'!$T$8,'caseload data'!$B:$B,{"licence","community"}))</f>
        <v>0</v>
      </c>
      <c r="AI11" s="94">
        <f>SUM(SUMIFS('caseload data'!R:R,'caseload data'!$D:$D,"PSO",'caseload data'!$C:$C,'community caseload'!$T$8,'caseload data'!$B:$B,{"licence","community"}))</f>
        <v>0</v>
      </c>
      <c r="AJ11" s="94">
        <f>SUM(SUMIFS('caseload data'!S:S,'caseload data'!$D:$D,"PSO",'caseload data'!$C:$C,'community caseload'!$T$8,'caseload data'!$B:$B,{"licence","community"}))</f>
        <v>0</v>
      </c>
    </row>
    <row r="12" spans="1:50" x14ac:dyDescent="0.15">
      <c r="B12" s="97" t="s">
        <v>953</v>
      </c>
      <c r="C12" s="94">
        <f>SUM(SUMIFS('caseload data'!E:E,'caseload data'!$D:$D,"TPO",'caseload data'!$C:$C,'community caseload'!$B$8,'caseload data'!$B:$B,{"licence","community"}))</f>
        <v>0</v>
      </c>
      <c r="D12" s="94">
        <f>SUM(SUMIFS('caseload data'!F:F,'caseload data'!$D:$D,"TPO",'caseload data'!$C:$C,'community caseload'!$B$8,'caseload data'!$B:$B,{"licence","community"}))</f>
        <v>0</v>
      </c>
      <c r="E12" s="94">
        <f>SUM(SUMIFS('caseload data'!G:G,'caseload data'!$D:$D,"TPO",'caseload data'!$C:$C,'community caseload'!$B$8,'caseload data'!$B:$B,{"licence","community"}))</f>
        <v>0</v>
      </c>
      <c r="F12" s="94">
        <f>SUM(SUMIFS('caseload data'!H:H,'caseload data'!$D:$D,"TPO",'caseload data'!$C:$C,'community caseload'!$B$8,'caseload data'!$B:$B,{"licence","community"}))</f>
        <v>0</v>
      </c>
      <c r="G12" s="94">
        <f>SUM(SUMIFS('caseload data'!I:I,'caseload data'!$D:$D,"TPO",'caseload data'!$C:$C,'community caseload'!$B$8,'caseload data'!$B:$B,{"licence","community"}))</f>
        <v>0</v>
      </c>
      <c r="H12" s="94">
        <f>SUM(SUMIFS('caseload data'!J:J,'caseload data'!$D:$D,"TPO",'caseload data'!$C:$C,'community caseload'!$B$8,'caseload data'!$B:$B,{"licence","community"}))</f>
        <v>0</v>
      </c>
      <c r="I12" s="94">
        <f>SUM(SUMIFS('caseload data'!K:K,'caseload data'!$D:$D,"TPO",'caseload data'!$C:$C,'community caseload'!$B$8,'caseload data'!$B:$B,{"licence","community"}))</f>
        <v>0</v>
      </c>
      <c r="J12" s="94">
        <f>SUM(SUMIFS('caseload data'!L:L,'caseload data'!$D:$D,"TPO",'caseload data'!$C:$C,'community caseload'!$B$8,'caseload data'!$B:$B,{"licence","community"}))</f>
        <v>0</v>
      </c>
      <c r="K12" s="94">
        <f>SUM(SUMIFS('caseload data'!M:M,'caseload data'!$D:$D,"TPO",'caseload data'!$C:$C,'community caseload'!$B$8,'caseload data'!$B:$B,{"licence","community"}))</f>
        <v>0</v>
      </c>
      <c r="L12" s="94">
        <f>SUM(SUMIFS('caseload data'!N:N,'caseload data'!$D:$D,"TPO",'caseload data'!$C:$C,'community caseload'!$B$8,'caseload data'!$B:$B,{"licence","community"}))</f>
        <v>0</v>
      </c>
      <c r="M12" s="94">
        <f>SUM(SUMIFS('caseload data'!O:O,'caseload data'!$D:$D,"TPO",'caseload data'!$C:$C,'community caseload'!$B$8,'caseload data'!$B:$B,{"licence","community"}))</f>
        <v>0</v>
      </c>
      <c r="N12" s="94">
        <f>SUM(SUMIFS('caseload data'!P:P,'caseload data'!$D:$D,"TPO",'caseload data'!$C:$C,'community caseload'!$B$8,'caseload data'!$B:$B,{"licence","community"}))</f>
        <v>0</v>
      </c>
      <c r="O12" s="94">
        <f>SUM(SUMIFS('caseload data'!Q:Q,'caseload data'!$D:$D,"TPO",'caseload data'!$C:$C,'community caseload'!$B$8,'caseload data'!$B:$B,{"licence","community"}))</f>
        <v>0</v>
      </c>
      <c r="P12" s="94">
        <f>SUM(SUMIFS('caseload data'!R:R,'caseload data'!$D:$D,"TPO",'caseload data'!$C:$C,'community caseload'!$B$8,'caseload data'!$B:$B,{"licence","community"}))</f>
        <v>0</v>
      </c>
      <c r="Q12" s="94">
        <f>SUM(SUMIFS('caseload data'!S:S,'caseload data'!$D:$D,"TPO",'caseload data'!$C:$C,'community caseload'!$B$8,'caseload data'!$B:$B,{"licence","community"}))</f>
        <v>0</v>
      </c>
      <c r="R12" s="94">
        <f>SUM(SUMIFS('caseload data'!T:T,'caseload data'!$D:$D,"TPO",'caseload data'!$C:$C,'community caseload'!$B$8,'caseload data'!$B:$B,{"licence","community"}))</f>
        <v>0</v>
      </c>
      <c r="S12" s="64"/>
      <c r="T12" s="97" t="s">
        <v>953</v>
      </c>
      <c r="U12" s="94">
        <f>SUM(SUMIFS('caseload data'!E:E,'caseload data'!$D:$D,"TPO",'caseload data'!$C:$C,'community caseload'!$T$8,'caseload data'!$B:$B,{"licence","community"}))</f>
        <v>0</v>
      </c>
      <c r="V12" s="94"/>
      <c r="W12" s="94"/>
      <c r="X12" s="94"/>
      <c r="Y12" s="94"/>
      <c r="Z12" s="94"/>
      <c r="AA12" s="94"/>
      <c r="AB12" s="94"/>
      <c r="AC12" s="94"/>
      <c r="AD12" s="94"/>
      <c r="AE12" s="94">
        <f>SUM(SUMIFS('caseload data'!J:J,'caseload data'!$D:$D,"TPO",'caseload data'!$C:$C,'community caseload'!$T$8,'caseload data'!$B:$B,{"licence","community"}))</f>
        <v>0</v>
      </c>
      <c r="AF12" s="94">
        <f>SUM(SUMIFS('caseload data'!K:K,'caseload data'!$D:$D,"TPO",'caseload data'!$C:$C,'community caseload'!$T$8,'caseload data'!$B:$B,{"licence","community"}))</f>
        <v>0</v>
      </c>
      <c r="AG12" s="94">
        <f>SUM(SUMIFS('caseload data'!N:N,'caseload data'!$D:$D,"TPO",'caseload data'!$C:$C,'community caseload'!$T$8,'caseload data'!$B:$B,{"licence","community"}))</f>
        <v>0</v>
      </c>
      <c r="AH12" s="94">
        <f>SUM(SUMIFS('caseload data'!O:O,'caseload data'!$D:$D,"TPO",'caseload data'!$C:$C,'community caseload'!$T$8,'caseload data'!$B:$B,{"licence","community"}))</f>
        <v>0</v>
      </c>
      <c r="AI12" s="94">
        <f>SUM(SUMIFS('caseload data'!R:R,'caseload data'!$D:$D,"TPO",'caseload data'!$C:$C,'community caseload'!$T$8,'caseload data'!$B:$B,{"licence","community"}))</f>
        <v>0</v>
      </c>
      <c r="AJ12" s="94">
        <f>SUM(SUMIFS('caseload data'!S:S,'caseload data'!$D:$D,"TPO",'caseload data'!$C:$C,'community caseload'!$T$8,'caseload data'!$B:$B,{"licence","community"}))</f>
        <v>0</v>
      </c>
    </row>
    <row r="13" spans="1:50" x14ac:dyDescent="0.15">
      <c r="B13" s="98" t="s">
        <v>954</v>
      </c>
      <c r="C13" s="94">
        <f>SUM(SUMIFS('caseload data'!E:E,'caseload data'!$D:$D,"SPO",'caseload data'!$C:$C,'community caseload'!$B$8,'caseload data'!$B:$B,{"licence","community"}))</f>
        <v>0</v>
      </c>
      <c r="D13" s="94">
        <f>SUM(SUMIFS('caseload data'!F:F,'caseload data'!$D:$D,"SPO",'caseload data'!$C:$C,'community caseload'!$B$8,'caseload data'!$B:$B,{"licence","community"}))</f>
        <v>0</v>
      </c>
      <c r="E13" s="94">
        <f>SUM(SUMIFS('caseload data'!G:G,'caseload data'!$D:$D,"SPO",'caseload data'!$C:$C,'community caseload'!$B$8,'caseload data'!$B:$B,{"licence","community"}))</f>
        <v>0</v>
      </c>
      <c r="F13" s="94">
        <f>SUM(SUMIFS('caseload data'!H:H,'caseload data'!$D:$D,"SPO",'caseload data'!$C:$C,'community caseload'!$B$8,'caseload data'!$B:$B,{"licence","community"}))</f>
        <v>0</v>
      </c>
      <c r="G13" s="94">
        <f>SUM(SUMIFS('caseload data'!I:I,'caseload data'!$D:$D,"SPO",'caseload data'!$C:$C,'community caseload'!$B$8,'caseload data'!$B:$B,{"licence","community"}))</f>
        <v>0</v>
      </c>
      <c r="H13" s="94">
        <f>SUM(SUMIFS('caseload data'!J:J,'caseload data'!$D:$D,"SPO",'caseload data'!$C:$C,'community caseload'!$B$8,'caseload data'!$B:$B,{"licence","community"}))</f>
        <v>0</v>
      </c>
      <c r="I13" s="94">
        <f>SUM(SUMIFS('caseload data'!K:K,'caseload data'!$D:$D,"SPO",'caseload data'!$C:$C,'community caseload'!$B$8,'caseload data'!$B:$B,{"licence","community"}))</f>
        <v>0</v>
      </c>
      <c r="J13" s="94">
        <f>SUM(SUMIFS('caseload data'!L:L,'caseload data'!$D:$D,"SPO",'caseload data'!$C:$C,'community caseload'!$B$8,'caseload data'!$B:$B,{"licence","community"}))</f>
        <v>0</v>
      </c>
      <c r="K13" s="94">
        <f>SUM(SUMIFS('caseload data'!M:M,'caseload data'!$D:$D,"SPO",'caseload data'!$C:$C,'community caseload'!$B$8,'caseload data'!$B:$B,{"licence","community"}))</f>
        <v>0</v>
      </c>
      <c r="L13" s="94">
        <f>SUM(SUMIFS('caseload data'!N:N,'caseload data'!$D:$D,"SPO",'caseload data'!$C:$C,'community caseload'!$B$8,'caseload data'!$B:$B,{"licence","community"}))</f>
        <v>0</v>
      </c>
      <c r="M13" s="94">
        <f>SUM(SUMIFS('caseload data'!O:O,'caseload data'!$D:$D,"SPO",'caseload data'!$C:$C,'community caseload'!$B$8,'caseload data'!$B:$B,{"licence","community"}))</f>
        <v>0</v>
      </c>
      <c r="N13" s="94">
        <f>SUM(SUMIFS('caseload data'!P:P,'caseload data'!$D:$D,"SPO",'caseload data'!$C:$C,'community caseload'!$B$8,'caseload data'!$B:$B,{"licence","community"}))</f>
        <v>0</v>
      </c>
      <c r="O13" s="94">
        <f>SUM(SUMIFS('caseload data'!Q:Q,'caseload data'!$D:$D,"SPO",'caseload data'!$C:$C,'community caseload'!$B$8,'caseload data'!$B:$B,{"licence","community"}))</f>
        <v>0</v>
      </c>
      <c r="P13" s="94">
        <f>SUM(SUMIFS('caseload data'!R:R,'caseload data'!$D:$D,"SPO",'caseload data'!$C:$C,'community caseload'!$B$8,'caseload data'!$B:$B,{"licence","community"}))</f>
        <v>0</v>
      </c>
      <c r="Q13" s="94">
        <f>SUM(SUMIFS('caseload data'!S:S,'caseload data'!$D:$D,"SPO",'caseload data'!$C:$C,'community caseload'!$B$8,'caseload data'!$B:$B,{"licence","community"}))</f>
        <v>0</v>
      </c>
      <c r="R13" s="94">
        <f>SUM(SUMIFS('caseload data'!T:T,'caseload data'!$D:$D,"SPO",'caseload data'!$C:$C,'community caseload'!$B$8,'caseload data'!$B:$B,{"licence","community"}))</f>
        <v>0</v>
      </c>
      <c r="S13" s="64"/>
      <c r="T13" s="98" t="s">
        <v>954</v>
      </c>
      <c r="U13" s="94">
        <f>SUM(SUMIFS('caseload data'!E:E,'caseload data'!$D:$D,"SPO",'caseload data'!$C:$C,'community caseload'!$T$8,'caseload data'!$B:$B,{"licence","community"}))</f>
        <v>0</v>
      </c>
      <c r="V13" s="94"/>
      <c r="W13" s="94"/>
      <c r="X13" s="94"/>
      <c r="Y13" s="94"/>
      <c r="Z13" s="94"/>
      <c r="AA13" s="94"/>
      <c r="AB13" s="94"/>
      <c r="AC13" s="94"/>
      <c r="AD13" s="94"/>
      <c r="AE13" s="94">
        <f>SUM(SUMIFS('caseload data'!J:J,'caseload data'!$D:$D,"SPO",'caseload data'!$C:$C,'community caseload'!$T$8,'caseload data'!$B:$B,{"licence","community"}))</f>
        <v>0</v>
      </c>
      <c r="AF13" s="94">
        <f>SUM(SUMIFS('caseload data'!K:K,'caseload data'!$D:$D,"SPO",'caseload data'!$C:$C,'community caseload'!$T$8,'caseload data'!$B:$B,{"licence","community"}))</f>
        <v>0</v>
      </c>
      <c r="AG13" s="94">
        <f>SUM(SUMIFS('caseload data'!N:N,'caseload data'!$D:$D,"SPO",'caseload data'!$C:$C,'community caseload'!$T$8,'caseload data'!$B:$B,{"licence","community"}))</f>
        <v>0</v>
      </c>
      <c r="AH13" s="94">
        <f>SUM(SUMIFS('caseload data'!O:O,'caseload data'!$D:$D,"SPO",'caseload data'!$C:$C,'community caseload'!$T$8,'caseload data'!$B:$B,{"licence","community"}))</f>
        <v>0</v>
      </c>
      <c r="AI13" s="94">
        <f>SUM(SUMIFS('caseload data'!R:R,'caseload data'!$D:$D,"SPO",'caseload data'!$C:$C,'community caseload'!$T$8,'caseload data'!$B:$B,{"licence","community"}))</f>
        <v>0</v>
      </c>
      <c r="AJ13" s="94">
        <f>SUM(SUMIFS('caseload data'!S:S,'caseload data'!$D:$D,"SPO",'caseload data'!$C:$C,'community caseload'!$T$8,'caseload data'!$B:$B,{"licence","community"}))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4.5" customHeight="1" x14ac:dyDescent="0.15">
      <c r="B15" s="288" t="str">
        <f>HLOOKUP($B$5,Region_Table,4,0)</f>
        <v>Derbyshire - N53</v>
      </c>
      <c r="C15" s="540" t="s">
        <v>1077</v>
      </c>
      <c r="D15" s="541"/>
      <c r="E15" s="541"/>
      <c r="F15" s="541"/>
      <c r="G15" s="541"/>
      <c r="H15" s="541"/>
      <c r="I15" s="541"/>
      <c r="J15" s="541"/>
      <c r="K15" s="541"/>
      <c r="L15" s="541"/>
      <c r="M15" s="570"/>
      <c r="N15" s="570"/>
      <c r="O15" s="571"/>
      <c r="P15" s="543" cm="1">
        <f t="array" ref="P15">SUM(SUMIFS('caseload data'!V:V,'caseload data'!B:B,{"licence","community"},'caseload data'!$C:$C,'community caseload'!B15))</f>
        <v>0</v>
      </c>
      <c r="Q15" s="560"/>
      <c r="R15" s="561"/>
      <c r="S15" s="290"/>
      <c r="T15" s="288" t="str">
        <f>HLOOKUP($B$5,Region_Table,5,0)</f>
        <v>Leicester, Leicestershire and Rutland</v>
      </c>
      <c r="U15" s="540" t="s">
        <v>1077</v>
      </c>
      <c r="V15" s="541"/>
      <c r="W15" s="541"/>
      <c r="X15" s="541"/>
      <c r="Y15" s="541"/>
      <c r="Z15" s="541"/>
      <c r="AA15" s="541"/>
      <c r="AB15" s="541"/>
      <c r="AC15" s="541"/>
      <c r="AD15" s="541"/>
      <c r="AE15" s="570"/>
      <c r="AF15" s="570"/>
      <c r="AG15" s="571"/>
      <c r="AH15" s="543" cm="1">
        <f t="array" ref="AH15">SUM(SUMIFS('caseload data'!V:V,'caseload data'!B:B,{"licence","community"},'caseload data'!$C:$C,'community caseload'!T15))</f>
        <v>0</v>
      </c>
      <c r="AI15" s="560"/>
      <c r="AJ15" s="561"/>
    </row>
    <row r="16" spans="1:50"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94">
        <f>SUM(SUMIFS('caseload data'!E:E,'caseload data'!$D:$D,"PO",'caseload data'!$C:$C,'community caseload'!$B$15,'caseload data'!$B:$B,{"licence","community"}))</f>
        <v>0</v>
      </c>
      <c r="D17" s="94">
        <f>SUM(SUMIFS('caseload data'!F:F,'caseload data'!$D:$D,"PO",'caseload data'!$C:$C,'community caseload'!$B$15,'caseload data'!$B:$B,{"licence","community"}))</f>
        <v>0</v>
      </c>
      <c r="E17" s="94">
        <f>SUM(SUMIFS('caseload data'!G:G,'caseload data'!$D:$D,"PO",'caseload data'!$C:$C,'community caseload'!$B$15,'caseload data'!$B:$B,{"licence","community"}))</f>
        <v>0</v>
      </c>
      <c r="F17" s="94">
        <f>SUM(SUMIFS('caseload data'!H:H,'caseload data'!$D:$D,"PO",'caseload data'!$C:$C,'community caseload'!$B$15,'caseload data'!$B:$B,{"licence","community"}))</f>
        <v>0</v>
      </c>
      <c r="G17" s="94">
        <f>SUM(SUMIFS('caseload data'!I:I,'caseload data'!$D:$D,"PO",'caseload data'!$C:$C,'community caseload'!$B$15,'caseload data'!$B:$B,{"licence","community"}))</f>
        <v>0</v>
      </c>
      <c r="H17" s="94">
        <f>SUM(SUMIFS('caseload data'!J:J,'caseload data'!$D:$D,"PO",'caseload data'!$C:$C,'community caseload'!$B$15,'caseload data'!$B:$B,{"licence","community"}))</f>
        <v>0</v>
      </c>
      <c r="I17" s="94">
        <f>SUM(SUMIFS('caseload data'!K:K,'caseload data'!$D:$D,"PO",'caseload data'!$C:$C,'community caseload'!$B$15,'caseload data'!$B:$B,{"licence","community"}))</f>
        <v>0</v>
      </c>
      <c r="J17" s="94">
        <f>SUM(SUMIFS('caseload data'!L:L,'caseload data'!$D:$D,"PO",'caseload data'!$C:$C,'community caseload'!$B$15,'caseload data'!$B:$B,{"licence","community"}))</f>
        <v>0</v>
      </c>
      <c r="K17" s="94">
        <f>SUM(SUMIFS('caseload data'!M:M,'caseload data'!$D:$D,"PO",'caseload data'!$C:$C,'community caseload'!$B$15,'caseload data'!$B:$B,{"licence","community"}))</f>
        <v>0</v>
      </c>
      <c r="L17" s="94">
        <f>SUM(SUMIFS('caseload data'!N:N,'caseload data'!$D:$D,"PO",'caseload data'!$C:$C,'community caseload'!$B$15,'caseload data'!$B:$B,{"licence","community"}))</f>
        <v>0</v>
      </c>
      <c r="M17" s="94">
        <f>SUM(SUMIFS('caseload data'!O:O,'caseload data'!$D:$D,"PO",'caseload data'!$C:$C,'community caseload'!$B$15,'caseload data'!$B:$B,{"licence","community"}))</f>
        <v>0</v>
      </c>
      <c r="N17" s="94">
        <f>SUM(SUMIFS('caseload data'!P:P,'caseload data'!$D:$D,"PO",'caseload data'!$C:$C,'community caseload'!$B$15,'caseload data'!$B:$B,{"licence","community"}))</f>
        <v>0</v>
      </c>
      <c r="O17" s="94">
        <f>SUM(SUMIFS('caseload data'!Q:Q,'caseload data'!$D:$D,"PO",'caseload data'!$C:$C,'community caseload'!$B$15,'caseload data'!$B:$B,{"licence","community"}))</f>
        <v>0</v>
      </c>
      <c r="P17" s="94">
        <f>SUM(SUMIFS('caseload data'!R:R,'caseload data'!$D:$D,"PO",'caseload data'!$C:$C,'community caseload'!$B$15,'caseload data'!$B:$B,{"licence","community"}))</f>
        <v>0</v>
      </c>
      <c r="Q17" s="94">
        <f>SUM(SUMIFS('caseload data'!S:S,'caseload data'!$D:$D,"PO",'caseload data'!$C:$C,'community caseload'!$B$15,'caseload data'!$B:$B,{"licence","community"}))</f>
        <v>0</v>
      </c>
      <c r="R17" s="94">
        <f>SUM(SUMIFS('caseload data'!T:T,'caseload data'!$D:$D,"PO",'caseload data'!$C:$C,'community caseload'!$B$15,'caseload data'!$B:$B,{"licence","community"}))</f>
        <v>0</v>
      </c>
      <c r="S17" s="64"/>
      <c r="T17" s="96" t="s">
        <v>947</v>
      </c>
      <c r="U17" s="94">
        <f>SUM(SUMIFS('caseload data'!E:E,'caseload data'!$D:$D,"PO",'caseload data'!$C:$C,'community caseload'!$T$15,'caseload data'!$B:$B,{"licence","community"}))</f>
        <v>0</v>
      </c>
      <c r="V17" s="94"/>
      <c r="W17" s="94"/>
      <c r="X17" s="94"/>
      <c r="Y17" s="94"/>
      <c r="Z17" s="94"/>
      <c r="AA17" s="94"/>
      <c r="AB17" s="94"/>
      <c r="AC17" s="94"/>
      <c r="AD17" s="94"/>
      <c r="AE17" s="94">
        <f>SUM(SUMIFS('caseload data'!J:J,'caseload data'!$D:$D,"PO",'caseload data'!$C:$C,'community caseload'!$T$15,'caseload data'!$B:$B,{"licence","community"}))</f>
        <v>0</v>
      </c>
      <c r="AF17" s="94">
        <f>SUM(SUMIFS('caseload data'!K:K,'caseload data'!$D:$D,"PO",'caseload data'!$C:$C,'community caseload'!$T$15,'caseload data'!$B:$B,{"licence","community"}))</f>
        <v>0</v>
      </c>
      <c r="AG17" s="94">
        <f>SUM(SUMIFS('caseload data'!N:N,'caseload data'!$D:$D,"PO",'caseload data'!$C:$C,'community caseload'!$T$15,'caseload data'!$B:$B,{"licence","community"}))</f>
        <v>0</v>
      </c>
      <c r="AH17" s="94">
        <f>SUM(SUMIFS('caseload data'!O:O,'caseload data'!$D:$D,"PO",'caseload data'!$C:$C,'community caseload'!$T$15,'caseload data'!$B:$B,{"licence","community"}))</f>
        <v>0</v>
      </c>
      <c r="AI17" s="94">
        <f>SUM(SUMIFS('caseload data'!R:R,'caseload data'!$D:$D,"PO",'caseload data'!$C:$C,'community caseload'!$T$15,'caseload data'!$B:$B,{"licence","community"}))</f>
        <v>0</v>
      </c>
      <c r="AJ17" s="94">
        <f>SUM(SUMIFS('caseload data'!S:S,'caseload data'!$D:$D,"PO",'caseload data'!$C:$C,'community caseload'!$T$15,'caseload data'!$B:$B,{"licence","community"}))</f>
        <v>0</v>
      </c>
    </row>
    <row r="18" spans="2:36" x14ac:dyDescent="0.15">
      <c r="B18" s="97" t="s">
        <v>952</v>
      </c>
      <c r="C18" s="94">
        <f>SUM(SUMIFS('caseload data'!E:E,'caseload data'!$D:$D,"PSO",'caseload data'!$C:$C,'community caseload'!$B$15,'caseload data'!$B:$B,{"licence","community"}))</f>
        <v>0</v>
      </c>
      <c r="D18" s="94">
        <f>SUM(SUMIFS('caseload data'!F:F,'caseload data'!$D:$D,"PSO",'caseload data'!$C:$C,'community caseload'!$B$15,'caseload data'!$B:$B,{"licence","community"}))</f>
        <v>0</v>
      </c>
      <c r="E18" s="94">
        <f>SUM(SUMIFS('caseload data'!G:G,'caseload data'!$D:$D,"PSO",'caseload data'!$C:$C,'community caseload'!$B$15,'caseload data'!$B:$B,{"licence","community"}))</f>
        <v>0</v>
      </c>
      <c r="F18" s="94">
        <f>SUM(SUMIFS('caseload data'!H:H,'caseload data'!$D:$D,"PSO",'caseload data'!$C:$C,'community caseload'!$B$15,'caseload data'!$B:$B,{"licence","community"}))</f>
        <v>0</v>
      </c>
      <c r="G18" s="94">
        <f>SUM(SUMIFS('caseload data'!I:I,'caseload data'!$D:$D,"PSO",'caseload data'!$C:$C,'community caseload'!$B$15,'caseload data'!$B:$B,{"licence","community"}))</f>
        <v>0</v>
      </c>
      <c r="H18" s="94">
        <f>SUM(SUMIFS('caseload data'!J:J,'caseload data'!$D:$D,"PSO",'caseload data'!$C:$C,'community caseload'!$B$15,'caseload data'!$B:$B,{"licence","community"}))</f>
        <v>0</v>
      </c>
      <c r="I18" s="94">
        <f>SUM(SUMIFS('caseload data'!K:K,'caseload data'!$D:$D,"PSO",'caseload data'!$C:$C,'community caseload'!$B$15,'caseload data'!$B:$B,{"licence","community"}))</f>
        <v>0</v>
      </c>
      <c r="J18" s="94">
        <f>SUM(SUMIFS('caseload data'!L:L,'caseload data'!$D:$D,"PSO",'caseload data'!$C:$C,'community caseload'!$B$15,'caseload data'!$B:$B,{"licence","community"}))</f>
        <v>0</v>
      </c>
      <c r="K18" s="94">
        <f>SUM(SUMIFS('caseload data'!M:M,'caseload data'!$D:$D,"PSO",'caseload data'!$C:$C,'community caseload'!$B$15,'caseload data'!$B:$B,{"licence","community"}))</f>
        <v>0</v>
      </c>
      <c r="L18" s="94">
        <f>SUM(SUMIFS('caseload data'!N:N,'caseload data'!$D:$D,"PSO",'caseload data'!$C:$C,'community caseload'!$B$15,'caseload data'!$B:$B,{"licence","community"}))</f>
        <v>0</v>
      </c>
      <c r="M18" s="94">
        <f>SUM(SUMIFS('caseload data'!O:O,'caseload data'!$D:$D,"PSO",'caseload data'!$C:$C,'community caseload'!$B$15,'caseload data'!$B:$B,{"licence","community"}))</f>
        <v>0</v>
      </c>
      <c r="N18" s="94">
        <f>SUM(SUMIFS('caseload data'!P:P,'caseload data'!$D:$D,"PSO",'caseload data'!$C:$C,'community caseload'!$B$15,'caseload data'!$B:$B,{"licence","community"}))</f>
        <v>0</v>
      </c>
      <c r="O18" s="94">
        <f>SUM(SUMIFS('caseload data'!Q:Q,'caseload data'!$D:$D,"PSO",'caseload data'!$C:$C,'community caseload'!$B$15,'caseload data'!$B:$B,{"licence","community"}))</f>
        <v>0</v>
      </c>
      <c r="P18" s="94">
        <f>SUM(SUMIFS('caseload data'!R:R,'caseload data'!$D:$D,"PSO",'caseload data'!$C:$C,'community caseload'!$B$15,'caseload data'!$B:$B,{"licence","community"}))</f>
        <v>0</v>
      </c>
      <c r="Q18" s="94">
        <f>SUM(SUMIFS('caseload data'!S:S,'caseload data'!$D:$D,"PSO",'caseload data'!$C:$C,'community caseload'!$B$15,'caseload data'!$B:$B,{"licence","community"}))</f>
        <v>0</v>
      </c>
      <c r="R18" s="94">
        <f>SUM(SUMIFS('caseload data'!T:T,'caseload data'!$D:$D,"PSO",'caseload data'!$C:$C,'community caseload'!$B$15,'caseload data'!$B:$B,{"licence","community"}))</f>
        <v>0</v>
      </c>
      <c r="S18" s="64"/>
      <c r="T18" s="97" t="s">
        <v>952</v>
      </c>
      <c r="U18" s="94">
        <f>SUM(SUMIFS('caseload data'!E:E,'caseload data'!$D:$D,"PSO",'caseload data'!$C:$C,'community caseload'!$T$15,'caseload data'!$B:$B,{"licence","community"}))</f>
        <v>0</v>
      </c>
      <c r="V18" s="94"/>
      <c r="W18" s="94"/>
      <c r="X18" s="94"/>
      <c r="Y18" s="94"/>
      <c r="Z18" s="94"/>
      <c r="AA18" s="94"/>
      <c r="AB18" s="94"/>
      <c r="AC18" s="94"/>
      <c r="AD18" s="94"/>
      <c r="AE18" s="94">
        <f>SUM(SUMIFS('caseload data'!J:J,'caseload data'!$D:$D,"PSO",'caseload data'!$C:$C,'community caseload'!$T$15,'caseload data'!$B:$B,{"licence","community"}))</f>
        <v>0</v>
      </c>
      <c r="AF18" s="94">
        <f>SUM(SUMIFS('caseload data'!K:K,'caseload data'!$D:$D,"PSO",'caseload data'!$C:$C,'community caseload'!$T$15,'caseload data'!$B:$B,{"licence","community"}))</f>
        <v>0</v>
      </c>
      <c r="AG18" s="94">
        <f>SUM(SUMIFS('caseload data'!N:N,'caseload data'!$D:$D,"PSO",'caseload data'!$C:$C,'community caseload'!$T$15,'caseload data'!$B:$B,{"licence","community"}))</f>
        <v>0</v>
      </c>
      <c r="AH18" s="94">
        <f>SUM(SUMIFS('caseload data'!O:O,'caseload data'!$D:$D,"PSO",'caseload data'!$C:$C,'community caseload'!$T$15,'caseload data'!$B:$B,{"licence","community"}))</f>
        <v>0</v>
      </c>
      <c r="AI18" s="94">
        <f>SUM(SUMIFS('caseload data'!R:R,'caseload data'!$D:$D,"PSO",'caseload data'!$C:$C,'community caseload'!$T$15,'caseload data'!$B:$B,{"licence","community"}))</f>
        <v>0</v>
      </c>
      <c r="AJ18" s="94">
        <f>SUM(SUMIFS('caseload data'!S:S,'caseload data'!$D:$D,"PSO",'caseload data'!$C:$C,'community caseload'!$T$15,'caseload data'!$B:$B,{"licence","community"}))</f>
        <v>0</v>
      </c>
    </row>
    <row r="19" spans="2:36" x14ac:dyDescent="0.15">
      <c r="B19" s="97" t="s">
        <v>953</v>
      </c>
      <c r="C19" s="94">
        <f>SUM(SUMIFS('caseload data'!E:E,'caseload data'!$D:$D,"TPO",'caseload data'!$C:$C,'community caseload'!$B$15,'caseload data'!$B:$B,{"licence","community"}))</f>
        <v>0</v>
      </c>
      <c r="D19" s="94">
        <f>SUM(SUMIFS('caseload data'!F:F,'caseload data'!$D:$D,"TPO",'caseload data'!$C:$C,'community caseload'!$B$15,'caseload data'!$B:$B,{"licence","community"}))</f>
        <v>0</v>
      </c>
      <c r="E19" s="94">
        <f>SUM(SUMIFS('caseload data'!G:G,'caseload data'!$D:$D,"TPO",'caseload data'!$C:$C,'community caseload'!$B$15,'caseload data'!$B:$B,{"licence","community"}))</f>
        <v>0</v>
      </c>
      <c r="F19" s="94">
        <f>SUM(SUMIFS('caseload data'!H:H,'caseload data'!$D:$D,"TPO",'caseload data'!$C:$C,'community caseload'!$B$15,'caseload data'!$B:$B,{"licence","community"}))</f>
        <v>0</v>
      </c>
      <c r="G19" s="94">
        <f>SUM(SUMIFS('caseload data'!I:I,'caseload data'!$D:$D,"TPO",'caseload data'!$C:$C,'community caseload'!$B$15,'caseload data'!$B:$B,{"licence","community"}))</f>
        <v>0</v>
      </c>
      <c r="H19" s="94">
        <f>SUM(SUMIFS('caseload data'!J:J,'caseload data'!$D:$D,"TPO",'caseload data'!$C:$C,'community caseload'!$B$15,'caseload data'!$B:$B,{"licence","community"}))</f>
        <v>0</v>
      </c>
      <c r="I19" s="94">
        <f>SUM(SUMIFS('caseload data'!K:K,'caseload data'!$D:$D,"TPO",'caseload data'!$C:$C,'community caseload'!$B$15,'caseload data'!$B:$B,{"licence","community"}))</f>
        <v>0</v>
      </c>
      <c r="J19" s="94">
        <f>SUM(SUMIFS('caseload data'!L:L,'caseload data'!$D:$D,"TPO",'caseload data'!$C:$C,'community caseload'!$B$15,'caseload data'!$B:$B,{"licence","community"}))</f>
        <v>0</v>
      </c>
      <c r="K19" s="94">
        <f>SUM(SUMIFS('caseload data'!M:M,'caseload data'!$D:$D,"TPO",'caseload data'!$C:$C,'community caseload'!$B$15,'caseload data'!$B:$B,{"licence","community"}))</f>
        <v>0</v>
      </c>
      <c r="L19" s="94">
        <f>SUM(SUMIFS('caseload data'!N:N,'caseload data'!$D:$D,"TPO",'caseload data'!$C:$C,'community caseload'!$B$15,'caseload data'!$B:$B,{"licence","community"}))</f>
        <v>0</v>
      </c>
      <c r="M19" s="94">
        <f>SUM(SUMIFS('caseload data'!O:O,'caseload data'!$D:$D,"TPO",'caseload data'!$C:$C,'community caseload'!$B$15,'caseload data'!$B:$B,{"licence","community"}))</f>
        <v>0</v>
      </c>
      <c r="N19" s="94">
        <f>SUM(SUMIFS('caseload data'!P:P,'caseload data'!$D:$D,"TPO",'caseload data'!$C:$C,'community caseload'!$B$15,'caseload data'!$B:$B,{"licence","community"}))</f>
        <v>0</v>
      </c>
      <c r="O19" s="94">
        <f>SUM(SUMIFS('caseload data'!Q:Q,'caseload data'!$D:$D,"TPO",'caseload data'!$C:$C,'community caseload'!$B$15,'caseload data'!$B:$B,{"licence","community"}))</f>
        <v>0</v>
      </c>
      <c r="P19" s="94">
        <f>SUM(SUMIFS('caseload data'!R:R,'caseload data'!$D:$D,"TPO",'caseload data'!$C:$C,'community caseload'!$B$15,'caseload data'!$B:$B,{"licence","community"}))</f>
        <v>0</v>
      </c>
      <c r="Q19" s="94">
        <f>SUM(SUMIFS('caseload data'!S:S,'caseload data'!$D:$D,"TPO",'caseload data'!$C:$C,'community caseload'!$B$15,'caseload data'!$B:$B,{"licence","community"}))</f>
        <v>0</v>
      </c>
      <c r="R19" s="94">
        <f>SUM(SUMIFS('caseload data'!T:T,'caseload data'!$D:$D,"TPO",'caseload data'!$C:$C,'community caseload'!$B$15,'caseload data'!$B:$B,{"licence","community"}))</f>
        <v>0</v>
      </c>
      <c r="S19" s="64"/>
      <c r="T19" s="97" t="s">
        <v>953</v>
      </c>
      <c r="U19" s="94">
        <f>SUM(SUMIFS('caseload data'!E:E,'caseload data'!$D:$D,"TPO",'caseload data'!$C:$C,'community caseload'!$T$15,'caseload data'!$B:$B,{"licence","community"}))</f>
        <v>0</v>
      </c>
      <c r="V19" s="94"/>
      <c r="W19" s="94"/>
      <c r="X19" s="94"/>
      <c r="Y19" s="94"/>
      <c r="Z19" s="94"/>
      <c r="AA19" s="94"/>
      <c r="AB19" s="94"/>
      <c r="AC19" s="94"/>
      <c r="AD19" s="94"/>
      <c r="AE19" s="94">
        <f>SUM(SUMIFS('caseload data'!J:J,'caseload data'!$D:$D,"TPO",'caseload data'!$C:$C,'community caseload'!$T$15,'caseload data'!$B:$B,{"licence","community"}))</f>
        <v>0</v>
      </c>
      <c r="AF19" s="94">
        <f>SUM(SUMIFS('caseload data'!K:K,'caseload data'!$D:$D,"TPO",'caseload data'!$C:$C,'community caseload'!$T$15,'caseload data'!$B:$B,{"licence","community"}))</f>
        <v>0</v>
      </c>
      <c r="AG19" s="94">
        <f>SUM(SUMIFS('caseload data'!N:N,'caseload data'!$D:$D,"TPO",'caseload data'!$C:$C,'community caseload'!$T$15,'caseload data'!$B:$B,{"licence","community"}))</f>
        <v>0</v>
      </c>
      <c r="AH19" s="94">
        <f>SUM(SUMIFS('caseload data'!O:O,'caseload data'!$D:$D,"TPO",'caseload data'!$C:$C,'community caseload'!$T$15,'caseload data'!$B:$B,{"licence","community"}))</f>
        <v>0</v>
      </c>
      <c r="AI19" s="94">
        <f>SUM(SUMIFS('caseload data'!R:R,'caseload data'!$D:$D,"TPO",'caseload data'!$C:$C,'community caseload'!$T$15,'caseload data'!$B:$B,{"licence","community"}))</f>
        <v>0</v>
      </c>
      <c r="AJ19" s="94">
        <f>SUM(SUMIFS('caseload data'!S:S,'caseload data'!$D:$D,"TPO",'caseload data'!$C:$C,'community caseload'!$T$15,'caseload data'!$B:$B,{"licence","community"}))</f>
        <v>0</v>
      </c>
    </row>
    <row r="20" spans="2:36" x14ac:dyDescent="0.15">
      <c r="B20" s="98" t="s">
        <v>954</v>
      </c>
      <c r="C20" s="94">
        <f>SUM(SUMIFS('caseload data'!E:E,'caseload data'!$D:$D,"SPO",'caseload data'!$C:$C,'community caseload'!$B$15,'caseload data'!$B:$B,{"licence","community"}))</f>
        <v>0</v>
      </c>
      <c r="D20" s="94">
        <f>SUM(SUMIFS('caseload data'!F:F,'caseload data'!$D:$D,"SPO",'caseload data'!$C:$C,'community caseload'!$B$15,'caseload data'!$B:$B,{"licence","community"}))</f>
        <v>0</v>
      </c>
      <c r="E20" s="94">
        <f>SUM(SUMIFS('caseload data'!G:G,'caseload data'!$D:$D,"SPO",'caseload data'!$C:$C,'community caseload'!$B$15,'caseload data'!$B:$B,{"licence","community"}))</f>
        <v>0</v>
      </c>
      <c r="F20" s="94">
        <f>SUM(SUMIFS('caseload data'!H:H,'caseload data'!$D:$D,"SPO",'caseload data'!$C:$C,'community caseload'!$B$15,'caseload data'!$B:$B,{"licence","community"}))</f>
        <v>0</v>
      </c>
      <c r="G20" s="94">
        <f>SUM(SUMIFS('caseload data'!I:I,'caseload data'!$D:$D,"SPO",'caseload data'!$C:$C,'community caseload'!$B$15,'caseload data'!$B:$B,{"licence","community"}))</f>
        <v>0</v>
      </c>
      <c r="H20" s="94">
        <f>SUM(SUMIFS('caseload data'!J:J,'caseload data'!$D:$D,"SPO",'caseload data'!$C:$C,'community caseload'!$B$15,'caseload data'!$B:$B,{"licence","community"}))</f>
        <v>0</v>
      </c>
      <c r="I20" s="94">
        <f>SUM(SUMIFS('caseload data'!K:K,'caseload data'!$D:$D,"SPO",'caseload data'!$C:$C,'community caseload'!$B$15,'caseload data'!$B:$B,{"licence","community"}))</f>
        <v>0</v>
      </c>
      <c r="J20" s="94">
        <f>SUM(SUMIFS('caseload data'!L:L,'caseload data'!$D:$D,"SPO",'caseload data'!$C:$C,'community caseload'!$B$15,'caseload data'!$B:$B,{"licence","community"}))</f>
        <v>0</v>
      </c>
      <c r="K20" s="94">
        <f>SUM(SUMIFS('caseload data'!M:M,'caseload data'!$D:$D,"SPO",'caseload data'!$C:$C,'community caseload'!$B$15,'caseload data'!$B:$B,{"licence","community"}))</f>
        <v>0</v>
      </c>
      <c r="L20" s="94">
        <f>SUM(SUMIFS('caseload data'!N:N,'caseload data'!$D:$D,"SPO",'caseload data'!$C:$C,'community caseload'!$B$15,'caseload data'!$B:$B,{"licence","community"}))</f>
        <v>0</v>
      </c>
      <c r="M20" s="94">
        <f>SUM(SUMIFS('caseload data'!O:O,'caseload data'!$D:$D,"SPO",'caseload data'!$C:$C,'community caseload'!$B$15,'caseload data'!$B:$B,{"licence","community"}))</f>
        <v>0</v>
      </c>
      <c r="N20" s="94">
        <f>SUM(SUMIFS('caseload data'!P:P,'caseload data'!$D:$D,"SPO",'caseload data'!$C:$C,'community caseload'!$B$15,'caseload data'!$B:$B,{"licence","community"}))</f>
        <v>0</v>
      </c>
      <c r="O20" s="94">
        <f>SUM(SUMIFS('caseload data'!Q:Q,'caseload data'!$D:$D,"SPO",'caseload data'!$C:$C,'community caseload'!$B$15,'caseload data'!$B:$B,{"licence","community"}))</f>
        <v>0</v>
      </c>
      <c r="P20" s="94">
        <f>SUM(SUMIFS('caseload data'!R:R,'caseload data'!$D:$D,"SPO",'caseload data'!$C:$C,'community caseload'!$B$15,'caseload data'!$B:$B,{"licence","community"}))</f>
        <v>0</v>
      </c>
      <c r="Q20" s="94">
        <f>SUM(SUMIFS('caseload data'!S:S,'caseload data'!$D:$D,"SPO",'caseload data'!$C:$C,'community caseload'!$B$15,'caseload data'!$B:$B,{"licence","community"}))</f>
        <v>0</v>
      </c>
      <c r="R20" s="94">
        <f>SUM(SUMIFS('caseload data'!T:T,'caseload data'!$D:$D,"SPO",'caseload data'!$C:$C,'community caseload'!$B$15,'caseload data'!$B:$B,{"licence","community"}))</f>
        <v>0</v>
      </c>
      <c r="S20" s="64"/>
      <c r="T20" s="98" t="s">
        <v>954</v>
      </c>
      <c r="U20" s="94">
        <f>SUM(SUMIFS('caseload data'!E:E,'caseload data'!$D:$D,"SPO",'caseload data'!$C:$C,'community caseload'!$T$15,'caseload data'!$B:$B,{"licence","community"}))</f>
        <v>0</v>
      </c>
      <c r="V20" s="94"/>
      <c r="W20" s="94"/>
      <c r="X20" s="94"/>
      <c r="Y20" s="94"/>
      <c r="Z20" s="94"/>
      <c r="AA20" s="94"/>
      <c r="AB20" s="94"/>
      <c r="AC20" s="94"/>
      <c r="AD20" s="94"/>
      <c r="AE20" s="94">
        <f>SUM(SUMIFS('caseload data'!J:J,'caseload data'!$D:$D,"SPO",'caseload data'!$C:$C,'community caseload'!$T$15,'caseload data'!$B:$B,{"licence","community"}))</f>
        <v>0</v>
      </c>
      <c r="AF20" s="94">
        <f>SUM(SUMIFS('caseload data'!K:K,'caseload data'!$D:$D,"SPO",'caseload data'!$C:$C,'community caseload'!$T$15,'caseload data'!$B:$B,{"licence","community"}))</f>
        <v>0</v>
      </c>
      <c r="AG20" s="94">
        <f>SUM(SUMIFS('caseload data'!N:N,'caseload data'!$D:$D,"SPO",'caseload data'!$C:$C,'community caseload'!$T$15,'caseload data'!$B:$B,{"licence","community"}))</f>
        <v>0</v>
      </c>
      <c r="AH20" s="94">
        <f>SUM(SUMIFS('caseload data'!O:O,'caseload data'!$D:$D,"SPO",'caseload data'!$C:$C,'community caseload'!$T$15,'caseload data'!$B:$B,{"licence","community"}))</f>
        <v>0</v>
      </c>
      <c r="AI20" s="94">
        <f>SUM(SUMIFS('caseload data'!R:R,'caseload data'!$D:$D,"SPO",'caseload data'!$C:$C,'community caseload'!$T$15,'caseload data'!$B:$B,{"licence","community"}))</f>
        <v>0</v>
      </c>
      <c r="AJ20" s="94">
        <f>SUM(SUMIFS('caseload data'!S:S,'caseload data'!$D:$D,"SPO",'caseload data'!$C:$C,'community caseload'!$T$15,'caseload data'!$B:$B,{"licence","community"}))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42" customHeight="1" x14ac:dyDescent="0.15">
      <c r="B22" s="288" t="str">
        <f>HLOOKUP($B$5,Region_Table,6,0)</f>
        <v>Lincolnshire East and West - N53</v>
      </c>
      <c r="C22" s="540" t="s">
        <v>1077</v>
      </c>
      <c r="D22" s="541"/>
      <c r="E22" s="541"/>
      <c r="F22" s="541"/>
      <c r="G22" s="541"/>
      <c r="H22" s="541"/>
      <c r="I22" s="541"/>
      <c r="J22" s="541"/>
      <c r="K22" s="541"/>
      <c r="L22" s="541"/>
      <c r="M22" s="570"/>
      <c r="N22" s="570"/>
      <c r="O22" s="571"/>
      <c r="P22" s="543" cm="1">
        <f t="array" ref="P22">SUM(SUMIFS('caseload data'!V:V,'caseload data'!B:B,{"licence","community"},'caseload data'!$C:$C,'community caseload'!B22))</f>
        <v>0</v>
      </c>
      <c r="Q22" s="560"/>
      <c r="R22" s="561"/>
      <c r="S22" s="290"/>
      <c r="T22" s="288" t="str">
        <f>HLOOKUP($B$5,Region_Table,7,0)</f>
        <v>Nottingham City</v>
      </c>
      <c r="U22" s="540" t="s">
        <v>1077</v>
      </c>
      <c r="V22" s="541"/>
      <c r="W22" s="541"/>
      <c r="X22" s="541"/>
      <c r="Y22" s="541"/>
      <c r="Z22" s="541"/>
      <c r="AA22" s="541"/>
      <c r="AB22" s="541"/>
      <c r="AC22" s="541"/>
      <c r="AD22" s="541"/>
      <c r="AE22" s="570"/>
      <c r="AF22" s="570"/>
      <c r="AG22" s="571"/>
      <c r="AH22" s="543" cm="1">
        <f t="array" ref="AH22">SUM(SUMIFS('caseload data'!V:V,'caseload data'!B:B,{"licence","community"},'caseload data'!$C:$C,'community caseload'!T22))</f>
        <v>0</v>
      </c>
      <c r="AI22" s="560"/>
      <c r="AJ22" s="561"/>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94">
        <f>SUM(SUMIFS('caseload data'!E:E,'caseload data'!$D:$D,"PO",'caseload data'!$C:$C,'community caseload'!$B$22,'caseload data'!$B:$B,{"licence","community"}))</f>
        <v>0</v>
      </c>
      <c r="D24" s="94">
        <f>SUM(SUMIFS('caseload data'!F:F,'caseload data'!$D:$D,"PO",'caseload data'!$C:$C,'community caseload'!$B$22,'caseload data'!$B:$B,{"licence","community"}))</f>
        <v>0</v>
      </c>
      <c r="E24" s="94">
        <f>SUM(SUMIFS('caseload data'!G:G,'caseload data'!$D:$D,"PO",'caseload data'!$C:$C,'community caseload'!$B$22,'caseload data'!$B:$B,{"licence","community"}))</f>
        <v>0</v>
      </c>
      <c r="F24" s="94">
        <f>SUM(SUMIFS('caseload data'!H:H,'caseload data'!$D:$D,"PO",'caseload data'!$C:$C,'community caseload'!$B$22,'caseload data'!$B:$B,{"licence","community"}))</f>
        <v>0</v>
      </c>
      <c r="G24" s="94">
        <f>SUM(SUMIFS('caseload data'!I:I,'caseload data'!$D:$D,"PO",'caseload data'!$C:$C,'community caseload'!$B$22,'caseload data'!$B:$B,{"licence","community"}))</f>
        <v>0</v>
      </c>
      <c r="H24" s="94">
        <f>SUM(SUMIFS('caseload data'!J:J,'caseload data'!$D:$D,"PO",'caseload data'!$C:$C,'community caseload'!$B$22,'caseload data'!$B:$B,{"licence","community"}))</f>
        <v>0</v>
      </c>
      <c r="I24" s="94">
        <f>SUM(SUMIFS('caseload data'!K:K,'caseload data'!$D:$D,"PO",'caseload data'!$C:$C,'community caseload'!$B$22,'caseload data'!$B:$B,{"licence","community"}))</f>
        <v>0</v>
      </c>
      <c r="J24" s="94">
        <f>SUM(SUMIFS('caseload data'!L:L,'caseload data'!$D:$D,"PO",'caseload data'!$C:$C,'community caseload'!$B$22,'caseload data'!$B:$B,{"licence","community"}))</f>
        <v>0</v>
      </c>
      <c r="K24" s="94">
        <f>SUM(SUMIFS('caseload data'!M:M,'caseload data'!$D:$D,"PO",'caseload data'!$C:$C,'community caseload'!$B$22,'caseload data'!$B:$B,{"licence","community"}))</f>
        <v>0</v>
      </c>
      <c r="L24" s="94">
        <f>SUM(SUMIFS('caseload data'!N:N,'caseload data'!$D:$D,"PO",'caseload data'!$C:$C,'community caseload'!$B$22,'caseload data'!$B:$B,{"licence","community"}))</f>
        <v>0</v>
      </c>
      <c r="M24" s="94">
        <f>SUM(SUMIFS('caseload data'!O:O,'caseload data'!$D:$D,"PO",'caseload data'!$C:$C,'community caseload'!$B$22,'caseload data'!$B:$B,{"licence","community"}))</f>
        <v>0</v>
      </c>
      <c r="N24" s="94">
        <f>SUM(SUMIFS('caseload data'!P:P,'caseload data'!$D:$D,"PO",'caseload data'!$C:$C,'community caseload'!$B$22,'caseload data'!$B:$B,{"licence","community"}))</f>
        <v>0</v>
      </c>
      <c r="O24" s="94">
        <f>SUM(SUMIFS('caseload data'!Q:Q,'caseload data'!$D:$D,"PO",'caseload data'!$C:$C,'community caseload'!$B$22,'caseload data'!$B:$B,{"licence","community"}))</f>
        <v>0</v>
      </c>
      <c r="P24" s="94">
        <f>SUM(SUMIFS('caseload data'!R:R,'caseload data'!$D:$D,"PO",'caseload data'!$C:$C,'community caseload'!$B$22,'caseload data'!$B:$B,{"licence","community"}))</f>
        <v>0</v>
      </c>
      <c r="Q24" s="94">
        <f>SUM(SUMIFS('caseload data'!S:S,'caseload data'!$D:$D,"PO",'caseload data'!$C:$C,'community caseload'!$B$22,'caseload data'!$B:$B,{"licence","community"}))</f>
        <v>0</v>
      </c>
      <c r="R24" s="94">
        <f>SUM(SUMIFS('caseload data'!T:T,'caseload data'!$D:$D,"PO",'caseload data'!$C:$C,'community caseload'!$B$22,'caseload data'!$B:$B,{"licence","community"}))</f>
        <v>0</v>
      </c>
      <c r="S24" s="64"/>
      <c r="T24" s="96" t="s">
        <v>947</v>
      </c>
      <c r="U24" s="94">
        <f>SUM(SUMIFS('caseload data'!E:E,'caseload data'!$D:$D,"PO",'caseload data'!$C:$C,'community caseload'!$T$22,'caseload data'!$B:$B,{"licence","community"}))</f>
        <v>0</v>
      </c>
      <c r="V24" s="94">
        <f>SUM(SUMIFS('caseload data'!F:F,'caseload data'!$D:$D,"PO",'caseload data'!$C:$C,'community caseload'!$T$22,'caseload data'!$B:$B,{"licence","community"}))</f>
        <v>0</v>
      </c>
      <c r="W24" s="94">
        <f>SUM(SUMIFS('caseload data'!G:G,'caseload data'!$D:$D,"PO",'caseload data'!$C:$C,'community caseload'!$T$22,'caseload data'!$B:$B,{"licence","community"}))</f>
        <v>0</v>
      </c>
      <c r="X24" s="94">
        <f>SUM(SUMIFS('caseload data'!H:H,'caseload data'!$D:$D,"PO",'caseload data'!$C:$C,'community caseload'!$T$22,'caseload data'!$B:$B,{"licence","community"}))</f>
        <v>0</v>
      </c>
      <c r="Y24" s="94">
        <f>SUM(SUMIFS('caseload data'!I:I,'caseload data'!$D:$D,"PO",'caseload data'!$C:$C,'community caseload'!$T$22,'caseload data'!$B:$B,{"licence","community"}))</f>
        <v>0</v>
      </c>
      <c r="Z24" s="94">
        <f>SUM(SUMIFS('caseload data'!J:J,'caseload data'!$D:$D,"PO",'caseload data'!$C:$C,'community caseload'!$T$22,'caseload data'!$B:$B,{"licence","community"}))</f>
        <v>0</v>
      </c>
      <c r="AA24" s="94">
        <f>SUM(SUMIFS('caseload data'!K:K,'caseload data'!$D:$D,"PO",'caseload data'!$C:$C,'community caseload'!$T$22,'caseload data'!$B:$B,{"licence","community"}))</f>
        <v>0</v>
      </c>
      <c r="AB24" s="94">
        <f>SUM(SUMIFS('caseload data'!L:L,'caseload data'!$D:$D,"PO",'caseload data'!$C:$C,'community caseload'!$T$22,'caseload data'!$B:$B,{"licence","community"}))</f>
        <v>0</v>
      </c>
      <c r="AC24" s="94">
        <f>SUM(SUMIFS('caseload data'!M:M,'caseload data'!$D:$D,"PO",'caseload data'!$C:$C,'community caseload'!$T$22,'caseload data'!$B:$B,{"licence","community"}))</f>
        <v>0</v>
      </c>
      <c r="AD24" s="94">
        <f>SUM(SUMIFS('caseload data'!N:N,'caseload data'!$D:$D,"PO",'caseload data'!$C:$C,'community caseload'!$T$22,'caseload data'!$B:$B,{"licence","community"}))</f>
        <v>0</v>
      </c>
      <c r="AE24" s="94">
        <f>SUM(SUMIFS('caseload data'!O:O,'caseload data'!$D:$D,"PO",'caseload data'!$C:$C,'community caseload'!$T$22,'caseload data'!$B:$B,{"licence","community"}))</f>
        <v>0</v>
      </c>
      <c r="AF24" s="94">
        <f>SUM(SUMIFS('caseload data'!P:P,'caseload data'!$D:$D,"PO",'caseload data'!$C:$C,'community caseload'!$T$22,'caseload data'!$B:$B,{"licence","community"}))</f>
        <v>0</v>
      </c>
      <c r="AG24" s="94">
        <f>SUM(SUMIFS('caseload data'!Q:Q,'caseload data'!$D:$D,"PO",'caseload data'!$C:$C,'community caseload'!$T$22,'caseload data'!$B:$B,{"licence","community"}))</f>
        <v>0</v>
      </c>
      <c r="AH24" s="94">
        <f>SUM(SUMIFS('caseload data'!R:R,'caseload data'!$D:$D,"PO",'caseload data'!$C:$C,'community caseload'!$T$22,'caseload data'!$B:$B,{"licence","community"}))</f>
        <v>0</v>
      </c>
      <c r="AI24" s="94">
        <f>SUM(SUMIFS('caseload data'!S:S,'caseload data'!$D:$D,"PO",'caseload data'!$C:$C,'community caseload'!$T$22,'caseload data'!$B:$B,{"licence","community"}))</f>
        <v>0</v>
      </c>
      <c r="AJ24" s="94">
        <f>SUM(SUMIFS('caseload data'!T:T,'caseload data'!$D:$D,"PO",'caseload data'!$C:$C,'community caseload'!$T$22,'caseload data'!$B:$B,{"licence","community"}))</f>
        <v>0</v>
      </c>
    </row>
    <row r="25" spans="2:36" x14ac:dyDescent="0.15">
      <c r="B25" s="97" t="s">
        <v>952</v>
      </c>
      <c r="C25" s="94">
        <f>SUM(SUMIFS('caseload data'!E:E,'caseload data'!$D:$D,"PSO",'caseload data'!$C:$C,'community caseload'!$B$22,'caseload data'!$B:$B,{"licence","community"}))</f>
        <v>0</v>
      </c>
      <c r="D25" s="94">
        <f>SUM(SUMIFS('caseload data'!F:F,'caseload data'!$D:$D,"PSO",'caseload data'!$C:$C,'community caseload'!$B$22,'caseload data'!$B:$B,{"licence","community"}))</f>
        <v>0</v>
      </c>
      <c r="E25" s="94">
        <f>SUM(SUMIFS('caseload data'!G:G,'caseload data'!$D:$D,"PSO",'caseload data'!$C:$C,'community caseload'!$B$22,'caseload data'!$B:$B,{"licence","community"}))</f>
        <v>0</v>
      </c>
      <c r="F25" s="94">
        <f>SUM(SUMIFS('caseload data'!H:H,'caseload data'!$D:$D,"PSO",'caseload data'!$C:$C,'community caseload'!$B$22,'caseload data'!$B:$B,{"licence","community"}))</f>
        <v>0</v>
      </c>
      <c r="G25" s="94">
        <f>SUM(SUMIFS('caseload data'!I:I,'caseload data'!$D:$D,"PSO",'caseload data'!$C:$C,'community caseload'!$B$22,'caseload data'!$B:$B,{"licence","community"}))</f>
        <v>0</v>
      </c>
      <c r="H25" s="94">
        <f>SUM(SUMIFS('caseload data'!J:J,'caseload data'!$D:$D,"PSO",'caseload data'!$C:$C,'community caseload'!$B$22,'caseload data'!$B:$B,{"licence","community"}))</f>
        <v>0</v>
      </c>
      <c r="I25" s="94">
        <f>SUM(SUMIFS('caseload data'!K:K,'caseload data'!$D:$D,"PSO",'caseload data'!$C:$C,'community caseload'!$B$22,'caseload data'!$B:$B,{"licence","community"}))</f>
        <v>0</v>
      </c>
      <c r="J25" s="94">
        <f>SUM(SUMIFS('caseload data'!L:L,'caseload data'!$D:$D,"PSO",'caseload data'!$C:$C,'community caseload'!$B$22,'caseload data'!$B:$B,{"licence","community"}))</f>
        <v>0</v>
      </c>
      <c r="K25" s="94">
        <f>SUM(SUMIFS('caseload data'!M:M,'caseload data'!$D:$D,"PSO",'caseload data'!$C:$C,'community caseload'!$B$22,'caseload data'!$B:$B,{"licence","community"}))</f>
        <v>0</v>
      </c>
      <c r="L25" s="94">
        <f>SUM(SUMIFS('caseload data'!N:N,'caseload data'!$D:$D,"PSO",'caseload data'!$C:$C,'community caseload'!$B$22,'caseload data'!$B:$B,{"licence","community"}))</f>
        <v>0</v>
      </c>
      <c r="M25" s="94">
        <f>SUM(SUMIFS('caseload data'!O:O,'caseload data'!$D:$D,"PSO",'caseload data'!$C:$C,'community caseload'!$B$22,'caseload data'!$B:$B,{"licence","community"}))</f>
        <v>0</v>
      </c>
      <c r="N25" s="94">
        <f>SUM(SUMIFS('caseload data'!P:P,'caseload data'!$D:$D,"PSO",'caseload data'!$C:$C,'community caseload'!$B$22,'caseload data'!$B:$B,{"licence","community"}))</f>
        <v>0</v>
      </c>
      <c r="O25" s="94">
        <f>SUM(SUMIFS('caseload data'!Q:Q,'caseload data'!$D:$D,"PSO",'caseload data'!$C:$C,'community caseload'!$B$22,'caseload data'!$B:$B,{"licence","community"}))</f>
        <v>0</v>
      </c>
      <c r="P25" s="94">
        <f>SUM(SUMIFS('caseload data'!R:R,'caseload data'!$D:$D,"PSO",'caseload data'!$C:$C,'community caseload'!$B$22,'caseload data'!$B:$B,{"licence","community"}))</f>
        <v>0</v>
      </c>
      <c r="Q25" s="94">
        <f>SUM(SUMIFS('caseload data'!S:S,'caseload data'!$D:$D,"PSO",'caseload data'!$C:$C,'community caseload'!$B$22,'caseload data'!$B:$B,{"licence","community"}))</f>
        <v>0</v>
      </c>
      <c r="R25" s="94">
        <f>SUM(SUMIFS('caseload data'!T:T,'caseload data'!$D:$D,"PSO",'caseload data'!$C:$C,'community caseload'!$B$22,'caseload data'!$B:$B,{"licence","community"}))</f>
        <v>0</v>
      </c>
      <c r="S25" s="64"/>
      <c r="T25" s="97" t="s">
        <v>952</v>
      </c>
      <c r="U25" s="94">
        <f>SUM(SUMIFS('caseload data'!E:E,'caseload data'!$D:$D,"PSO",'caseload data'!$C:$C,'community caseload'!$T$22,'caseload data'!$B:$B,{"licence","community"}))</f>
        <v>0</v>
      </c>
      <c r="V25" s="94">
        <f>SUM(SUMIFS('caseload data'!F:F,'caseload data'!$D:$D,"PSO",'caseload data'!$C:$C,'community caseload'!$T$22,'caseload data'!$B:$B,{"licence","community"}))</f>
        <v>0</v>
      </c>
      <c r="W25" s="94">
        <f>SUM(SUMIFS('caseload data'!G:G,'caseload data'!$D:$D,"PSO",'caseload data'!$C:$C,'community caseload'!$T$22,'caseload data'!$B:$B,{"licence","community"}))</f>
        <v>0</v>
      </c>
      <c r="X25" s="94">
        <f>SUM(SUMIFS('caseload data'!H:H,'caseload data'!$D:$D,"PSO",'caseload data'!$C:$C,'community caseload'!$T$22,'caseload data'!$B:$B,{"licence","community"}))</f>
        <v>0</v>
      </c>
      <c r="Y25" s="94">
        <f>SUM(SUMIFS('caseload data'!I:I,'caseload data'!$D:$D,"PSO",'caseload data'!$C:$C,'community caseload'!$T$22,'caseload data'!$B:$B,{"licence","community"}))</f>
        <v>0</v>
      </c>
      <c r="Z25" s="94">
        <f>SUM(SUMIFS('caseload data'!J:J,'caseload data'!$D:$D,"PSO",'caseload data'!$C:$C,'community caseload'!$T$22,'caseload data'!$B:$B,{"licence","community"}))</f>
        <v>0</v>
      </c>
      <c r="AA25" s="94">
        <f>SUM(SUMIFS('caseload data'!K:K,'caseload data'!$D:$D,"PSO",'caseload data'!$C:$C,'community caseload'!$T$22,'caseload data'!$B:$B,{"licence","community"}))</f>
        <v>0</v>
      </c>
      <c r="AB25" s="94">
        <f>SUM(SUMIFS('caseload data'!L:L,'caseload data'!$D:$D,"PSO",'caseload data'!$C:$C,'community caseload'!$T$22,'caseload data'!$B:$B,{"licence","community"}))</f>
        <v>0</v>
      </c>
      <c r="AC25" s="94">
        <f>SUM(SUMIFS('caseload data'!M:M,'caseload data'!$D:$D,"PSO",'caseload data'!$C:$C,'community caseload'!$T$22,'caseload data'!$B:$B,{"licence","community"}))</f>
        <v>0</v>
      </c>
      <c r="AD25" s="94">
        <f>SUM(SUMIFS('caseload data'!N:N,'caseload data'!$D:$D,"PSO",'caseload data'!$C:$C,'community caseload'!$T$22,'caseload data'!$B:$B,{"licence","community"}))</f>
        <v>0</v>
      </c>
      <c r="AE25" s="94">
        <f>SUM(SUMIFS('caseload data'!O:O,'caseload data'!$D:$D,"PSO",'caseload data'!$C:$C,'community caseload'!$T$22,'caseload data'!$B:$B,{"licence","community"}))</f>
        <v>0</v>
      </c>
      <c r="AF25" s="94">
        <f>SUM(SUMIFS('caseload data'!P:P,'caseload data'!$D:$D,"PSO",'caseload data'!$C:$C,'community caseload'!$T$22,'caseload data'!$B:$B,{"licence","community"}))</f>
        <v>0</v>
      </c>
      <c r="AG25" s="94">
        <f>SUM(SUMIFS('caseload data'!Q:Q,'caseload data'!$D:$D,"PSO",'caseload data'!$C:$C,'community caseload'!$T$22,'caseload data'!$B:$B,{"licence","community"}))</f>
        <v>0</v>
      </c>
      <c r="AH25" s="94">
        <f>SUM(SUMIFS('caseload data'!R:R,'caseload data'!$D:$D,"PSO",'caseload data'!$C:$C,'community caseload'!$T$22,'caseload data'!$B:$B,{"licence","community"}))</f>
        <v>0</v>
      </c>
      <c r="AI25" s="94">
        <f>SUM(SUMIFS('caseload data'!S:S,'caseload data'!$D:$D,"PSO",'caseload data'!$C:$C,'community caseload'!$T$22,'caseload data'!$B:$B,{"licence","community"}))</f>
        <v>0</v>
      </c>
      <c r="AJ25" s="94">
        <f>SUM(SUMIFS('caseload data'!T:T,'caseload data'!$D:$D,"PSO",'caseload data'!$C:$C,'community caseload'!$T$22,'caseload data'!$B:$B,{"licence","community"}))</f>
        <v>0</v>
      </c>
    </row>
    <row r="26" spans="2:36" x14ac:dyDescent="0.15">
      <c r="B26" s="97" t="s">
        <v>953</v>
      </c>
      <c r="C26" s="94">
        <f>SUM(SUMIFS('caseload data'!E:E,'caseload data'!$D:$D,"TPO",'caseload data'!$C:$C,'community caseload'!$B$22,'caseload data'!$B:$B,{"licence","community"}))</f>
        <v>0</v>
      </c>
      <c r="D26" s="94">
        <f>SUM(SUMIFS('caseload data'!F:F,'caseload data'!$D:$D,"TPO",'caseload data'!$C:$C,'community caseload'!$B$22,'caseload data'!$B:$B,{"licence","community"}))</f>
        <v>0</v>
      </c>
      <c r="E26" s="94">
        <f>SUM(SUMIFS('caseload data'!G:G,'caseload data'!$D:$D,"TPO",'caseload data'!$C:$C,'community caseload'!$B$22,'caseload data'!$B:$B,{"licence","community"}))</f>
        <v>0</v>
      </c>
      <c r="F26" s="94">
        <f>SUM(SUMIFS('caseload data'!H:H,'caseload data'!$D:$D,"TPO",'caseload data'!$C:$C,'community caseload'!$B$22,'caseload data'!$B:$B,{"licence","community"}))</f>
        <v>0</v>
      </c>
      <c r="G26" s="94">
        <f>SUM(SUMIFS('caseload data'!I:I,'caseload data'!$D:$D,"TPO",'caseload data'!$C:$C,'community caseload'!$B$22,'caseload data'!$B:$B,{"licence","community"}))</f>
        <v>0</v>
      </c>
      <c r="H26" s="94">
        <f>SUM(SUMIFS('caseload data'!J:J,'caseload data'!$D:$D,"TPO",'caseload data'!$C:$C,'community caseload'!$B$22,'caseload data'!$B:$B,{"licence","community"}))</f>
        <v>0</v>
      </c>
      <c r="I26" s="94">
        <f>SUM(SUMIFS('caseload data'!K:K,'caseload data'!$D:$D,"TPO",'caseload data'!$C:$C,'community caseload'!$B$22,'caseload data'!$B:$B,{"licence","community"}))</f>
        <v>0</v>
      </c>
      <c r="J26" s="94">
        <f>SUM(SUMIFS('caseload data'!L:L,'caseload data'!$D:$D,"TPO",'caseload data'!$C:$C,'community caseload'!$B$22,'caseload data'!$B:$B,{"licence","community"}))</f>
        <v>0</v>
      </c>
      <c r="K26" s="94">
        <f>SUM(SUMIFS('caseload data'!M:M,'caseload data'!$D:$D,"TPO",'caseload data'!$C:$C,'community caseload'!$B$22,'caseload data'!$B:$B,{"licence","community"}))</f>
        <v>0</v>
      </c>
      <c r="L26" s="94">
        <f>SUM(SUMIFS('caseload data'!N:N,'caseload data'!$D:$D,"TPO",'caseload data'!$C:$C,'community caseload'!$B$22,'caseload data'!$B:$B,{"licence","community"}))</f>
        <v>0</v>
      </c>
      <c r="M26" s="94">
        <f>SUM(SUMIFS('caseload data'!O:O,'caseload data'!$D:$D,"TPO",'caseload data'!$C:$C,'community caseload'!$B$22,'caseload data'!$B:$B,{"licence","community"}))</f>
        <v>0</v>
      </c>
      <c r="N26" s="94">
        <f>SUM(SUMIFS('caseload data'!P:P,'caseload data'!$D:$D,"TPO",'caseload data'!$C:$C,'community caseload'!$B$22,'caseload data'!$B:$B,{"licence","community"}))</f>
        <v>0</v>
      </c>
      <c r="O26" s="94">
        <f>SUM(SUMIFS('caseload data'!Q:Q,'caseload data'!$D:$D,"TPO",'caseload data'!$C:$C,'community caseload'!$B$22,'caseload data'!$B:$B,{"licence","community"}))</f>
        <v>0</v>
      </c>
      <c r="P26" s="94">
        <f>SUM(SUMIFS('caseload data'!R:R,'caseload data'!$D:$D,"TPO",'caseload data'!$C:$C,'community caseload'!$B$22,'caseload data'!$B:$B,{"licence","community"}))</f>
        <v>0</v>
      </c>
      <c r="Q26" s="94">
        <f>SUM(SUMIFS('caseload data'!S:S,'caseload data'!$D:$D,"TPO",'caseload data'!$C:$C,'community caseload'!$B$22,'caseload data'!$B:$B,{"licence","community"}))</f>
        <v>0</v>
      </c>
      <c r="R26" s="94">
        <f>SUM(SUMIFS('caseload data'!T:T,'caseload data'!$D:$D,"TPO",'caseload data'!$C:$C,'community caseload'!$B$22,'caseload data'!$B:$B,{"licence","community"}))</f>
        <v>0</v>
      </c>
      <c r="S26" s="64"/>
      <c r="T26" s="97" t="s">
        <v>953</v>
      </c>
      <c r="U26" s="94">
        <f>SUM(SUMIFS('caseload data'!E:E,'caseload data'!$D:$D,"TPO",'caseload data'!$C:$C,'community caseload'!$T$22,'caseload data'!$B:$B,{"licence","community"}))</f>
        <v>0</v>
      </c>
      <c r="V26" s="94">
        <f>SUM(SUMIFS('caseload data'!F:F,'caseload data'!$D:$D,"TPO",'caseload data'!$C:$C,'community caseload'!$T$22,'caseload data'!$B:$B,{"licence","community"}))</f>
        <v>0</v>
      </c>
      <c r="W26" s="94">
        <f>SUM(SUMIFS('caseload data'!G:G,'caseload data'!$D:$D,"TPO",'caseload data'!$C:$C,'community caseload'!$T$22,'caseload data'!$B:$B,{"licence","community"}))</f>
        <v>0</v>
      </c>
      <c r="X26" s="94">
        <f>SUM(SUMIFS('caseload data'!H:H,'caseload data'!$D:$D,"TPO",'caseload data'!$C:$C,'community caseload'!$T$22,'caseload data'!$B:$B,{"licence","community"}))</f>
        <v>0</v>
      </c>
      <c r="Y26" s="94">
        <f>SUM(SUMIFS('caseload data'!I:I,'caseload data'!$D:$D,"TPO",'caseload data'!$C:$C,'community caseload'!$T$22,'caseload data'!$B:$B,{"licence","community"}))</f>
        <v>0</v>
      </c>
      <c r="Z26" s="94">
        <f>SUM(SUMIFS('caseload data'!J:J,'caseload data'!$D:$D,"TPO",'caseload data'!$C:$C,'community caseload'!$T$22,'caseload data'!$B:$B,{"licence","community"}))</f>
        <v>0</v>
      </c>
      <c r="AA26" s="94">
        <f>SUM(SUMIFS('caseload data'!K:K,'caseload data'!$D:$D,"TPO",'caseload data'!$C:$C,'community caseload'!$T$22,'caseload data'!$B:$B,{"licence","community"}))</f>
        <v>0</v>
      </c>
      <c r="AB26" s="94">
        <f>SUM(SUMIFS('caseload data'!L:L,'caseload data'!$D:$D,"TPO",'caseload data'!$C:$C,'community caseload'!$T$22,'caseload data'!$B:$B,{"licence","community"}))</f>
        <v>0</v>
      </c>
      <c r="AC26" s="94">
        <f>SUM(SUMIFS('caseload data'!M:M,'caseload data'!$D:$D,"TPO",'caseload data'!$C:$C,'community caseload'!$T$22,'caseload data'!$B:$B,{"licence","community"}))</f>
        <v>0</v>
      </c>
      <c r="AD26" s="94">
        <f>SUM(SUMIFS('caseload data'!N:N,'caseload data'!$D:$D,"TPO",'caseload data'!$C:$C,'community caseload'!$T$22,'caseload data'!$B:$B,{"licence","community"}))</f>
        <v>0</v>
      </c>
      <c r="AE26" s="94">
        <f>SUM(SUMIFS('caseload data'!O:O,'caseload data'!$D:$D,"TPO",'caseload data'!$C:$C,'community caseload'!$T$22,'caseload data'!$B:$B,{"licence","community"}))</f>
        <v>0</v>
      </c>
      <c r="AF26" s="94">
        <f>SUM(SUMIFS('caseload data'!P:P,'caseload data'!$D:$D,"TPO",'caseload data'!$C:$C,'community caseload'!$T$22,'caseload data'!$B:$B,{"licence","community"}))</f>
        <v>0</v>
      </c>
      <c r="AG26" s="94">
        <f>SUM(SUMIFS('caseload data'!Q:Q,'caseload data'!$D:$D,"TPO",'caseload data'!$C:$C,'community caseload'!$T$22,'caseload data'!$B:$B,{"licence","community"}))</f>
        <v>0</v>
      </c>
      <c r="AH26" s="94">
        <f>SUM(SUMIFS('caseload data'!R:R,'caseload data'!$D:$D,"TPO",'caseload data'!$C:$C,'community caseload'!$T$22,'caseload data'!$B:$B,{"licence","community"}))</f>
        <v>0</v>
      </c>
      <c r="AI26" s="94">
        <f>SUM(SUMIFS('caseload data'!S:S,'caseload data'!$D:$D,"TPO",'caseload data'!$C:$C,'community caseload'!$T$22,'caseload data'!$B:$B,{"licence","community"}))</f>
        <v>0</v>
      </c>
      <c r="AJ26" s="94">
        <f>SUM(SUMIFS('caseload data'!T:T,'caseload data'!$D:$D,"TPO",'caseload data'!$C:$C,'community caseload'!$T$22,'caseload data'!$B:$B,{"licence","community"}))</f>
        <v>0</v>
      </c>
    </row>
    <row r="27" spans="2:36" x14ac:dyDescent="0.15">
      <c r="B27" s="98" t="s">
        <v>954</v>
      </c>
      <c r="C27" s="94">
        <f>SUM(SUMIFS('caseload data'!E:E,'caseload data'!$D:$D,"SPO",'caseload data'!$C:$C,'community caseload'!$B$22,'caseload data'!$B:$B,{"licence","community"}))</f>
        <v>0</v>
      </c>
      <c r="D27" s="94">
        <f>SUM(SUMIFS('caseload data'!F:F,'caseload data'!$D:$D,"SPO",'caseload data'!$C:$C,'community caseload'!$B$22,'caseload data'!$B:$B,{"licence","community"}))</f>
        <v>0</v>
      </c>
      <c r="E27" s="94">
        <f>SUM(SUMIFS('caseload data'!G:G,'caseload data'!$D:$D,"SPO",'caseload data'!$C:$C,'community caseload'!$B$22,'caseload data'!$B:$B,{"licence","community"}))</f>
        <v>0</v>
      </c>
      <c r="F27" s="94">
        <f>SUM(SUMIFS('caseload data'!H:H,'caseload data'!$D:$D,"SPO",'caseload data'!$C:$C,'community caseload'!$B$22,'caseload data'!$B:$B,{"licence","community"}))</f>
        <v>0</v>
      </c>
      <c r="G27" s="94">
        <f>SUM(SUMIFS('caseload data'!I:I,'caseload data'!$D:$D,"SPO",'caseload data'!$C:$C,'community caseload'!$B$22,'caseload data'!$B:$B,{"licence","community"}))</f>
        <v>0</v>
      </c>
      <c r="H27" s="94">
        <f>SUM(SUMIFS('caseload data'!J:J,'caseload data'!$D:$D,"SPO",'caseload data'!$C:$C,'community caseload'!$B$22,'caseload data'!$B:$B,{"licence","community"}))</f>
        <v>0</v>
      </c>
      <c r="I27" s="94">
        <f>SUM(SUMIFS('caseload data'!K:K,'caseload data'!$D:$D,"SPO",'caseload data'!$C:$C,'community caseload'!$B$22,'caseload data'!$B:$B,{"licence","community"}))</f>
        <v>0</v>
      </c>
      <c r="J27" s="94">
        <f>SUM(SUMIFS('caseload data'!L:L,'caseload data'!$D:$D,"SPO",'caseload data'!$C:$C,'community caseload'!$B$22,'caseload data'!$B:$B,{"licence","community"}))</f>
        <v>0</v>
      </c>
      <c r="K27" s="94">
        <f>SUM(SUMIFS('caseload data'!M:M,'caseload data'!$D:$D,"SPO",'caseload data'!$C:$C,'community caseload'!$B$22,'caseload data'!$B:$B,{"licence","community"}))</f>
        <v>0</v>
      </c>
      <c r="L27" s="94">
        <f>SUM(SUMIFS('caseload data'!N:N,'caseload data'!$D:$D,"SPO",'caseload data'!$C:$C,'community caseload'!$B$22,'caseload data'!$B:$B,{"licence","community"}))</f>
        <v>0</v>
      </c>
      <c r="M27" s="94">
        <f>SUM(SUMIFS('caseload data'!O:O,'caseload data'!$D:$D,"SPO",'caseload data'!$C:$C,'community caseload'!$B$22,'caseload data'!$B:$B,{"licence","community"}))</f>
        <v>0</v>
      </c>
      <c r="N27" s="94">
        <f>SUM(SUMIFS('caseload data'!P:P,'caseload data'!$D:$D,"SPO",'caseload data'!$C:$C,'community caseload'!$B$22,'caseload data'!$B:$B,{"licence","community"}))</f>
        <v>0</v>
      </c>
      <c r="O27" s="94">
        <f>SUM(SUMIFS('caseload data'!Q:Q,'caseload data'!$D:$D,"SPO",'caseload data'!$C:$C,'community caseload'!$B$22,'caseload data'!$B:$B,{"licence","community"}))</f>
        <v>0</v>
      </c>
      <c r="P27" s="94">
        <f>SUM(SUMIFS('caseload data'!R:R,'caseload data'!$D:$D,"SPO",'caseload data'!$C:$C,'community caseload'!$B$22,'caseload data'!$B:$B,{"licence","community"}))</f>
        <v>0</v>
      </c>
      <c r="Q27" s="94">
        <f>SUM(SUMIFS('caseload data'!S:S,'caseload data'!$D:$D,"SPO",'caseload data'!$C:$C,'community caseload'!$B$22,'caseload data'!$B:$B,{"licence","community"}))</f>
        <v>0</v>
      </c>
      <c r="R27" s="94">
        <f>SUM(SUMIFS('caseload data'!T:T,'caseload data'!$D:$D,"SPO",'caseload data'!$C:$C,'community caseload'!$B$22,'caseload data'!$B:$B,{"licence","community"}))</f>
        <v>0</v>
      </c>
      <c r="S27" s="64"/>
      <c r="T27" s="98" t="s">
        <v>954</v>
      </c>
      <c r="U27" s="94">
        <f>SUM(SUMIFS('caseload data'!E:E,'caseload data'!$D:$D,"SPO",'caseload data'!$C:$C,'community caseload'!$T$22,'caseload data'!$B:$B,{"licence","community"}))</f>
        <v>0</v>
      </c>
      <c r="V27" s="94">
        <f>SUM(SUMIFS('caseload data'!F:F,'caseload data'!$D:$D,"SPO",'caseload data'!$C:$C,'community caseload'!$T$22,'caseload data'!$B:$B,{"licence","community"}))</f>
        <v>0</v>
      </c>
      <c r="W27" s="94">
        <f>SUM(SUMIFS('caseload data'!G:G,'caseload data'!$D:$D,"SPO",'caseload data'!$C:$C,'community caseload'!$T$22,'caseload data'!$B:$B,{"licence","community"}))</f>
        <v>0</v>
      </c>
      <c r="X27" s="94">
        <f>SUM(SUMIFS('caseload data'!H:H,'caseload data'!$D:$D,"SPO",'caseload data'!$C:$C,'community caseload'!$T$22,'caseload data'!$B:$B,{"licence","community"}))</f>
        <v>0</v>
      </c>
      <c r="Y27" s="94">
        <f>SUM(SUMIFS('caseload data'!I:I,'caseload data'!$D:$D,"SPO",'caseload data'!$C:$C,'community caseload'!$T$22,'caseload data'!$B:$B,{"licence","community"}))</f>
        <v>0</v>
      </c>
      <c r="Z27" s="94">
        <f>SUM(SUMIFS('caseload data'!J:J,'caseload data'!$D:$D,"SPO",'caseload data'!$C:$C,'community caseload'!$T$22,'caseload data'!$B:$B,{"licence","community"}))</f>
        <v>0</v>
      </c>
      <c r="AA27" s="94">
        <f>SUM(SUMIFS('caseload data'!K:K,'caseload data'!$D:$D,"SPO",'caseload data'!$C:$C,'community caseload'!$T$22,'caseload data'!$B:$B,{"licence","community"}))</f>
        <v>0</v>
      </c>
      <c r="AB27" s="94">
        <f>SUM(SUMIFS('caseload data'!L:L,'caseload data'!$D:$D,"SPO",'caseload data'!$C:$C,'community caseload'!$T$22,'caseload data'!$B:$B,{"licence","community"}))</f>
        <v>0</v>
      </c>
      <c r="AC27" s="94">
        <f>SUM(SUMIFS('caseload data'!M:M,'caseload data'!$D:$D,"SPO",'caseload data'!$C:$C,'community caseload'!$T$22,'caseload data'!$B:$B,{"licence","community"}))</f>
        <v>0</v>
      </c>
      <c r="AD27" s="94">
        <f>SUM(SUMIFS('caseload data'!N:N,'caseload data'!$D:$D,"SPO",'caseload data'!$C:$C,'community caseload'!$T$22,'caseload data'!$B:$B,{"licence","community"}))</f>
        <v>0</v>
      </c>
      <c r="AE27" s="94">
        <f>SUM(SUMIFS('caseload data'!O:O,'caseload data'!$D:$D,"SPO",'caseload data'!$C:$C,'community caseload'!$T$22,'caseload data'!$B:$B,{"licence","community"}))</f>
        <v>0</v>
      </c>
      <c r="AF27" s="94">
        <f>SUM(SUMIFS('caseload data'!P:P,'caseload data'!$D:$D,"SPO",'caseload data'!$C:$C,'community caseload'!$T$22,'caseload data'!$B:$B,{"licence","community"}))</f>
        <v>0</v>
      </c>
      <c r="AG27" s="94">
        <f>SUM(SUMIFS('caseload data'!Q:Q,'caseload data'!$D:$D,"SPO",'caseload data'!$C:$C,'community caseload'!$T$22,'caseload data'!$B:$B,{"licence","community"}))</f>
        <v>0</v>
      </c>
      <c r="AH27" s="94">
        <f>SUM(SUMIFS('caseload data'!R:R,'caseload data'!$D:$D,"SPO",'caseload data'!$C:$C,'community caseload'!$T$22,'caseload data'!$B:$B,{"licence","community"}))</f>
        <v>0</v>
      </c>
      <c r="AI27" s="94">
        <f>SUM(SUMIFS('caseload data'!S:S,'caseload data'!$D:$D,"SPO",'caseload data'!$C:$C,'community caseload'!$T$22,'caseload data'!$B:$B,{"licence","community"}))</f>
        <v>0</v>
      </c>
      <c r="AJ27" s="94">
        <f>SUM(SUMIFS('caseload data'!T:T,'caseload data'!$D:$D,"SPO",'caseload data'!$C:$C,'community caseload'!$T$22,'caseload data'!$B:$B,{"licence","community"}))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36" customHeight="1" x14ac:dyDescent="0.15">
      <c r="B29" s="288" t="str">
        <f>HLOOKUP($B$5,Region_Table,8,0)</f>
        <v>Nottinghamshire - N53</v>
      </c>
      <c r="C29" s="540" t="s">
        <v>1077</v>
      </c>
      <c r="D29" s="541"/>
      <c r="E29" s="541"/>
      <c r="F29" s="541"/>
      <c r="G29" s="541"/>
      <c r="H29" s="541"/>
      <c r="I29" s="541"/>
      <c r="J29" s="541"/>
      <c r="K29" s="541"/>
      <c r="L29" s="541"/>
      <c r="M29" s="570"/>
      <c r="N29" s="570"/>
      <c r="O29" s="571"/>
      <c r="P29" s="543" cm="1">
        <f t="array" ref="P29">SUM(SUMIFS('caseload data'!V:V,'caseload data'!B:B,{"licence","community"},'caseload data'!$C:$C,'community caseload'!B29))</f>
        <v>0</v>
      </c>
      <c r="Q29" s="560"/>
      <c r="R29" s="561"/>
      <c r="S29" s="290"/>
      <c r="T29" s="288" t="str">
        <f>HLOOKUP($B$5,Region_Table,9,0)</f>
        <v>Unpaid Work and Attendance Centres - N53</v>
      </c>
      <c r="U29" s="540" t="s">
        <v>1077</v>
      </c>
      <c r="V29" s="541"/>
      <c r="W29" s="541"/>
      <c r="X29" s="541"/>
      <c r="Y29" s="541"/>
      <c r="Z29" s="541"/>
      <c r="AA29" s="541"/>
      <c r="AB29" s="541"/>
      <c r="AC29" s="541"/>
      <c r="AD29" s="541"/>
      <c r="AE29" s="570"/>
      <c r="AF29" s="570"/>
      <c r="AG29" s="571"/>
      <c r="AH29" s="543" cm="1">
        <f t="array" ref="AH29">SUM(SUMIFS('caseload data'!V:V,'caseload data'!B:B,{"licence","community"},'caseload data'!$C:$C,'community caseload'!T29))</f>
        <v>0</v>
      </c>
      <c r="AI29" s="560"/>
      <c r="AJ29" s="561"/>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94">
        <f>SUM(SUMIFS('caseload data'!E:E,'caseload data'!$D:$D,"PO",'caseload data'!$C:$C,'community caseload'!$B$29,'caseload data'!$B:$B,{"licence","community"}))</f>
        <v>0</v>
      </c>
      <c r="D31" s="94">
        <f>SUM(SUMIFS('caseload data'!F:F,'caseload data'!$D:$D,"PO",'caseload data'!$C:$C,'community caseload'!$B$29,'caseload data'!$B:$B,{"licence","community"}))</f>
        <v>0</v>
      </c>
      <c r="E31" s="94">
        <f>SUM(SUMIFS('caseload data'!G:G,'caseload data'!$D:$D,"PO",'caseload data'!$C:$C,'community caseload'!$B$29,'caseload data'!$B:$B,{"licence","community"}))</f>
        <v>0</v>
      </c>
      <c r="F31" s="94">
        <f>SUM(SUMIFS('caseload data'!H:H,'caseload data'!$D:$D,"PO",'caseload data'!$C:$C,'community caseload'!$B$29,'caseload data'!$B:$B,{"licence","community"}))</f>
        <v>0</v>
      </c>
      <c r="G31" s="94">
        <f>SUM(SUMIFS('caseload data'!I:I,'caseload data'!$D:$D,"PO",'caseload data'!$C:$C,'community caseload'!$B$29,'caseload data'!$B:$B,{"licence","community"}))</f>
        <v>0</v>
      </c>
      <c r="H31" s="94">
        <f>SUM(SUMIFS('caseload data'!J:J,'caseload data'!$D:$D,"PO",'caseload data'!$C:$C,'community caseload'!$B$29,'caseload data'!$B:$B,{"licence","community"}))</f>
        <v>0</v>
      </c>
      <c r="I31" s="94">
        <f>SUM(SUMIFS('caseload data'!K:K,'caseload data'!$D:$D,"PO",'caseload data'!$C:$C,'community caseload'!$B$29,'caseload data'!$B:$B,{"licence","community"}))</f>
        <v>0</v>
      </c>
      <c r="J31" s="94">
        <f>SUM(SUMIFS('caseload data'!L:L,'caseload data'!$D:$D,"PO",'caseload data'!$C:$C,'community caseload'!$B$29,'caseload data'!$B:$B,{"licence","community"}))</f>
        <v>0</v>
      </c>
      <c r="K31" s="94">
        <f>SUM(SUMIFS('caseload data'!M:M,'caseload data'!$D:$D,"PO",'caseload data'!$C:$C,'community caseload'!$B$29,'caseload data'!$B:$B,{"licence","community"}))</f>
        <v>0</v>
      </c>
      <c r="L31" s="94">
        <f>SUM(SUMIFS('caseload data'!N:N,'caseload data'!$D:$D,"PO",'caseload data'!$C:$C,'community caseload'!$B$29,'caseload data'!$B:$B,{"licence","community"}))</f>
        <v>0</v>
      </c>
      <c r="M31" s="94">
        <f>SUM(SUMIFS('caseload data'!O:O,'caseload data'!$D:$D,"PO",'caseload data'!$C:$C,'community caseload'!$B$29,'caseload data'!$B:$B,{"licence","community"}))</f>
        <v>0</v>
      </c>
      <c r="N31" s="94">
        <f>SUM(SUMIFS('caseload data'!P:P,'caseload data'!$D:$D,"PO",'caseload data'!$C:$C,'community caseload'!$B$29,'caseload data'!$B:$B,{"licence","community"}))</f>
        <v>0</v>
      </c>
      <c r="O31" s="94">
        <f>SUM(SUMIFS('caseload data'!Q:Q,'caseload data'!$D:$D,"PO",'caseload data'!$C:$C,'community caseload'!$B$29,'caseload data'!$B:$B,{"licence","community"}))</f>
        <v>0</v>
      </c>
      <c r="P31" s="94">
        <f>SUM(SUMIFS('caseload data'!R:R,'caseload data'!$D:$D,"PO",'caseload data'!$C:$C,'community caseload'!$B$29,'caseload data'!$B:$B,{"licence","community"}))</f>
        <v>0</v>
      </c>
      <c r="Q31" s="94">
        <f>SUM(SUMIFS('caseload data'!S:S,'caseload data'!$D:$D,"PO",'caseload data'!$C:$C,'community caseload'!$B$29,'caseload data'!$B:$B,{"licence","community"}))</f>
        <v>0</v>
      </c>
      <c r="R31" s="94">
        <f>SUM(SUMIFS('caseload data'!T:T,'caseload data'!$D:$D,"PO",'caseload data'!$C:$C,'community caseload'!$B$29,'caseload data'!$B:$B,{"licence","community"}))</f>
        <v>0</v>
      </c>
      <c r="S31" s="64"/>
      <c r="T31" s="96" t="s">
        <v>947</v>
      </c>
      <c r="U31" s="94">
        <f>SUM(SUMIFS('caseload data'!E:E,'caseload data'!$D:$D,"PO",'caseload data'!$C:$C,'community caseload'!$T$29,'caseload data'!$B:$B,{"licence","community"}))</f>
        <v>0</v>
      </c>
      <c r="V31" s="94">
        <f>SUM(SUMIFS('caseload data'!F:F,'caseload data'!$D:$D,"PO",'caseload data'!$C:$C,'community caseload'!$T$29,'caseload data'!$B:$B,{"licence","community"}))</f>
        <v>0</v>
      </c>
      <c r="W31" s="94">
        <f>SUM(SUMIFS('caseload data'!G:G,'caseload data'!$D:$D,"PO",'caseload data'!$C:$C,'community caseload'!$T$29,'caseload data'!$B:$B,{"licence","community"}))</f>
        <v>0</v>
      </c>
      <c r="X31" s="94">
        <f>SUM(SUMIFS('caseload data'!H:H,'caseload data'!$D:$D,"PO",'caseload data'!$C:$C,'community caseload'!$T$29,'caseload data'!$B:$B,{"licence","community"}))</f>
        <v>0</v>
      </c>
      <c r="Y31" s="94">
        <f>SUM(SUMIFS('caseload data'!I:I,'caseload data'!$D:$D,"PO",'caseload data'!$C:$C,'community caseload'!$T$29,'caseload data'!$B:$B,{"licence","community"}))</f>
        <v>0</v>
      </c>
      <c r="Z31" s="94">
        <f>SUM(SUMIFS('caseload data'!J:J,'caseload data'!$D:$D,"PO",'caseload data'!$C:$C,'community caseload'!$T$29,'caseload data'!$B:$B,{"licence","community"}))</f>
        <v>0</v>
      </c>
      <c r="AA31" s="94">
        <f>SUM(SUMIFS('caseload data'!K:K,'caseload data'!$D:$D,"PO",'caseload data'!$C:$C,'community caseload'!$T$29,'caseload data'!$B:$B,{"licence","community"}))</f>
        <v>0</v>
      </c>
      <c r="AB31" s="94">
        <f>SUM(SUMIFS('caseload data'!L:L,'caseload data'!$D:$D,"PO",'caseload data'!$C:$C,'community caseload'!$T$29,'caseload data'!$B:$B,{"licence","community"}))</f>
        <v>0</v>
      </c>
      <c r="AC31" s="94">
        <f>SUM(SUMIFS('caseload data'!M:M,'caseload data'!$D:$D,"PO",'caseload data'!$C:$C,'community caseload'!$T$29,'caseload data'!$B:$B,{"licence","community"}))</f>
        <v>0</v>
      </c>
      <c r="AD31" s="94">
        <f>SUM(SUMIFS('caseload data'!N:N,'caseload data'!$D:$D,"PO",'caseload data'!$C:$C,'community caseload'!$T$29,'caseload data'!$B:$B,{"licence","community"}))</f>
        <v>0</v>
      </c>
      <c r="AE31" s="94">
        <f>SUM(SUMIFS('caseload data'!O:O,'caseload data'!$D:$D,"PO",'caseload data'!$C:$C,'community caseload'!$T$29,'caseload data'!$B:$B,{"licence","community"}))</f>
        <v>0</v>
      </c>
      <c r="AF31" s="94">
        <f>SUM(SUMIFS('caseload data'!P:P,'caseload data'!$D:$D,"PO",'caseload data'!$C:$C,'community caseload'!$T$29,'caseload data'!$B:$B,{"licence","community"}))</f>
        <v>0</v>
      </c>
      <c r="AG31" s="94">
        <f>SUM(SUMIFS('caseload data'!Q:Q,'caseload data'!$D:$D,"PO",'caseload data'!$C:$C,'community caseload'!$T$29,'caseload data'!$B:$B,{"licence","community"}))</f>
        <v>0</v>
      </c>
      <c r="AH31" s="94">
        <f>SUM(SUMIFS('caseload data'!R:R,'caseload data'!$D:$D,"PO",'caseload data'!$C:$C,'community caseload'!$T$29,'caseload data'!$B:$B,{"licence","community"}))</f>
        <v>0</v>
      </c>
      <c r="AI31" s="94">
        <f>SUM(SUMIFS('caseload data'!S:S,'caseload data'!$D:$D,"PO",'caseload data'!$C:$C,'community caseload'!$T$29,'caseload data'!$B:$B,{"licence","community"}))</f>
        <v>0</v>
      </c>
      <c r="AJ31" s="94">
        <f>SUM(SUMIFS('caseload data'!T:T,'caseload data'!$D:$D,"PO",'caseload data'!$C:$C,'community caseload'!$T$29,'caseload data'!$B:$B,{"licence","community"}))</f>
        <v>0</v>
      </c>
    </row>
    <row r="32" spans="2:36" x14ac:dyDescent="0.15">
      <c r="B32" s="97" t="s">
        <v>952</v>
      </c>
      <c r="C32" s="94">
        <f>SUM(SUMIFS('caseload data'!E:E,'caseload data'!$D:$D,"PSO",'caseload data'!$C:$C,'community caseload'!$B$29,'caseload data'!$B:$B,{"licence","community"}))</f>
        <v>0</v>
      </c>
      <c r="D32" s="94">
        <f>SUM(SUMIFS('caseload data'!F:F,'caseload data'!$D:$D,"PSO",'caseload data'!$C:$C,'community caseload'!$B$29,'caseload data'!$B:$B,{"licence","community"}))</f>
        <v>0</v>
      </c>
      <c r="E32" s="94">
        <f>SUM(SUMIFS('caseload data'!G:G,'caseload data'!$D:$D,"PSO",'caseload data'!$C:$C,'community caseload'!$B$29,'caseload data'!$B:$B,{"licence","community"}))</f>
        <v>0</v>
      </c>
      <c r="F32" s="94">
        <f>SUM(SUMIFS('caseload data'!H:H,'caseload data'!$D:$D,"PSO",'caseload data'!$C:$C,'community caseload'!$B$29,'caseload data'!$B:$B,{"licence","community"}))</f>
        <v>0</v>
      </c>
      <c r="G32" s="94">
        <f>SUM(SUMIFS('caseload data'!I:I,'caseload data'!$D:$D,"PSO",'caseload data'!$C:$C,'community caseload'!$B$29,'caseload data'!$B:$B,{"licence","community"}))</f>
        <v>0</v>
      </c>
      <c r="H32" s="94">
        <f>SUM(SUMIFS('caseload data'!J:J,'caseload data'!$D:$D,"PSO",'caseload data'!$C:$C,'community caseload'!$B$29,'caseload data'!$B:$B,{"licence","community"}))</f>
        <v>0</v>
      </c>
      <c r="I32" s="94">
        <f>SUM(SUMIFS('caseload data'!K:K,'caseload data'!$D:$D,"PSO",'caseload data'!$C:$C,'community caseload'!$B$29,'caseload data'!$B:$B,{"licence","community"}))</f>
        <v>0</v>
      </c>
      <c r="J32" s="94">
        <f>SUM(SUMIFS('caseload data'!L:L,'caseload data'!$D:$D,"PSO",'caseload data'!$C:$C,'community caseload'!$B$29,'caseload data'!$B:$B,{"licence","community"}))</f>
        <v>0</v>
      </c>
      <c r="K32" s="94">
        <f>SUM(SUMIFS('caseload data'!M:M,'caseload data'!$D:$D,"PSO",'caseload data'!$C:$C,'community caseload'!$B$29,'caseload data'!$B:$B,{"licence","community"}))</f>
        <v>0</v>
      </c>
      <c r="L32" s="94">
        <f>SUM(SUMIFS('caseload data'!N:N,'caseload data'!$D:$D,"PSO",'caseload data'!$C:$C,'community caseload'!$B$29,'caseload data'!$B:$B,{"licence","community"}))</f>
        <v>0</v>
      </c>
      <c r="M32" s="94">
        <f>SUM(SUMIFS('caseload data'!O:O,'caseload data'!$D:$D,"PSO",'caseload data'!$C:$C,'community caseload'!$B$29,'caseload data'!$B:$B,{"licence","community"}))</f>
        <v>0</v>
      </c>
      <c r="N32" s="94">
        <f>SUM(SUMIFS('caseload data'!P:P,'caseload data'!$D:$D,"PSO",'caseload data'!$C:$C,'community caseload'!$B$29,'caseload data'!$B:$B,{"licence","community"}))</f>
        <v>0</v>
      </c>
      <c r="O32" s="94">
        <f>SUM(SUMIFS('caseload data'!Q:Q,'caseload data'!$D:$D,"PSO",'caseload data'!$C:$C,'community caseload'!$B$29,'caseload data'!$B:$B,{"licence","community"}))</f>
        <v>0</v>
      </c>
      <c r="P32" s="94">
        <f>SUM(SUMIFS('caseload data'!R:R,'caseload data'!$D:$D,"PSO",'caseload data'!$C:$C,'community caseload'!$B$29,'caseload data'!$B:$B,{"licence","community"}))</f>
        <v>0</v>
      </c>
      <c r="Q32" s="94">
        <f>SUM(SUMIFS('caseload data'!S:S,'caseload data'!$D:$D,"PSO",'caseload data'!$C:$C,'community caseload'!$B$29,'caseload data'!$B:$B,{"licence","community"}))</f>
        <v>0</v>
      </c>
      <c r="R32" s="94">
        <f>SUM(SUMIFS('caseload data'!T:T,'caseload data'!$D:$D,"PSO",'caseload data'!$C:$C,'community caseload'!$B$29,'caseload data'!$B:$B,{"licence","community"}))</f>
        <v>0</v>
      </c>
      <c r="S32" s="64"/>
      <c r="T32" s="97" t="s">
        <v>952</v>
      </c>
      <c r="U32" s="94">
        <f>SUM(SUMIFS('caseload data'!E:E,'caseload data'!$D:$D,"PSO",'caseload data'!$C:$C,'community caseload'!$T$29,'caseload data'!$B:$B,{"licence","community"}))</f>
        <v>0</v>
      </c>
      <c r="V32" s="94">
        <f>SUM(SUMIFS('caseload data'!F:F,'caseload data'!$D:$D,"PSO",'caseload data'!$C:$C,'community caseload'!$T$29,'caseload data'!$B:$B,{"licence","community"}))</f>
        <v>0</v>
      </c>
      <c r="W32" s="94">
        <f>SUM(SUMIFS('caseload data'!G:G,'caseload data'!$D:$D,"PSO",'caseload data'!$C:$C,'community caseload'!$T$29,'caseload data'!$B:$B,{"licence","community"}))</f>
        <v>0</v>
      </c>
      <c r="X32" s="94">
        <f>SUM(SUMIFS('caseload data'!H:H,'caseload data'!$D:$D,"PSO",'caseload data'!$C:$C,'community caseload'!$T$29,'caseload data'!$B:$B,{"licence","community"}))</f>
        <v>0</v>
      </c>
      <c r="Y32" s="94">
        <f>SUM(SUMIFS('caseload data'!I:I,'caseload data'!$D:$D,"PSO",'caseload data'!$C:$C,'community caseload'!$T$29,'caseload data'!$B:$B,{"licence","community"}))</f>
        <v>0</v>
      </c>
      <c r="Z32" s="94">
        <f>SUM(SUMIFS('caseload data'!J:J,'caseload data'!$D:$D,"PSO",'caseload data'!$C:$C,'community caseload'!$T$29,'caseload data'!$B:$B,{"licence","community"}))</f>
        <v>0</v>
      </c>
      <c r="AA32" s="94">
        <f>SUM(SUMIFS('caseload data'!K:K,'caseload data'!$D:$D,"PSO",'caseload data'!$C:$C,'community caseload'!$T$29,'caseload data'!$B:$B,{"licence","community"}))</f>
        <v>0</v>
      </c>
      <c r="AB32" s="94">
        <f>SUM(SUMIFS('caseload data'!L:L,'caseload data'!$D:$D,"PSO",'caseload data'!$C:$C,'community caseload'!$T$29,'caseload data'!$B:$B,{"licence","community"}))</f>
        <v>0</v>
      </c>
      <c r="AC32" s="94">
        <f>SUM(SUMIFS('caseload data'!M:M,'caseload data'!$D:$D,"PSO",'caseload data'!$C:$C,'community caseload'!$T$29,'caseload data'!$B:$B,{"licence","community"}))</f>
        <v>0</v>
      </c>
      <c r="AD32" s="94">
        <f>SUM(SUMIFS('caseload data'!N:N,'caseload data'!$D:$D,"PSO",'caseload data'!$C:$C,'community caseload'!$T$29,'caseload data'!$B:$B,{"licence","community"}))</f>
        <v>0</v>
      </c>
      <c r="AE32" s="94">
        <f>SUM(SUMIFS('caseload data'!O:O,'caseload data'!$D:$D,"PSO",'caseload data'!$C:$C,'community caseload'!$T$29,'caseload data'!$B:$B,{"licence","community"}))</f>
        <v>0</v>
      </c>
      <c r="AF32" s="94">
        <f>SUM(SUMIFS('caseload data'!P:P,'caseload data'!$D:$D,"PSO",'caseload data'!$C:$C,'community caseload'!$T$29,'caseload data'!$B:$B,{"licence","community"}))</f>
        <v>0</v>
      </c>
      <c r="AG32" s="94">
        <f>SUM(SUMIFS('caseload data'!Q:Q,'caseload data'!$D:$D,"PSO",'caseload data'!$C:$C,'community caseload'!$T$29,'caseload data'!$B:$B,{"licence","community"}))</f>
        <v>0</v>
      </c>
      <c r="AH32" s="94">
        <f>SUM(SUMIFS('caseload data'!R:R,'caseload data'!$D:$D,"PSO",'caseload data'!$C:$C,'community caseload'!$T$29,'caseload data'!$B:$B,{"licence","community"}))</f>
        <v>0</v>
      </c>
      <c r="AI32" s="94">
        <f>SUM(SUMIFS('caseload data'!S:S,'caseload data'!$D:$D,"PSO",'caseload data'!$C:$C,'community caseload'!$T$29,'caseload data'!$B:$B,{"licence","community"}))</f>
        <v>0</v>
      </c>
      <c r="AJ32" s="94">
        <f>SUM(SUMIFS('caseload data'!T:T,'caseload data'!$D:$D,"PSO",'caseload data'!$C:$C,'community caseload'!$T$29,'caseload data'!$B:$B,{"licence","community"}))</f>
        <v>0</v>
      </c>
    </row>
    <row r="33" spans="2:36" x14ac:dyDescent="0.15">
      <c r="B33" s="97" t="s">
        <v>953</v>
      </c>
      <c r="C33" s="94">
        <f>SUM(SUMIFS('caseload data'!E:E,'caseload data'!$D:$D,"TPO",'caseload data'!$C:$C,'community caseload'!$B$29,'caseload data'!$B:$B,{"licence","community"}))</f>
        <v>0</v>
      </c>
      <c r="D33" s="94">
        <f>SUM(SUMIFS('caseload data'!F:F,'caseload data'!$D:$D,"TPO",'caseload data'!$C:$C,'community caseload'!$B$29,'caseload data'!$B:$B,{"licence","community"}))</f>
        <v>0</v>
      </c>
      <c r="E33" s="94">
        <f>SUM(SUMIFS('caseload data'!G:G,'caseload data'!$D:$D,"TPO",'caseload data'!$C:$C,'community caseload'!$B$29,'caseload data'!$B:$B,{"licence","community"}))</f>
        <v>0</v>
      </c>
      <c r="F33" s="94">
        <f>SUM(SUMIFS('caseload data'!H:H,'caseload data'!$D:$D,"TPO",'caseload data'!$C:$C,'community caseload'!$B$29,'caseload data'!$B:$B,{"licence","community"}))</f>
        <v>0</v>
      </c>
      <c r="G33" s="94">
        <f>SUM(SUMIFS('caseload data'!I:I,'caseload data'!$D:$D,"TPO",'caseload data'!$C:$C,'community caseload'!$B$29,'caseload data'!$B:$B,{"licence","community"}))</f>
        <v>0</v>
      </c>
      <c r="H33" s="94">
        <f>SUM(SUMIFS('caseload data'!J:J,'caseload data'!$D:$D,"TPO",'caseload data'!$C:$C,'community caseload'!$B$29,'caseload data'!$B:$B,{"licence","community"}))</f>
        <v>0</v>
      </c>
      <c r="I33" s="94">
        <f>SUM(SUMIFS('caseload data'!K:K,'caseload data'!$D:$D,"TPO",'caseload data'!$C:$C,'community caseload'!$B$29,'caseload data'!$B:$B,{"licence","community"}))</f>
        <v>0</v>
      </c>
      <c r="J33" s="94">
        <f>SUM(SUMIFS('caseload data'!L:L,'caseload data'!$D:$D,"TPO",'caseload data'!$C:$C,'community caseload'!$B$29,'caseload data'!$B:$B,{"licence","community"}))</f>
        <v>0</v>
      </c>
      <c r="K33" s="94">
        <f>SUM(SUMIFS('caseload data'!M:M,'caseload data'!$D:$D,"TPO",'caseload data'!$C:$C,'community caseload'!$B$29,'caseload data'!$B:$B,{"licence","community"}))</f>
        <v>0</v>
      </c>
      <c r="L33" s="94">
        <f>SUM(SUMIFS('caseload data'!N:N,'caseload data'!$D:$D,"TPO",'caseload data'!$C:$C,'community caseload'!$B$29,'caseload data'!$B:$B,{"licence","community"}))</f>
        <v>0</v>
      </c>
      <c r="M33" s="94">
        <f>SUM(SUMIFS('caseload data'!O:O,'caseload data'!$D:$D,"TPO",'caseload data'!$C:$C,'community caseload'!$B$29,'caseload data'!$B:$B,{"licence","community"}))</f>
        <v>0</v>
      </c>
      <c r="N33" s="94">
        <f>SUM(SUMIFS('caseload data'!P:P,'caseload data'!$D:$D,"TPO",'caseload data'!$C:$C,'community caseload'!$B$29,'caseload data'!$B:$B,{"licence","community"}))</f>
        <v>0</v>
      </c>
      <c r="O33" s="94">
        <f>SUM(SUMIFS('caseload data'!Q:Q,'caseload data'!$D:$D,"TPO",'caseload data'!$C:$C,'community caseload'!$B$29,'caseload data'!$B:$B,{"licence","community"}))</f>
        <v>0</v>
      </c>
      <c r="P33" s="94">
        <f>SUM(SUMIFS('caseload data'!R:R,'caseload data'!$D:$D,"TPO",'caseload data'!$C:$C,'community caseload'!$B$29,'caseload data'!$B:$B,{"licence","community"}))</f>
        <v>0</v>
      </c>
      <c r="Q33" s="94">
        <f>SUM(SUMIFS('caseload data'!S:S,'caseload data'!$D:$D,"TPO",'caseload data'!$C:$C,'community caseload'!$B$29,'caseload data'!$B:$B,{"licence","community"}))</f>
        <v>0</v>
      </c>
      <c r="R33" s="94">
        <f>SUM(SUMIFS('caseload data'!T:T,'caseload data'!$D:$D,"TPO",'caseload data'!$C:$C,'community caseload'!$B$29,'caseload data'!$B:$B,{"licence","community"}))</f>
        <v>0</v>
      </c>
      <c r="S33" s="64"/>
      <c r="T33" s="97" t="s">
        <v>953</v>
      </c>
      <c r="U33" s="94">
        <f>SUM(SUMIFS('caseload data'!E:E,'caseload data'!$D:$D,"TPO",'caseload data'!$C:$C,'community caseload'!$T$29,'caseload data'!$B:$B,{"licence","community"}))</f>
        <v>0</v>
      </c>
      <c r="V33" s="94">
        <f>SUM(SUMIFS('caseload data'!F:F,'caseload data'!$D:$D,"TPO",'caseload data'!$C:$C,'community caseload'!$T$29,'caseload data'!$B:$B,{"licence","community"}))</f>
        <v>0</v>
      </c>
      <c r="W33" s="94">
        <f>SUM(SUMIFS('caseload data'!G:G,'caseload data'!$D:$D,"TPO",'caseload data'!$C:$C,'community caseload'!$T$29,'caseload data'!$B:$B,{"licence","community"}))</f>
        <v>0</v>
      </c>
      <c r="X33" s="94">
        <f>SUM(SUMIFS('caseload data'!H:H,'caseload data'!$D:$D,"TPO",'caseload data'!$C:$C,'community caseload'!$T$29,'caseload data'!$B:$B,{"licence","community"}))</f>
        <v>0</v>
      </c>
      <c r="Y33" s="94">
        <f>SUM(SUMIFS('caseload data'!I:I,'caseload data'!$D:$D,"TPO",'caseload data'!$C:$C,'community caseload'!$T$29,'caseload data'!$B:$B,{"licence","community"}))</f>
        <v>0</v>
      </c>
      <c r="Z33" s="94">
        <f>SUM(SUMIFS('caseload data'!J:J,'caseload data'!$D:$D,"TPO",'caseload data'!$C:$C,'community caseload'!$T$29,'caseload data'!$B:$B,{"licence","community"}))</f>
        <v>0</v>
      </c>
      <c r="AA33" s="94">
        <f>SUM(SUMIFS('caseload data'!K:K,'caseload data'!$D:$D,"TPO",'caseload data'!$C:$C,'community caseload'!$T$29,'caseload data'!$B:$B,{"licence","community"}))</f>
        <v>0</v>
      </c>
      <c r="AB33" s="94">
        <f>SUM(SUMIFS('caseload data'!L:L,'caseload data'!$D:$D,"TPO",'caseload data'!$C:$C,'community caseload'!$T$29,'caseload data'!$B:$B,{"licence","community"}))</f>
        <v>0</v>
      </c>
      <c r="AC33" s="94">
        <f>SUM(SUMIFS('caseload data'!M:M,'caseload data'!$D:$D,"TPO",'caseload data'!$C:$C,'community caseload'!$T$29,'caseload data'!$B:$B,{"licence","community"}))</f>
        <v>0</v>
      </c>
      <c r="AD33" s="94">
        <f>SUM(SUMIFS('caseload data'!N:N,'caseload data'!$D:$D,"TPO",'caseload data'!$C:$C,'community caseload'!$T$29,'caseload data'!$B:$B,{"licence","community"}))</f>
        <v>0</v>
      </c>
      <c r="AE33" s="94">
        <f>SUM(SUMIFS('caseload data'!O:O,'caseload data'!$D:$D,"TPO",'caseload data'!$C:$C,'community caseload'!$T$29,'caseload data'!$B:$B,{"licence","community"}))</f>
        <v>0</v>
      </c>
      <c r="AF33" s="94">
        <f>SUM(SUMIFS('caseload data'!P:P,'caseload data'!$D:$D,"TPO",'caseload data'!$C:$C,'community caseload'!$T$29,'caseload data'!$B:$B,{"licence","community"}))</f>
        <v>0</v>
      </c>
      <c r="AG33" s="94">
        <f>SUM(SUMIFS('caseload data'!Q:Q,'caseload data'!$D:$D,"TPO",'caseload data'!$C:$C,'community caseload'!$T$29,'caseload data'!$B:$B,{"licence","community"}))</f>
        <v>0</v>
      </c>
      <c r="AH33" s="94">
        <f>SUM(SUMIFS('caseload data'!R:R,'caseload data'!$D:$D,"TPO",'caseload data'!$C:$C,'community caseload'!$T$29,'caseload data'!$B:$B,{"licence","community"}))</f>
        <v>0</v>
      </c>
      <c r="AI33" s="94">
        <f>SUM(SUMIFS('caseload data'!S:S,'caseload data'!$D:$D,"TPO",'caseload data'!$C:$C,'community caseload'!$T$29,'caseload data'!$B:$B,{"licence","community"}))</f>
        <v>0</v>
      </c>
      <c r="AJ33" s="94">
        <f>SUM(SUMIFS('caseload data'!T:T,'caseload data'!$D:$D,"TPO",'caseload data'!$C:$C,'community caseload'!$T$29,'caseload data'!$B:$B,{"licence","community"}))</f>
        <v>0</v>
      </c>
    </row>
    <row r="34" spans="2:36" x14ac:dyDescent="0.15">
      <c r="B34" s="98" t="s">
        <v>954</v>
      </c>
      <c r="C34" s="94">
        <f>SUM(SUMIFS('caseload data'!E:E,'caseload data'!$D:$D,"SPO",'caseload data'!$C:$C,'community caseload'!$B$29,'caseload data'!$B:$B,{"licence","community"}))</f>
        <v>0</v>
      </c>
      <c r="D34" s="94">
        <f>SUM(SUMIFS('caseload data'!F:F,'caseload data'!$D:$D,"SPO",'caseload data'!$C:$C,'community caseload'!$B$29,'caseload data'!$B:$B,{"licence","community"}))</f>
        <v>0</v>
      </c>
      <c r="E34" s="94">
        <f>SUM(SUMIFS('caseload data'!G:G,'caseload data'!$D:$D,"SPO",'caseload data'!$C:$C,'community caseload'!$B$29,'caseload data'!$B:$B,{"licence","community"}))</f>
        <v>0</v>
      </c>
      <c r="F34" s="94">
        <f>SUM(SUMIFS('caseload data'!H:H,'caseload data'!$D:$D,"SPO",'caseload data'!$C:$C,'community caseload'!$B$29,'caseload data'!$B:$B,{"licence","community"}))</f>
        <v>0</v>
      </c>
      <c r="G34" s="94">
        <f>SUM(SUMIFS('caseload data'!I:I,'caseload data'!$D:$D,"SPO",'caseload data'!$C:$C,'community caseload'!$B$29,'caseload data'!$B:$B,{"licence","community"}))</f>
        <v>0</v>
      </c>
      <c r="H34" s="94">
        <f>SUM(SUMIFS('caseload data'!J:J,'caseload data'!$D:$D,"SPO",'caseload data'!$C:$C,'community caseload'!$B$29,'caseload data'!$B:$B,{"licence","community"}))</f>
        <v>0</v>
      </c>
      <c r="I34" s="94">
        <f>SUM(SUMIFS('caseload data'!K:K,'caseload data'!$D:$D,"SPO",'caseload data'!$C:$C,'community caseload'!$B$29,'caseload data'!$B:$B,{"licence","community"}))</f>
        <v>0</v>
      </c>
      <c r="J34" s="94">
        <f>SUM(SUMIFS('caseload data'!L:L,'caseload data'!$D:$D,"SPO",'caseload data'!$C:$C,'community caseload'!$B$29,'caseload data'!$B:$B,{"licence","community"}))</f>
        <v>0</v>
      </c>
      <c r="K34" s="94">
        <f>SUM(SUMIFS('caseload data'!M:M,'caseload data'!$D:$D,"SPO",'caseload data'!$C:$C,'community caseload'!$B$29,'caseload data'!$B:$B,{"licence","community"}))</f>
        <v>0</v>
      </c>
      <c r="L34" s="94">
        <f>SUM(SUMIFS('caseload data'!N:N,'caseload data'!$D:$D,"SPO",'caseload data'!$C:$C,'community caseload'!$B$29,'caseload data'!$B:$B,{"licence","community"}))</f>
        <v>0</v>
      </c>
      <c r="M34" s="94">
        <f>SUM(SUMIFS('caseload data'!O:O,'caseload data'!$D:$D,"SPO",'caseload data'!$C:$C,'community caseload'!$B$29,'caseload data'!$B:$B,{"licence","community"}))</f>
        <v>0</v>
      </c>
      <c r="N34" s="94">
        <f>SUM(SUMIFS('caseload data'!P:P,'caseload data'!$D:$D,"SPO",'caseload data'!$C:$C,'community caseload'!$B$29,'caseload data'!$B:$B,{"licence","community"}))</f>
        <v>0</v>
      </c>
      <c r="O34" s="94">
        <f>SUM(SUMIFS('caseload data'!Q:Q,'caseload data'!$D:$D,"SPO",'caseload data'!$C:$C,'community caseload'!$B$29,'caseload data'!$B:$B,{"licence","community"}))</f>
        <v>0</v>
      </c>
      <c r="P34" s="94">
        <f>SUM(SUMIFS('caseload data'!R:R,'caseload data'!$D:$D,"SPO",'caseload data'!$C:$C,'community caseload'!$B$29,'caseload data'!$B:$B,{"licence","community"}))</f>
        <v>0</v>
      </c>
      <c r="Q34" s="94">
        <f>SUM(SUMIFS('caseload data'!S:S,'caseload data'!$D:$D,"SPO",'caseload data'!$C:$C,'community caseload'!$B$29,'caseload data'!$B:$B,{"licence","community"}))</f>
        <v>0</v>
      </c>
      <c r="R34" s="94">
        <f>SUM(SUMIFS('caseload data'!T:T,'caseload data'!$D:$D,"SPO",'caseload data'!$C:$C,'community caseload'!$B$29,'caseload data'!$B:$B,{"licence","community"}))</f>
        <v>0</v>
      </c>
      <c r="S34" s="64"/>
      <c r="T34" s="98" t="s">
        <v>954</v>
      </c>
      <c r="U34" s="94">
        <f>SUM(SUMIFS('caseload data'!E:E,'caseload data'!$D:$D,"SPO",'caseload data'!$C:$C,'community caseload'!$T$29,'caseload data'!$B:$B,{"licence","community"}))</f>
        <v>0</v>
      </c>
      <c r="V34" s="94">
        <f>SUM(SUMIFS('caseload data'!F:F,'caseload data'!$D:$D,"SPO",'caseload data'!$C:$C,'community caseload'!$T$29,'caseload data'!$B:$B,{"licence","community"}))</f>
        <v>0</v>
      </c>
      <c r="W34" s="94">
        <f>SUM(SUMIFS('caseload data'!G:G,'caseload data'!$D:$D,"SPO",'caseload data'!$C:$C,'community caseload'!$T$29,'caseload data'!$B:$B,{"licence","community"}))</f>
        <v>0</v>
      </c>
      <c r="X34" s="94">
        <f>SUM(SUMIFS('caseload data'!H:H,'caseload data'!$D:$D,"SPO",'caseload data'!$C:$C,'community caseload'!$T$29,'caseload data'!$B:$B,{"licence","community"}))</f>
        <v>0</v>
      </c>
      <c r="Y34" s="94">
        <f>SUM(SUMIFS('caseload data'!I:I,'caseload data'!$D:$D,"SPO",'caseload data'!$C:$C,'community caseload'!$T$29,'caseload data'!$B:$B,{"licence","community"}))</f>
        <v>0</v>
      </c>
      <c r="Z34" s="94">
        <f>SUM(SUMIFS('caseload data'!J:J,'caseload data'!$D:$D,"SPO",'caseload data'!$C:$C,'community caseload'!$T$29,'caseload data'!$B:$B,{"licence","community"}))</f>
        <v>0</v>
      </c>
      <c r="AA34" s="94">
        <f>SUM(SUMIFS('caseload data'!K:K,'caseload data'!$D:$D,"SPO",'caseload data'!$C:$C,'community caseload'!$T$29,'caseload data'!$B:$B,{"licence","community"}))</f>
        <v>0</v>
      </c>
      <c r="AB34" s="94">
        <f>SUM(SUMIFS('caseload data'!L:L,'caseload data'!$D:$D,"SPO",'caseload data'!$C:$C,'community caseload'!$T$29,'caseload data'!$B:$B,{"licence","community"}))</f>
        <v>0</v>
      </c>
      <c r="AC34" s="94">
        <f>SUM(SUMIFS('caseload data'!M:M,'caseload data'!$D:$D,"SPO",'caseload data'!$C:$C,'community caseload'!$T$29,'caseload data'!$B:$B,{"licence","community"}))</f>
        <v>0</v>
      </c>
      <c r="AD34" s="94">
        <f>SUM(SUMIFS('caseload data'!N:N,'caseload data'!$D:$D,"SPO",'caseload data'!$C:$C,'community caseload'!$T$29,'caseload data'!$B:$B,{"licence","community"}))</f>
        <v>0</v>
      </c>
      <c r="AE34" s="94">
        <f>SUM(SUMIFS('caseload data'!O:O,'caseload data'!$D:$D,"SPO",'caseload data'!$C:$C,'community caseload'!$T$29,'caseload data'!$B:$B,{"licence","community"}))</f>
        <v>0</v>
      </c>
      <c r="AF34" s="94">
        <f>SUM(SUMIFS('caseload data'!P:P,'caseload data'!$D:$D,"SPO",'caseload data'!$C:$C,'community caseload'!$T$29,'caseload data'!$B:$B,{"licence","community"}))</f>
        <v>0</v>
      </c>
      <c r="AG34" s="94">
        <f>SUM(SUMIFS('caseload data'!Q:Q,'caseload data'!$D:$D,"SPO",'caseload data'!$C:$C,'community caseload'!$T$29,'caseload data'!$B:$B,{"licence","community"}))</f>
        <v>0</v>
      </c>
      <c r="AH34" s="94">
        <f>SUM(SUMIFS('caseload data'!R:R,'caseload data'!$D:$D,"SPO",'caseload data'!$C:$C,'community caseload'!$T$29,'caseload data'!$B:$B,{"licence","community"}))</f>
        <v>0</v>
      </c>
      <c r="AI34" s="94">
        <f>SUM(SUMIFS('caseload data'!S:S,'caseload data'!$D:$D,"SPO",'caseload data'!$C:$C,'community caseload'!$T$29,'caseload data'!$B:$B,{"licence","community"}))</f>
        <v>0</v>
      </c>
      <c r="AJ34" s="94">
        <f>SUM(SUMIFS('caseload data'!T:T,'caseload data'!$D:$D,"SPO",'caseload data'!$C:$C,'community caseload'!$T$29,'caseload data'!$B:$B,{"licence","community"}))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2.25" customHeight="1" x14ac:dyDescent="0.15">
      <c r="B36" s="288">
        <f>HLOOKUP($B$5,Region_Table,10,0)</f>
        <v>0</v>
      </c>
      <c r="C36" s="540" t="s">
        <v>1078</v>
      </c>
      <c r="D36" s="541"/>
      <c r="E36" s="541"/>
      <c r="F36" s="541"/>
      <c r="G36" s="541"/>
      <c r="H36" s="541"/>
      <c r="I36" s="541"/>
      <c r="J36" s="541"/>
      <c r="K36" s="541"/>
      <c r="L36" s="541"/>
      <c r="M36" s="570"/>
      <c r="N36" s="570"/>
      <c r="O36" s="571"/>
      <c r="P36" s="543" cm="1">
        <f t="array" ref="P36">SUM(SUMIFS('caseload data'!V:V,'caseload data'!B:B,{"licence","community"},'caseload data'!$C:$C,'community caseload'!B36))</f>
        <v>0</v>
      </c>
      <c r="Q36" s="560"/>
      <c r="R36" s="561"/>
      <c r="S36" s="290"/>
      <c r="T36" s="288">
        <f>HLOOKUP($B$5,Region_Table,11,0)</f>
        <v>0</v>
      </c>
      <c r="U36" s="540" t="s">
        <v>1077</v>
      </c>
      <c r="V36" s="541"/>
      <c r="W36" s="541"/>
      <c r="X36" s="541"/>
      <c r="Y36" s="541"/>
      <c r="Z36" s="541"/>
      <c r="AA36" s="541"/>
      <c r="AB36" s="541"/>
      <c r="AC36" s="541"/>
      <c r="AD36" s="541"/>
      <c r="AE36" s="570"/>
      <c r="AF36" s="570"/>
      <c r="AG36" s="571"/>
      <c r="AH36" s="543" cm="1">
        <f t="array" ref="AH36">SUM(SUMIFS('caseload data'!V:V,'caseload data'!B:B,{"licence","community"},'caseload data'!$C:$C,'community caseload'!T36))</f>
        <v>0</v>
      </c>
      <c r="AI36" s="560"/>
      <c r="AJ36" s="561"/>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94">
        <f>SUM(SUMIFS('caseload data'!E:E,'caseload data'!$D:$D,"PO",'caseload data'!$C:$C,'community caseload'!$B$36,'caseload data'!$B:$B,{"licence","community"}))</f>
        <v>0</v>
      </c>
      <c r="D38" s="94">
        <f>SUM(SUMIFS('caseload data'!F:F,'caseload data'!$D:$D,"PO",'caseload data'!$C:$C,'community caseload'!$B$36,'caseload data'!$B:$B,{"licence","community"}))</f>
        <v>0</v>
      </c>
      <c r="E38" s="94">
        <f>SUM(SUMIFS('caseload data'!G:G,'caseload data'!$D:$D,"PO",'caseload data'!$C:$C,'community caseload'!$B$36,'caseload data'!$B:$B,{"licence","community"}))</f>
        <v>0</v>
      </c>
      <c r="F38" s="94">
        <f>SUM(SUMIFS('caseload data'!H:H,'caseload data'!$D:$D,"PO",'caseload data'!$C:$C,'community caseload'!$B$36,'caseload data'!$B:$B,{"licence","community"}))</f>
        <v>0</v>
      </c>
      <c r="G38" s="94">
        <f>SUM(SUMIFS('caseload data'!I:I,'caseload data'!$D:$D,"PO",'caseload data'!$C:$C,'community caseload'!$B$36,'caseload data'!$B:$B,{"licence","community"}))</f>
        <v>0</v>
      </c>
      <c r="H38" s="94">
        <f>SUM(SUMIFS('caseload data'!J:J,'caseload data'!$D:$D,"PO",'caseload data'!$C:$C,'community caseload'!$B$36,'caseload data'!$B:$B,{"licence","community"}))</f>
        <v>0</v>
      </c>
      <c r="I38" s="94">
        <f>SUM(SUMIFS('caseload data'!K:K,'caseload data'!$D:$D,"PO",'caseload data'!$C:$C,'community caseload'!$B$36,'caseload data'!$B:$B,{"licence","community"}))</f>
        <v>0</v>
      </c>
      <c r="J38" s="94">
        <f>SUM(SUMIFS('caseload data'!L:L,'caseload data'!$D:$D,"PO",'caseload data'!$C:$C,'community caseload'!$B$36,'caseload data'!$B:$B,{"licence","community"}))</f>
        <v>0</v>
      </c>
      <c r="K38" s="94">
        <f>SUM(SUMIFS('caseload data'!M:M,'caseload data'!$D:$D,"PO",'caseload data'!$C:$C,'community caseload'!$B$36,'caseload data'!$B:$B,{"licence","community"}))</f>
        <v>0</v>
      </c>
      <c r="L38" s="94">
        <f>SUM(SUMIFS('caseload data'!N:N,'caseload data'!$D:$D,"PO",'caseload data'!$C:$C,'community caseload'!$B$36,'caseload data'!$B:$B,{"licence","community"}))</f>
        <v>0</v>
      </c>
      <c r="M38" s="94">
        <f>SUM(SUMIFS('caseload data'!O:O,'caseload data'!$D:$D,"PO",'caseload data'!$C:$C,'community caseload'!$B$36,'caseload data'!$B:$B,{"licence","community"}))</f>
        <v>0</v>
      </c>
      <c r="N38" s="94">
        <f>SUM(SUMIFS('caseload data'!P:P,'caseload data'!$D:$D,"PO",'caseload data'!$C:$C,'community caseload'!$B$36,'caseload data'!$B:$B,{"licence","community"}))</f>
        <v>0</v>
      </c>
      <c r="O38" s="94">
        <f>SUM(SUMIFS('caseload data'!Q:Q,'caseload data'!$D:$D,"PO",'caseload data'!$C:$C,'community caseload'!$B$36,'caseload data'!$B:$B,{"licence","community"}))</f>
        <v>0</v>
      </c>
      <c r="P38" s="94">
        <f>SUM(SUMIFS('caseload data'!R:R,'caseload data'!$D:$D,"PO",'caseload data'!$C:$C,'community caseload'!$B$36,'caseload data'!$B:$B,{"licence","community"}))</f>
        <v>0</v>
      </c>
      <c r="Q38" s="94">
        <f>SUM(SUMIFS('caseload data'!S:S,'caseload data'!$D:$D,"PO",'caseload data'!$C:$C,'community caseload'!$B$36,'caseload data'!$B:$B,{"licence","community"}))</f>
        <v>0</v>
      </c>
      <c r="R38" s="94">
        <f>SUM(SUMIFS('caseload data'!T:T,'caseload data'!$D:$D,"PO",'caseload data'!$C:$C,'community caseload'!$B$36,'caseload data'!$B:$B,{"licence","community"}))</f>
        <v>0</v>
      </c>
      <c r="S38" s="64"/>
      <c r="T38" s="96" t="s">
        <v>947</v>
      </c>
      <c r="U38" s="94">
        <f>SUM(SUMIFS('caseload data'!E:E,'caseload data'!$D:$D,"PO",'caseload data'!$C:$C,'community caseload'!$T$36,'caseload data'!$B:$B,{"licence","community"}))</f>
        <v>0</v>
      </c>
      <c r="V38" s="94">
        <f>SUM(SUMIFS('caseload data'!F:F,'caseload data'!$D:$D,"PO",'caseload data'!$C:$C,'community caseload'!$T$36,'caseload data'!$B:$B,{"licence","community"}))</f>
        <v>0</v>
      </c>
      <c r="W38" s="94">
        <f>SUM(SUMIFS('caseload data'!G:G,'caseload data'!$D:$D,"PO",'caseload data'!$C:$C,'community caseload'!$T$36,'caseload data'!$B:$B,{"licence","community"}))</f>
        <v>0</v>
      </c>
      <c r="X38" s="94">
        <f>SUM(SUMIFS('caseload data'!H:H,'caseload data'!$D:$D,"PO",'caseload data'!$C:$C,'community caseload'!$T$36,'caseload data'!$B:$B,{"licence","community"}))</f>
        <v>0</v>
      </c>
      <c r="Y38" s="94">
        <f>SUM(SUMIFS('caseload data'!I:I,'caseload data'!$D:$D,"PO",'caseload data'!$C:$C,'community caseload'!$T$36,'caseload data'!$B:$B,{"licence","community"}))</f>
        <v>0</v>
      </c>
      <c r="Z38" s="94">
        <f>SUM(SUMIFS('caseload data'!J:J,'caseload data'!$D:$D,"PO",'caseload data'!$C:$C,'community caseload'!$T$36,'caseload data'!$B:$B,{"licence","community"}))</f>
        <v>0</v>
      </c>
      <c r="AA38" s="94">
        <f>SUM(SUMIFS('caseload data'!K:K,'caseload data'!$D:$D,"PO",'caseload data'!$C:$C,'community caseload'!$T$36,'caseload data'!$B:$B,{"licence","community"}))</f>
        <v>0</v>
      </c>
      <c r="AB38" s="94">
        <f>SUM(SUMIFS('caseload data'!L:L,'caseload data'!$D:$D,"PO",'caseload data'!$C:$C,'community caseload'!$T$36,'caseload data'!$B:$B,{"licence","community"}))</f>
        <v>0</v>
      </c>
      <c r="AC38" s="94">
        <f>SUM(SUMIFS('caseload data'!M:M,'caseload data'!$D:$D,"PO",'caseload data'!$C:$C,'community caseload'!$T$36,'caseload data'!$B:$B,{"licence","community"}))</f>
        <v>0</v>
      </c>
      <c r="AD38" s="94">
        <f>SUM(SUMIFS('caseload data'!N:N,'caseload data'!$D:$D,"PO",'caseload data'!$C:$C,'community caseload'!$T$36,'caseload data'!$B:$B,{"licence","community"}))</f>
        <v>0</v>
      </c>
      <c r="AE38" s="94">
        <f>SUM(SUMIFS('caseload data'!O:O,'caseload data'!$D:$D,"PO",'caseload data'!$C:$C,'community caseload'!$T$36,'caseload data'!$B:$B,{"licence","community"}))</f>
        <v>0</v>
      </c>
      <c r="AF38" s="94">
        <f>SUM(SUMIFS('caseload data'!P:P,'caseload data'!$D:$D,"PO",'caseload data'!$C:$C,'community caseload'!$T$36,'caseload data'!$B:$B,{"licence","community"}))</f>
        <v>0</v>
      </c>
      <c r="AG38" s="94">
        <f>SUM(SUMIFS('caseload data'!Q:Q,'caseload data'!$D:$D,"PO",'caseload data'!$C:$C,'community caseload'!$T$36,'caseload data'!$B:$B,{"licence","community"}))</f>
        <v>0</v>
      </c>
      <c r="AH38" s="94">
        <f>SUM(SUMIFS('caseload data'!R:R,'caseload data'!$D:$D,"PO",'caseload data'!$C:$C,'community caseload'!$T$36,'caseload data'!$B:$B,{"licence","community"}))</f>
        <v>0</v>
      </c>
      <c r="AI38" s="94">
        <f>SUM(SUMIFS('caseload data'!S:S,'caseload data'!$D:$D,"PO",'caseload data'!$C:$C,'community caseload'!$T$36,'caseload data'!$B:$B,{"licence","community"}))</f>
        <v>0</v>
      </c>
      <c r="AJ38" s="94">
        <f>SUM(SUMIFS('caseload data'!T:T,'caseload data'!$D:$D,"PO",'caseload data'!$C:$C,'community caseload'!$T$36,'caseload data'!$B:$B,{"licence","community"}))</f>
        <v>0</v>
      </c>
    </row>
    <row r="39" spans="2:36" x14ac:dyDescent="0.15">
      <c r="B39" s="97" t="s">
        <v>952</v>
      </c>
      <c r="C39" s="94">
        <f>SUM(SUMIFS('caseload data'!E:E,'caseload data'!$D:$D,"PSO",'caseload data'!$C:$C,'community caseload'!$B$36,'caseload data'!$B:$B,{"licence","community"}))</f>
        <v>0</v>
      </c>
      <c r="D39" s="94">
        <f>SUM(SUMIFS('caseload data'!F:F,'caseload data'!$D:$D,"PSO",'caseload data'!$C:$C,'community caseload'!$B$36,'caseload data'!$B:$B,{"licence","community"}))</f>
        <v>0</v>
      </c>
      <c r="E39" s="94">
        <f>SUM(SUMIFS('caseload data'!G:G,'caseload data'!$D:$D,"PSO",'caseload data'!$C:$C,'community caseload'!$B$36,'caseload data'!$B:$B,{"licence","community"}))</f>
        <v>0</v>
      </c>
      <c r="F39" s="94">
        <f>SUM(SUMIFS('caseload data'!H:H,'caseload data'!$D:$D,"PSO",'caseload data'!$C:$C,'community caseload'!$B$36,'caseload data'!$B:$B,{"licence","community"}))</f>
        <v>0</v>
      </c>
      <c r="G39" s="94">
        <f>SUM(SUMIFS('caseload data'!I:I,'caseload data'!$D:$D,"PSO",'caseload data'!$C:$C,'community caseload'!$B$36,'caseload data'!$B:$B,{"licence","community"}))</f>
        <v>0</v>
      </c>
      <c r="H39" s="94">
        <f>SUM(SUMIFS('caseload data'!J:J,'caseload data'!$D:$D,"PSO",'caseload data'!$C:$C,'community caseload'!$B$36,'caseload data'!$B:$B,{"licence","community"}))</f>
        <v>0</v>
      </c>
      <c r="I39" s="94">
        <f>SUM(SUMIFS('caseload data'!K:K,'caseload data'!$D:$D,"PSO",'caseload data'!$C:$C,'community caseload'!$B$36,'caseload data'!$B:$B,{"licence","community"}))</f>
        <v>0</v>
      </c>
      <c r="J39" s="94">
        <f>SUM(SUMIFS('caseload data'!L:L,'caseload data'!$D:$D,"PSO",'caseload data'!$C:$C,'community caseload'!$B$36,'caseload data'!$B:$B,{"licence","community"}))</f>
        <v>0</v>
      </c>
      <c r="K39" s="94">
        <f>SUM(SUMIFS('caseload data'!M:M,'caseload data'!$D:$D,"PSO",'caseload data'!$C:$C,'community caseload'!$B$36,'caseload data'!$B:$B,{"licence","community"}))</f>
        <v>0</v>
      </c>
      <c r="L39" s="94">
        <f>SUM(SUMIFS('caseload data'!N:N,'caseload data'!$D:$D,"PSO",'caseload data'!$C:$C,'community caseload'!$B$36,'caseload data'!$B:$B,{"licence","community"}))</f>
        <v>0</v>
      </c>
      <c r="M39" s="94">
        <f>SUM(SUMIFS('caseload data'!O:O,'caseload data'!$D:$D,"PSO",'caseload data'!$C:$C,'community caseload'!$B$36,'caseload data'!$B:$B,{"licence","community"}))</f>
        <v>0</v>
      </c>
      <c r="N39" s="94">
        <f>SUM(SUMIFS('caseload data'!P:P,'caseload data'!$D:$D,"PSO",'caseload data'!$C:$C,'community caseload'!$B$36,'caseload data'!$B:$B,{"licence","community"}))</f>
        <v>0</v>
      </c>
      <c r="O39" s="94">
        <f>SUM(SUMIFS('caseload data'!Q:Q,'caseload data'!$D:$D,"PSO",'caseload data'!$C:$C,'community caseload'!$B$36,'caseload data'!$B:$B,{"licence","community"}))</f>
        <v>0</v>
      </c>
      <c r="P39" s="94">
        <f>SUM(SUMIFS('caseload data'!R:R,'caseload data'!$D:$D,"PSO",'caseload data'!$C:$C,'community caseload'!$B$36,'caseload data'!$B:$B,{"licence","community"}))</f>
        <v>0</v>
      </c>
      <c r="Q39" s="94">
        <f>SUM(SUMIFS('caseload data'!S:S,'caseload data'!$D:$D,"PSO",'caseload data'!$C:$C,'community caseload'!$B$36,'caseload data'!$B:$B,{"licence","community"}))</f>
        <v>0</v>
      </c>
      <c r="R39" s="94">
        <f>SUM(SUMIFS('caseload data'!T:T,'caseload data'!$D:$D,"PSO",'caseload data'!$C:$C,'community caseload'!$B$36,'caseload data'!$B:$B,{"licence","community"}))</f>
        <v>0</v>
      </c>
      <c r="S39" s="64"/>
      <c r="T39" s="97" t="s">
        <v>952</v>
      </c>
      <c r="U39" s="94">
        <f>SUM(SUMIFS('caseload data'!E:E,'caseload data'!$D:$D,"PSO",'caseload data'!$C:$C,'community caseload'!$T$36,'caseload data'!$B:$B,{"licence","community"}))</f>
        <v>0</v>
      </c>
      <c r="V39" s="94">
        <f>SUM(SUMIFS('caseload data'!F:F,'caseload data'!$D:$D,"PSO",'caseload data'!$C:$C,'community caseload'!$T$36,'caseload data'!$B:$B,{"licence","community"}))</f>
        <v>0</v>
      </c>
      <c r="W39" s="94">
        <f>SUM(SUMIFS('caseload data'!G:G,'caseload data'!$D:$D,"PSO",'caseload data'!$C:$C,'community caseload'!$T$36,'caseload data'!$B:$B,{"licence","community"}))</f>
        <v>0</v>
      </c>
      <c r="X39" s="94">
        <f>SUM(SUMIFS('caseload data'!H:H,'caseload data'!$D:$D,"PSO",'caseload data'!$C:$C,'community caseload'!$T$36,'caseload data'!$B:$B,{"licence","community"}))</f>
        <v>0</v>
      </c>
      <c r="Y39" s="94">
        <f>SUM(SUMIFS('caseload data'!I:I,'caseload data'!$D:$D,"PSO",'caseload data'!$C:$C,'community caseload'!$T$36,'caseload data'!$B:$B,{"licence","community"}))</f>
        <v>0</v>
      </c>
      <c r="Z39" s="94">
        <f>SUM(SUMIFS('caseload data'!J:J,'caseload data'!$D:$D,"PSO",'caseload data'!$C:$C,'community caseload'!$T$36,'caseload data'!$B:$B,{"licence","community"}))</f>
        <v>0</v>
      </c>
      <c r="AA39" s="94">
        <f>SUM(SUMIFS('caseload data'!K:K,'caseload data'!$D:$D,"PSO",'caseload data'!$C:$C,'community caseload'!$T$36,'caseload data'!$B:$B,{"licence","community"}))</f>
        <v>0</v>
      </c>
      <c r="AB39" s="94">
        <f>SUM(SUMIFS('caseload data'!L:L,'caseload data'!$D:$D,"PSO",'caseload data'!$C:$C,'community caseload'!$T$36,'caseload data'!$B:$B,{"licence","community"}))</f>
        <v>0</v>
      </c>
      <c r="AC39" s="94">
        <f>SUM(SUMIFS('caseload data'!M:M,'caseload data'!$D:$D,"PSO",'caseload data'!$C:$C,'community caseload'!$T$36,'caseload data'!$B:$B,{"licence","community"}))</f>
        <v>0</v>
      </c>
      <c r="AD39" s="94">
        <f>SUM(SUMIFS('caseload data'!N:N,'caseload data'!$D:$D,"PSO",'caseload data'!$C:$C,'community caseload'!$T$36,'caseload data'!$B:$B,{"licence","community"}))</f>
        <v>0</v>
      </c>
      <c r="AE39" s="94">
        <f>SUM(SUMIFS('caseload data'!O:O,'caseload data'!$D:$D,"PSO",'caseload data'!$C:$C,'community caseload'!$T$36,'caseload data'!$B:$B,{"licence","community"}))</f>
        <v>0</v>
      </c>
      <c r="AF39" s="94">
        <f>SUM(SUMIFS('caseload data'!P:P,'caseload data'!$D:$D,"PSO",'caseload data'!$C:$C,'community caseload'!$T$36,'caseload data'!$B:$B,{"licence","community"}))</f>
        <v>0</v>
      </c>
      <c r="AG39" s="94">
        <f>SUM(SUMIFS('caseload data'!Q:Q,'caseload data'!$D:$D,"PSO",'caseload data'!$C:$C,'community caseload'!$T$36,'caseload data'!$B:$B,{"licence","community"}))</f>
        <v>0</v>
      </c>
      <c r="AH39" s="94">
        <f>SUM(SUMIFS('caseload data'!R:R,'caseload data'!$D:$D,"PSO",'caseload data'!$C:$C,'community caseload'!$T$36,'caseload data'!$B:$B,{"licence","community"}))</f>
        <v>0</v>
      </c>
      <c r="AI39" s="94">
        <f>SUM(SUMIFS('caseload data'!S:S,'caseload data'!$D:$D,"PSO",'caseload data'!$C:$C,'community caseload'!$T$36,'caseload data'!$B:$B,{"licence","community"}))</f>
        <v>0</v>
      </c>
      <c r="AJ39" s="94">
        <f>SUM(SUMIFS('caseload data'!T:T,'caseload data'!$D:$D,"PSO",'caseload data'!$C:$C,'community caseload'!$T$36,'caseload data'!$B:$B,{"licence","community"}))</f>
        <v>0</v>
      </c>
    </row>
    <row r="40" spans="2:36" x14ac:dyDescent="0.15">
      <c r="B40" s="97" t="s">
        <v>953</v>
      </c>
      <c r="C40" s="94">
        <f>SUM(SUMIFS('caseload data'!E:E,'caseload data'!$D:$D,"TPO",'caseload data'!$C:$C,'community caseload'!$B$36,'caseload data'!$B:$B,{"licence","community"}))</f>
        <v>0</v>
      </c>
      <c r="D40" s="94">
        <f>SUM(SUMIFS('caseload data'!F:F,'caseload data'!$D:$D,"TPO",'caseload data'!$C:$C,'community caseload'!$B$36,'caseload data'!$B:$B,{"licence","community"}))</f>
        <v>0</v>
      </c>
      <c r="E40" s="94">
        <f>SUM(SUMIFS('caseload data'!G:G,'caseload data'!$D:$D,"TPO",'caseload data'!$C:$C,'community caseload'!$B$36,'caseload data'!$B:$B,{"licence","community"}))</f>
        <v>0</v>
      </c>
      <c r="F40" s="94">
        <f>SUM(SUMIFS('caseload data'!H:H,'caseload data'!$D:$D,"TPO",'caseload data'!$C:$C,'community caseload'!$B$36,'caseload data'!$B:$B,{"licence","community"}))</f>
        <v>0</v>
      </c>
      <c r="G40" s="94">
        <f>SUM(SUMIFS('caseload data'!I:I,'caseload data'!$D:$D,"TPO",'caseload data'!$C:$C,'community caseload'!$B$36,'caseload data'!$B:$B,{"licence","community"}))</f>
        <v>0</v>
      </c>
      <c r="H40" s="94">
        <f>SUM(SUMIFS('caseload data'!J:J,'caseload data'!$D:$D,"TPO",'caseload data'!$C:$C,'community caseload'!$B$36,'caseload data'!$B:$B,{"licence","community"}))</f>
        <v>0</v>
      </c>
      <c r="I40" s="94">
        <f>SUM(SUMIFS('caseload data'!K:K,'caseload data'!$D:$D,"TPO",'caseload data'!$C:$C,'community caseload'!$B$36,'caseload data'!$B:$B,{"licence","community"}))</f>
        <v>0</v>
      </c>
      <c r="J40" s="94">
        <f>SUM(SUMIFS('caseload data'!L:L,'caseload data'!$D:$D,"TPO",'caseload data'!$C:$C,'community caseload'!$B$36,'caseload data'!$B:$B,{"licence","community"}))</f>
        <v>0</v>
      </c>
      <c r="K40" s="94">
        <f>SUM(SUMIFS('caseload data'!M:M,'caseload data'!$D:$D,"TPO",'caseload data'!$C:$C,'community caseload'!$B$36,'caseload data'!$B:$B,{"licence","community"}))</f>
        <v>0</v>
      </c>
      <c r="L40" s="94">
        <f>SUM(SUMIFS('caseload data'!N:N,'caseload data'!$D:$D,"TPO",'caseload data'!$C:$C,'community caseload'!$B$36,'caseload data'!$B:$B,{"licence","community"}))</f>
        <v>0</v>
      </c>
      <c r="M40" s="94">
        <f>SUM(SUMIFS('caseload data'!O:O,'caseload data'!$D:$D,"TPO",'caseload data'!$C:$C,'community caseload'!$B$36,'caseload data'!$B:$B,{"licence","community"}))</f>
        <v>0</v>
      </c>
      <c r="N40" s="94">
        <f>SUM(SUMIFS('caseload data'!P:P,'caseload data'!$D:$D,"TPO",'caseload data'!$C:$C,'community caseload'!$B$36,'caseload data'!$B:$B,{"licence","community"}))</f>
        <v>0</v>
      </c>
      <c r="O40" s="94">
        <f>SUM(SUMIFS('caseload data'!Q:Q,'caseload data'!$D:$D,"TPO",'caseload data'!$C:$C,'community caseload'!$B$36,'caseload data'!$B:$B,{"licence","community"}))</f>
        <v>0</v>
      </c>
      <c r="P40" s="94">
        <f>SUM(SUMIFS('caseload data'!R:R,'caseload data'!$D:$D,"TPO",'caseload data'!$C:$C,'community caseload'!$B$36,'caseload data'!$B:$B,{"licence","community"}))</f>
        <v>0</v>
      </c>
      <c r="Q40" s="94">
        <f>SUM(SUMIFS('caseload data'!S:S,'caseload data'!$D:$D,"TPO",'caseload data'!$C:$C,'community caseload'!$B$36,'caseload data'!$B:$B,{"licence","community"}))</f>
        <v>0</v>
      </c>
      <c r="R40" s="94">
        <f>SUM(SUMIFS('caseload data'!T:T,'caseload data'!$D:$D,"TPO",'caseload data'!$C:$C,'community caseload'!$B$36,'caseload data'!$B:$B,{"licence","community"}))</f>
        <v>0</v>
      </c>
      <c r="S40" s="64"/>
      <c r="T40" s="97" t="s">
        <v>953</v>
      </c>
      <c r="U40" s="94">
        <f>SUM(SUMIFS('caseload data'!E:E,'caseload data'!$D:$D,"TPO",'caseload data'!$C:$C,'community caseload'!$T$36,'caseload data'!$B:$B,{"licence","community"}))</f>
        <v>0</v>
      </c>
      <c r="V40" s="94">
        <f>SUM(SUMIFS('caseload data'!F:F,'caseload data'!$D:$D,"TPO",'caseload data'!$C:$C,'community caseload'!$T$36,'caseload data'!$B:$B,{"licence","community"}))</f>
        <v>0</v>
      </c>
      <c r="W40" s="94">
        <f>SUM(SUMIFS('caseload data'!G:G,'caseload data'!$D:$D,"TPO",'caseload data'!$C:$C,'community caseload'!$T$36,'caseload data'!$B:$B,{"licence","community"}))</f>
        <v>0</v>
      </c>
      <c r="X40" s="94">
        <f>SUM(SUMIFS('caseload data'!H:H,'caseload data'!$D:$D,"TPO",'caseload data'!$C:$C,'community caseload'!$T$36,'caseload data'!$B:$B,{"licence","community"}))</f>
        <v>0</v>
      </c>
      <c r="Y40" s="94">
        <f>SUM(SUMIFS('caseload data'!I:I,'caseload data'!$D:$D,"TPO",'caseload data'!$C:$C,'community caseload'!$T$36,'caseload data'!$B:$B,{"licence","community"}))</f>
        <v>0</v>
      </c>
      <c r="Z40" s="94">
        <f>SUM(SUMIFS('caseload data'!J:J,'caseload data'!$D:$D,"TPO",'caseload data'!$C:$C,'community caseload'!$T$36,'caseload data'!$B:$B,{"licence","community"}))</f>
        <v>0</v>
      </c>
      <c r="AA40" s="94">
        <f>SUM(SUMIFS('caseload data'!K:K,'caseload data'!$D:$D,"TPO",'caseload data'!$C:$C,'community caseload'!$T$36,'caseload data'!$B:$B,{"licence","community"}))</f>
        <v>0</v>
      </c>
      <c r="AB40" s="94">
        <f>SUM(SUMIFS('caseload data'!L:L,'caseload data'!$D:$D,"TPO",'caseload data'!$C:$C,'community caseload'!$T$36,'caseload data'!$B:$B,{"licence","community"}))</f>
        <v>0</v>
      </c>
      <c r="AC40" s="94">
        <f>SUM(SUMIFS('caseload data'!M:M,'caseload data'!$D:$D,"TPO",'caseload data'!$C:$C,'community caseload'!$T$36,'caseload data'!$B:$B,{"licence","community"}))</f>
        <v>0</v>
      </c>
      <c r="AD40" s="94">
        <f>SUM(SUMIFS('caseload data'!N:N,'caseload data'!$D:$D,"TPO",'caseload data'!$C:$C,'community caseload'!$T$36,'caseload data'!$B:$B,{"licence","community"}))</f>
        <v>0</v>
      </c>
      <c r="AE40" s="94">
        <f>SUM(SUMIFS('caseload data'!O:O,'caseload data'!$D:$D,"TPO",'caseload data'!$C:$C,'community caseload'!$T$36,'caseload data'!$B:$B,{"licence","community"}))</f>
        <v>0</v>
      </c>
      <c r="AF40" s="94">
        <f>SUM(SUMIFS('caseload data'!P:P,'caseload data'!$D:$D,"TPO",'caseload data'!$C:$C,'community caseload'!$T$36,'caseload data'!$B:$B,{"licence","community"}))</f>
        <v>0</v>
      </c>
      <c r="AG40" s="94">
        <f>SUM(SUMIFS('caseload data'!Q:Q,'caseload data'!$D:$D,"TPO",'caseload data'!$C:$C,'community caseload'!$T$36,'caseload data'!$B:$B,{"licence","community"}))</f>
        <v>0</v>
      </c>
      <c r="AH40" s="94">
        <f>SUM(SUMIFS('caseload data'!R:R,'caseload data'!$D:$D,"TPO",'caseload data'!$C:$C,'community caseload'!$T$36,'caseload data'!$B:$B,{"licence","community"}))</f>
        <v>0</v>
      </c>
      <c r="AI40" s="94">
        <f>SUM(SUMIFS('caseload data'!S:S,'caseload data'!$D:$D,"TPO",'caseload data'!$C:$C,'community caseload'!$T$36,'caseload data'!$B:$B,{"licence","community"}))</f>
        <v>0</v>
      </c>
      <c r="AJ40" s="94">
        <f>SUM(SUMIFS('caseload data'!T:T,'caseload data'!$D:$D,"TPO",'caseload data'!$C:$C,'community caseload'!$T$36,'caseload data'!$B:$B,{"licence","community"}))</f>
        <v>0</v>
      </c>
    </row>
    <row r="41" spans="2:36" x14ac:dyDescent="0.15">
      <c r="B41" s="98" t="s">
        <v>954</v>
      </c>
      <c r="C41" s="94">
        <f>SUM(SUMIFS('caseload data'!E:E,'caseload data'!$D:$D,"SPO",'caseload data'!$C:$C,'community caseload'!$B$36,'caseload data'!$B:$B,{"licence","community"}))</f>
        <v>0</v>
      </c>
      <c r="D41" s="94">
        <f>SUM(SUMIFS('caseload data'!F:F,'caseload data'!$D:$D,"SPO",'caseload data'!$C:$C,'community caseload'!$B$36,'caseload data'!$B:$B,{"licence","community"}))</f>
        <v>0</v>
      </c>
      <c r="E41" s="94">
        <f>SUM(SUMIFS('caseload data'!G:G,'caseload data'!$D:$D,"SPO",'caseload data'!$C:$C,'community caseload'!$B$36,'caseload data'!$B:$B,{"licence","community"}))</f>
        <v>0</v>
      </c>
      <c r="F41" s="94">
        <f>SUM(SUMIFS('caseload data'!H:H,'caseload data'!$D:$D,"SPO",'caseload data'!$C:$C,'community caseload'!$B$36,'caseload data'!$B:$B,{"licence","community"}))</f>
        <v>0</v>
      </c>
      <c r="G41" s="94">
        <f>SUM(SUMIFS('caseload data'!I:I,'caseload data'!$D:$D,"SPO",'caseload data'!$C:$C,'community caseload'!$B$36,'caseload data'!$B:$B,{"licence","community"}))</f>
        <v>0</v>
      </c>
      <c r="H41" s="94">
        <f>SUM(SUMIFS('caseload data'!J:J,'caseload data'!$D:$D,"SPO",'caseload data'!$C:$C,'community caseload'!$B$36,'caseload data'!$B:$B,{"licence","community"}))</f>
        <v>0</v>
      </c>
      <c r="I41" s="94">
        <f>SUM(SUMIFS('caseload data'!K:K,'caseload data'!$D:$D,"SPO",'caseload data'!$C:$C,'community caseload'!$B$36,'caseload data'!$B:$B,{"licence","community"}))</f>
        <v>0</v>
      </c>
      <c r="J41" s="94">
        <f>SUM(SUMIFS('caseload data'!L:L,'caseload data'!$D:$D,"SPO",'caseload data'!$C:$C,'community caseload'!$B$36,'caseload data'!$B:$B,{"licence","community"}))</f>
        <v>0</v>
      </c>
      <c r="K41" s="94">
        <f>SUM(SUMIFS('caseload data'!M:M,'caseload data'!$D:$D,"SPO",'caseload data'!$C:$C,'community caseload'!$B$36,'caseload data'!$B:$B,{"licence","community"}))</f>
        <v>0</v>
      </c>
      <c r="L41" s="94">
        <f>SUM(SUMIFS('caseload data'!N:N,'caseload data'!$D:$D,"SPO",'caseload data'!$C:$C,'community caseload'!$B$36,'caseload data'!$B:$B,{"licence","community"}))</f>
        <v>0</v>
      </c>
      <c r="M41" s="94">
        <f>SUM(SUMIFS('caseload data'!O:O,'caseload data'!$D:$D,"SPO",'caseload data'!$C:$C,'community caseload'!$B$36,'caseload data'!$B:$B,{"licence","community"}))</f>
        <v>0</v>
      </c>
      <c r="N41" s="94">
        <f>SUM(SUMIFS('caseload data'!P:P,'caseload data'!$D:$D,"SPO",'caseload data'!$C:$C,'community caseload'!$B$36,'caseload data'!$B:$B,{"licence","community"}))</f>
        <v>0</v>
      </c>
      <c r="O41" s="94">
        <f>SUM(SUMIFS('caseload data'!Q:Q,'caseload data'!$D:$D,"SPO",'caseload data'!$C:$C,'community caseload'!$B$36,'caseload data'!$B:$B,{"licence","community"}))</f>
        <v>0</v>
      </c>
      <c r="P41" s="94">
        <f>SUM(SUMIFS('caseload data'!R:R,'caseload data'!$D:$D,"SPO",'caseload data'!$C:$C,'community caseload'!$B$36,'caseload data'!$B:$B,{"licence","community"}))</f>
        <v>0</v>
      </c>
      <c r="Q41" s="94">
        <f>SUM(SUMIFS('caseload data'!S:S,'caseload data'!$D:$D,"SPO",'caseload data'!$C:$C,'community caseload'!$B$36,'caseload data'!$B:$B,{"licence","community"}))</f>
        <v>0</v>
      </c>
      <c r="R41" s="94">
        <f>SUM(SUMIFS('caseload data'!T:T,'caseload data'!$D:$D,"SPO",'caseload data'!$C:$C,'community caseload'!$B$36,'caseload data'!$B:$B,{"licence","community"}))</f>
        <v>0</v>
      </c>
      <c r="S41" s="64"/>
      <c r="T41" s="98" t="s">
        <v>954</v>
      </c>
      <c r="U41" s="94">
        <f>SUM(SUMIFS('caseload data'!E:E,'caseload data'!$D:$D,"SPO",'caseload data'!$C:$C,'community caseload'!$T$36,'caseload data'!$B:$B,{"licence","community"}))</f>
        <v>0</v>
      </c>
      <c r="V41" s="94">
        <f>SUM(SUMIFS('caseload data'!F:F,'caseload data'!$D:$D,"SPO",'caseload data'!$C:$C,'community caseload'!$T$36,'caseload data'!$B:$B,{"licence","community"}))</f>
        <v>0</v>
      </c>
      <c r="W41" s="94">
        <f>SUM(SUMIFS('caseload data'!G:G,'caseload data'!$D:$D,"SPO",'caseload data'!$C:$C,'community caseload'!$T$36,'caseload data'!$B:$B,{"licence","community"}))</f>
        <v>0</v>
      </c>
      <c r="X41" s="94">
        <f>SUM(SUMIFS('caseload data'!H:H,'caseload data'!$D:$D,"SPO",'caseload data'!$C:$C,'community caseload'!$T$36,'caseload data'!$B:$B,{"licence","community"}))</f>
        <v>0</v>
      </c>
      <c r="Y41" s="94">
        <f>SUM(SUMIFS('caseload data'!I:I,'caseload data'!$D:$D,"SPO",'caseload data'!$C:$C,'community caseload'!$T$36,'caseload data'!$B:$B,{"licence","community"}))</f>
        <v>0</v>
      </c>
      <c r="Z41" s="94">
        <f>SUM(SUMIFS('caseload data'!J:J,'caseload data'!$D:$D,"SPO",'caseload data'!$C:$C,'community caseload'!$T$36,'caseload data'!$B:$B,{"licence","community"}))</f>
        <v>0</v>
      </c>
      <c r="AA41" s="94">
        <f>SUM(SUMIFS('caseload data'!K:K,'caseload data'!$D:$D,"SPO",'caseload data'!$C:$C,'community caseload'!$T$36,'caseload data'!$B:$B,{"licence","community"}))</f>
        <v>0</v>
      </c>
      <c r="AB41" s="94">
        <f>SUM(SUMIFS('caseload data'!L:L,'caseload data'!$D:$D,"SPO",'caseload data'!$C:$C,'community caseload'!$T$36,'caseload data'!$B:$B,{"licence","community"}))</f>
        <v>0</v>
      </c>
      <c r="AC41" s="94">
        <f>SUM(SUMIFS('caseload data'!M:M,'caseload data'!$D:$D,"SPO",'caseload data'!$C:$C,'community caseload'!$T$36,'caseload data'!$B:$B,{"licence","community"}))</f>
        <v>0</v>
      </c>
      <c r="AD41" s="94">
        <f>SUM(SUMIFS('caseload data'!N:N,'caseload data'!$D:$D,"SPO",'caseload data'!$C:$C,'community caseload'!$T$36,'caseload data'!$B:$B,{"licence","community"}))</f>
        <v>0</v>
      </c>
      <c r="AE41" s="94">
        <f>SUM(SUMIFS('caseload data'!O:O,'caseload data'!$D:$D,"SPO",'caseload data'!$C:$C,'community caseload'!$T$36,'caseload data'!$B:$B,{"licence","community"}))</f>
        <v>0</v>
      </c>
      <c r="AF41" s="94">
        <f>SUM(SUMIFS('caseload data'!P:P,'caseload data'!$D:$D,"SPO",'caseload data'!$C:$C,'community caseload'!$T$36,'caseload data'!$B:$B,{"licence","community"}))</f>
        <v>0</v>
      </c>
      <c r="AG41" s="94">
        <f>SUM(SUMIFS('caseload data'!Q:Q,'caseload data'!$D:$D,"SPO",'caseload data'!$C:$C,'community caseload'!$T$36,'caseload data'!$B:$B,{"licence","community"}))</f>
        <v>0</v>
      </c>
      <c r="AH41" s="94">
        <f>SUM(SUMIFS('caseload data'!R:R,'caseload data'!$D:$D,"SPO",'caseload data'!$C:$C,'community caseload'!$T$36,'caseload data'!$B:$B,{"licence","community"}))</f>
        <v>0</v>
      </c>
      <c r="AI41" s="94">
        <f>SUM(SUMIFS('caseload data'!S:S,'caseload data'!$D:$D,"SPO",'caseload data'!$C:$C,'community caseload'!$T$36,'caseload data'!$B:$B,{"licence","community"}))</f>
        <v>0</v>
      </c>
      <c r="AJ41" s="94">
        <f>SUM(SUMIFS('caseload data'!T:T,'caseload data'!$D:$D,"SPO",'caseload data'!$C:$C,'community caseload'!$T$36,'caseload data'!$B:$B,{"licence","community"}))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9" customHeight="1" x14ac:dyDescent="0.15">
      <c r="B43" s="288">
        <f>HLOOKUP($B$5,Region_Table,12,0)</f>
        <v>0</v>
      </c>
      <c r="C43" s="540" t="s">
        <v>1077</v>
      </c>
      <c r="D43" s="541"/>
      <c r="E43" s="541"/>
      <c r="F43" s="541"/>
      <c r="G43" s="541"/>
      <c r="H43" s="541"/>
      <c r="I43" s="541"/>
      <c r="J43" s="541"/>
      <c r="K43" s="541"/>
      <c r="L43" s="541"/>
      <c r="M43" s="570"/>
      <c r="N43" s="570"/>
      <c r="O43" s="571"/>
      <c r="P43" s="543" cm="1">
        <f t="array" ref="P43">SUM(SUMIFS('caseload data'!V:V,'caseload data'!B:B,{"licence","community"},'caseload data'!$C:$C,'community caseload'!B43))</f>
        <v>0</v>
      </c>
      <c r="Q43" s="560"/>
      <c r="R43" s="561"/>
      <c r="S43" s="290"/>
      <c r="T43" s="288">
        <f>HLOOKUP($B$5,Region_Table,13,0)</f>
        <v>0</v>
      </c>
      <c r="U43" s="540" t="s">
        <v>1077</v>
      </c>
      <c r="V43" s="541"/>
      <c r="W43" s="541"/>
      <c r="X43" s="541"/>
      <c r="Y43" s="541"/>
      <c r="Z43" s="541"/>
      <c r="AA43" s="541"/>
      <c r="AB43" s="541"/>
      <c r="AC43" s="541"/>
      <c r="AD43" s="541"/>
      <c r="AE43" s="570"/>
      <c r="AF43" s="570"/>
      <c r="AG43" s="571"/>
      <c r="AH43" s="543" cm="1">
        <f t="array" ref="AH43">SUM(SUMIFS('caseload data'!V:V,'caseload data'!B:B,{"licence","community"},'caseload data'!$C:$C,'community caseload'!T43))</f>
        <v>0</v>
      </c>
      <c r="AI43" s="560"/>
      <c r="AJ43" s="561"/>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94">
        <f>SUM(SUMIFS('caseload data'!E:E,'caseload data'!$D:$D,"PO",'caseload data'!$C:$C,'community caseload'!$B$43,'caseload data'!$B:$B,{"licence","community"}))</f>
        <v>0</v>
      </c>
      <c r="D45" s="94">
        <f>SUM(SUMIFS('caseload data'!F:F,'caseload data'!$D:$D,"PO",'caseload data'!$C:$C,'community caseload'!$B$43,'caseload data'!$B:$B,{"licence","community"}))</f>
        <v>0</v>
      </c>
      <c r="E45" s="94">
        <f>SUM(SUMIFS('caseload data'!G:G,'caseload data'!$D:$D,"PO",'caseload data'!$C:$C,'community caseload'!$B$43,'caseload data'!$B:$B,{"licence","community"}))</f>
        <v>0</v>
      </c>
      <c r="F45" s="94">
        <f>SUM(SUMIFS('caseload data'!H:H,'caseload data'!$D:$D,"PO",'caseload data'!$C:$C,'community caseload'!$B$43,'caseload data'!$B:$B,{"licence","community"}))</f>
        <v>0</v>
      </c>
      <c r="G45" s="94">
        <f>SUM(SUMIFS('caseload data'!I:I,'caseload data'!$D:$D,"PO",'caseload data'!$C:$C,'community caseload'!$B$43,'caseload data'!$B:$B,{"licence","community"}))</f>
        <v>0</v>
      </c>
      <c r="H45" s="94">
        <f>SUM(SUMIFS('caseload data'!J:J,'caseload data'!$D:$D,"PO",'caseload data'!$C:$C,'community caseload'!$B$43,'caseload data'!$B:$B,{"licence","community"}))</f>
        <v>0</v>
      </c>
      <c r="I45" s="94">
        <f>SUM(SUMIFS('caseload data'!K:K,'caseload data'!$D:$D,"PO",'caseload data'!$C:$C,'community caseload'!$B$43,'caseload data'!$B:$B,{"licence","community"}))</f>
        <v>0</v>
      </c>
      <c r="J45" s="94">
        <f>SUM(SUMIFS('caseload data'!L:L,'caseload data'!$D:$D,"PO",'caseload data'!$C:$C,'community caseload'!$B$43,'caseload data'!$B:$B,{"licence","community"}))</f>
        <v>0</v>
      </c>
      <c r="K45" s="94">
        <f>SUM(SUMIFS('caseload data'!M:M,'caseload data'!$D:$D,"PO",'caseload data'!$C:$C,'community caseload'!$B$43,'caseload data'!$B:$B,{"licence","community"}))</f>
        <v>0</v>
      </c>
      <c r="L45" s="94">
        <f>SUM(SUMIFS('caseload data'!N:N,'caseload data'!$D:$D,"PO",'caseload data'!$C:$C,'community caseload'!$B$43,'caseload data'!$B:$B,{"licence","community"}))</f>
        <v>0</v>
      </c>
      <c r="M45" s="94">
        <f>SUM(SUMIFS('caseload data'!O:O,'caseload data'!$D:$D,"PO",'caseload data'!$C:$C,'community caseload'!$B$43,'caseload data'!$B:$B,{"licence","community"}))</f>
        <v>0</v>
      </c>
      <c r="N45" s="94">
        <f>SUM(SUMIFS('caseload data'!P:P,'caseload data'!$D:$D,"PO",'caseload data'!$C:$C,'community caseload'!$B$43,'caseload data'!$B:$B,{"licence","community"}))</f>
        <v>0</v>
      </c>
      <c r="O45" s="94">
        <f>SUM(SUMIFS('caseload data'!Q:Q,'caseload data'!$D:$D,"PO",'caseload data'!$C:$C,'community caseload'!$B$43,'caseload data'!$B:$B,{"licence","community"}))</f>
        <v>0</v>
      </c>
      <c r="P45" s="94">
        <f>SUM(SUMIFS('caseload data'!R:R,'caseload data'!$D:$D,"PO",'caseload data'!$C:$C,'community caseload'!$B$43,'caseload data'!$B:$B,{"licence","community"}))</f>
        <v>0</v>
      </c>
      <c r="Q45" s="94">
        <f>SUM(SUMIFS('caseload data'!S:S,'caseload data'!$D:$D,"PO",'caseload data'!$C:$C,'community caseload'!$B$43,'caseload data'!$B:$B,{"licence","community"}))</f>
        <v>0</v>
      </c>
      <c r="R45" s="94">
        <f>SUM(SUMIFS('caseload data'!T:T,'caseload data'!$D:$D,"PO",'caseload data'!$C:$C,'community caseload'!$B$43,'caseload data'!$B:$B,{"licence","community"}))</f>
        <v>0</v>
      </c>
      <c r="S45" s="64"/>
      <c r="T45" s="96" t="s">
        <v>947</v>
      </c>
      <c r="U45" s="94">
        <f>SUM(SUMIFS('caseload data'!E:E,'caseload data'!$D:$D,"PO",'caseload data'!$C:$C,'community caseload'!$T$43,'caseload data'!$B:$B,{"licence","community"}))</f>
        <v>0</v>
      </c>
      <c r="V45" s="94">
        <f>SUM(SUMIFS('caseload data'!F:F,'caseload data'!$D:$D,"PO",'caseload data'!$C:$C,'community caseload'!$T$43,'caseload data'!$B:$B,{"licence","community"}))</f>
        <v>0</v>
      </c>
      <c r="W45" s="94">
        <f>SUM(SUMIFS('caseload data'!G:G,'caseload data'!$D:$D,"PO",'caseload data'!$C:$C,'community caseload'!$T$43,'caseload data'!$B:$B,{"licence","community"}))</f>
        <v>0</v>
      </c>
      <c r="X45" s="94">
        <f>SUM(SUMIFS('caseload data'!H:H,'caseload data'!$D:$D,"PO",'caseload data'!$C:$C,'community caseload'!$T$43,'caseload data'!$B:$B,{"licence","community"}))</f>
        <v>0</v>
      </c>
      <c r="Y45" s="94">
        <f>SUM(SUMIFS('caseload data'!I:I,'caseload data'!$D:$D,"PO",'caseload data'!$C:$C,'community caseload'!$T$43,'caseload data'!$B:$B,{"licence","community"}))</f>
        <v>0</v>
      </c>
      <c r="Z45" s="94">
        <f>SUM(SUMIFS('caseload data'!J:J,'caseload data'!$D:$D,"PO",'caseload data'!$C:$C,'community caseload'!$T$43,'caseload data'!$B:$B,{"licence","community"}))</f>
        <v>0</v>
      </c>
      <c r="AA45" s="94">
        <f>SUM(SUMIFS('caseload data'!K:K,'caseload data'!$D:$D,"PO",'caseload data'!$C:$C,'community caseload'!$T$43,'caseload data'!$B:$B,{"licence","community"}))</f>
        <v>0</v>
      </c>
      <c r="AB45" s="94">
        <f>SUM(SUMIFS('caseload data'!L:L,'caseload data'!$D:$D,"PO",'caseload data'!$C:$C,'community caseload'!$T$43,'caseload data'!$B:$B,{"licence","community"}))</f>
        <v>0</v>
      </c>
      <c r="AC45" s="94">
        <f>SUM(SUMIFS('caseload data'!M:M,'caseload data'!$D:$D,"PO",'caseload data'!$C:$C,'community caseload'!$T$43,'caseload data'!$B:$B,{"licence","community"}))</f>
        <v>0</v>
      </c>
      <c r="AD45" s="94">
        <f>SUM(SUMIFS('caseload data'!N:N,'caseload data'!$D:$D,"PO",'caseload data'!$C:$C,'community caseload'!$T$43,'caseload data'!$B:$B,{"licence","community"}))</f>
        <v>0</v>
      </c>
      <c r="AE45" s="94">
        <f>SUM(SUMIFS('caseload data'!O:O,'caseload data'!$D:$D,"PO",'caseload data'!$C:$C,'community caseload'!$T$43,'caseload data'!$B:$B,{"licence","community"}))</f>
        <v>0</v>
      </c>
      <c r="AF45" s="94">
        <f>SUM(SUMIFS('caseload data'!P:P,'caseload data'!$D:$D,"PO",'caseload data'!$C:$C,'community caseload'!$T$43,'caseload data'!$B:$B,{"licence","community"}))</f>
        <v>0</v>
      </c>
      <c r="AG45" s="94">
        <f>SUM(SUMIFS('caseload data'!Q:Q,'caseload data'!$D:$D,"PO",'caseload data'!$C:$C,'community caseload'!$T$43,'caseload data'!$B:$B,{"licence","community"}))</f>
        <v>0</v>
      </c>
      <c r="AH45" s="94">
        <f>SUM(SUMIFS('caseload data'!R:R,'caseload data'!$D:$D,"PO",'caseload data'!$C:$C,'community caseload'!$T$43,'caseload data'!$B:$B,{"licence","community"}))</f>
        <v>0</v>
      </c>
      <c r="AI45" s="94">
        <f>SUM(SUMIFS('caseload data'!S:S,'caseload data'!$D:$D,"PO",'caseload data'!$C:$C,'community caseload'!$T$43,'caseload data'!$B:$B,{"licence","community"}))</f>
        <v>0</v>
      </c>
      <c r="AJ45" s="94">
        <f>SUM(SUMIFS('caseload data'!T:T,'caseload data'!$D:$D,"PO",'caseload data'!$C:$C,'community caseload'!$T$43,'caseload data'!$B:$B,{"licence","community"}))</f>
        <v>0</v>
      </c>
    </row>
    <row r="46" spans="2:36" x14ac:dyDescent="0.15">
      <c r="B46" s="97" t="s">
        <v>952</v>
      </c>
      <c r="C46" s="94">
        <f>SUM(SUMIFS('caseload data'!E:E,'caseload data'!$D:$D,"PSO",'caseload data'!$C:$C,'community caseload'!$B$43,'caseload data'!$B:$B,{"licence","community"}))</f>
        <v>0</v>
      </c>
      <c r="D46" s="94">
        <f>SUM(SUMIFS('caseload data'!F:F,'caseload data'!$D:$D,"PSO",'caseload data'!$C:$C,'community caseload'!$B$43,'caseload data'!$B:$B,{"licence","community"}))</f>
        <v>0</v>
      </c>
      <c r="E46" s="94">
        <f>SUM(SUMIFS('caseload data'!G:G,'caseload data'!$D:$D,"PSO",'caseload data'!$C:$C,'community caseload'!$B$43,'caseload data'!$B:$B,{"licence","community"}))</f>
        <v>0</v>
      </c>
      <c r="F46" s="94">
        <f>SUM(SUMIFS('caseload data'!H:H,'caseload data'!$D:$D,"PSO",'caseload data'!$C:$C,'community caseload'!$B$43,'caseload data'!$B:$B,{"licence","community"}))</f>
        <v>0</v>
      </c>
      <c r="G46" s="94">
        <f>SUM(SUMIFS('caseload data'!I:I,'caseload data'!$D:$D,"PSO",'caseload data'!$C:$C,'community caseload'!$B$43,'caseload data'!$B:$B,{"licence","community"}))</f>
        <v>0</v>
      </c>
      <c r="H46" s="94">
        <f>SUM(SUMIFS('caseload data'!J:J,'caseload data'!$D:$D,"PSO",'caseload data'!$C:$C,'community caseload'!$B$43,'caseload data'!$B:$B,{"licence","community"}))</f>
        <v>0</v>
      </c>
      <c r="I46" s="94">
        <f>SUM(SUMIFS('caseload data'!K:K,'caseload data'!$D:$D,"PSO",'caseload data'!$C:$C,'community caseload'!$B$43,'caseload data'!$B:$B,{"licence","community"}))</f>
        <v>0</v>
      </c>
      <c r="J46" s="94">
        <f>SUM(SUMIFS('caseload data'!L:L,'caseload data'!$D:$D,"PSO",'caseload data'!$C:$C,'community caseload'!$B$43,'caseload data'!$B:$B,{"licence","community"}))</f>
        <v>0</v>
      </c>
      <c r="K46" s="94">
        <f>SUM(SUMIFS('caseload data'!M:M,'caseload data'!$D:$D,"PSO",'caseload data'!$C:$C,'community caseload'!$B$43,'caseload data'!$B:$B,{"licence","community"}))</f>
        <v>0</v>
      </c>
      <c r="L46" s="94">
        <f>SUM(SUMIFS('caseload data'!N:N,'caseload data'!$D:$D,"PSO",'caseload data'!$C:$C,'community caseload'!$B$43,'caseload data'!$B:$B,{"licence","community"}))</f>
        <v>0</v>
      </c>
      <c r="M46" s="94">
        <f>SUM(SUMIFS('caseload data'!O:O,'caseload data'!$D:$D,"PSO",'caseload data'!$C:$C,'community caseload'!$B$43,'caseload data'!$B:$B,{"licence","community"}))</f>
        <v>0</v>
      </c>
      <c r="N46" s="94">
        <f>SUM(SUMIFS('caseload data'!P:P,'caseload data'!$D:$D,"PSO",'caseload data'!$C:$C,'community caseload'!$B$43,'caseload data'!$B:$B,{"licence","community"}))</f>
        <v>0</v>
      </c>
      <c r="O46" s="94">
        <f>SUM(SUMIFS('caseload data'!Q:Q,'caseload data'!$D:$D,"PSO",'caseload data'!$C:$C,'community caseload'!$B$43,'caseload data'!$B:$B,{"licence","community"}))</f>
        <v>0</v>
      </c>
      <c r="P46" s="94">
        <f>SUM(SUMIFS('caseload data'!R:R,'caseload data'!$D:$D,"PSO",'caseload data'!$C:$C,'community caseload'!$B$43,'caseload data'!$B:$B,{"licence","community"}))</f>
        <v>0</v>
      </c>
      <c r="Q46" s="94">
        <f>SUM(SUMIFS('caseload data'!S:S,'caseload data'!$D:$D,"PSO",'caseload data'!$C:$C,'community caseload'!$B$43,'caseload data'!$B:$B,{"licence","community"}))</f>
        <v>0</v>
      </c>
      <c r="R46" s="94">
        <f>SUM(SUMIFS('caseload data'!T:T,'caseload data'!$D:$D,"PSO",'caseload data'!$C:$C,'community caseload'!$B$43,'caseload data'!$B:$B,{"licence","community"}))</f>
        <v>0</v>
      </c>
      <c r="S46" s="64"/>
      <c r="T46" s="97" t="s">
        <v>952</v>
      </c>
      <c r="U46" s="94">
        <f>SUM(SUMIFS('caseload data'!E:E,'caseload data'!$D:$D,"PSO",'caseload data'!$C:$C,'community caseload'!$T$43,'caseload data'!$B:$B,{"licence","community"}))</f>
        <v>0</v>
      </c>
      <c r="V46" s="94">
        <f>SUM(SUMIFS('caseload data'!F:F,'caseload data'!$D:$D,"PSO",'caseload data'!$C:$C,'community caseload'!$T$43,'caseload data'!$B:$B,{"licence","community"}))</f>
        <v>0</v>
      </c>
      <c r="W46" s="94">
        <f>SUM(SUMIFS('caseload data'!G:G,'caseload data'!$D:$D,"PSO",'caseload data'!$C:$C,'community caseload'!$T$43,'caseload data'!$B:$B,{"licence","community"}))</f>
        <v>0</v>
      </c>
      <c r="X46" s="94">
        <f>SUM(SUMIFS('caseload data'!H:H,'caseload data'!$D:$D,"PSO",'caseload data'!$C:$C,'community caseload'!$T$43,'caseload data'!$B:$B,{"licence","community"}))</f>
        <v>0</v>
      </c>
      <c r="Y46" s="94">
        <f>SUM(SUMIFS('caseload data'!I:I,'caseload data'!$D:$D,"PSO",'caseload data'!$C:$C,'community caseload'!$T$43,'caseload data'!$B:$B,{"licence","community"}))</f>
        <v>0</v>
      </c>
      <c r="Z46" s="94">
        <f>SUM(SUMIFS('caseload data'!J:J,'caseload data'!$D:$D,"PSO",'caseload data'!$C:$C,'community caseload'!$T$43,'caseload data'!$B:$B,{"licence","community"}))</f>
        <v>0</v>
      </c>
      <c r="AA46" s="94">
        <f>SUM(SUMIFS('caseload data'!K:K,'caseload data'!$D:$D,"PSO",'caseload data'!$C:$C,'community caseload'!$T$43,'caseload data'!$B:$B,{"licence","community"}))</f>
        <v>0</v>
      </c>
      <c r="AB46" s="94">
        <f>SUM(SUMIFS('caseload data'!L:L,'caseload data'!$D:$D,"PSO",'caseload data'!$C:$C,'community caseload'!$T$43,'caseload data'!$B:$B,{"licence","community"}))</f>
        <v>0</v>
      </c>
      <c r="AC46" s="94">
        <f>SUM(SUMIFS('caseload data'!M:M,'caseload data'!$D:$D,"PSO",'caseload data'!$C:$C,'community caseload'!$T$43,'caseload data'!$B:$B,{"licence","community"}))</f>
        <v>0</v>
      </c>
      <c r="AD46" s="94">
        <f>SUM(SUMIFS('caseload data'!N:N,'caseload data'!$D:$D,"PSO",'caseload data'!$C:$C,'community caseload'!$T$43,'caseload data'!$B:$B,{"licence","community"}))</f>
        <v>0</v>
      </c>
      <c r="AE46" s="94">
        <f>SUM(SUMIFS('caseload data'!O:O,'caseload data'!$D:$D,"PSO",'caseload data'!$C:$C,'community caseload'!$T$43,'caseload data'!$B:$B,{"licence","community"}))</f>
        <v>0</v>
      </c>
      <c r="AF46" s="94">
        <f>SUM(SUMIFS('caseload data'!P:P,'caseload data'!$D:$D,"PSO",'caseload data'!$C:$C,'community caseload'!$T$43,'caseload data'!$B:$B,{"licence","community"}))</f>
        <v>0</v>
      </c>
      <c r="AG46" s="94">
        <f>SUM(SUMIFS('caseload data'!Q:Q,'caseload data'!$D:$D,"PSO",'caseload data'!$C:$C,'community caseload'!$T$43,'caseload data'!$B:$B,{"licence","community"}))</f>
        <v>0</v>
      </c>
      <c r="AH46" s="94">
        <f>SUM(SUMIFS('caseload data'!R:R,'caseload data'!$D:$D,"PSO",'caseload data'!$C:$C,'community caseload'!$T$43,'caseload data'!$B:$B,{"licence","community"}))</f>
        <v>0</v>
      </c>
      <c r="AI46" s="94">
        <f>SUM(SUMIFS('caseload data'!S:S,'caseload data'!$D:$D,"PSO",'caseload data'!$C:$C,'community caseload'!$T$43,'caseload data'!$B:$B,{"licence","community"}))</f>
        <v>0</v>
      </c>
      <c r="AJ46" s="94">
        <f>SUM(SUMIFS('caseload data'!T:T,'caseload data'!$D:$D,"PSO",'caseload data'!$C:$C,'community caseload'!$T$43,'caseload data'!$B:$B,{"licence","community"}))</f>
        <v>0</v>
      </c>
    </row>
    <row r="47" spans="2:36" x14ac:dyDescent="0.15">
      <c r="B47" s="97" t="s">
        <v>953</v>
      </c>
      <c r="C47" s="94">
        <f>SUM(SUMIFS('caseload data'!E:E,'caseload data'!$D:$D,"TPO",'caseload data'!$C:$C,'community caseload'!$B$43,'caseload data'!$B:$B,{"licence","community"}))</f>
        <v>0</v>
      </c>
      <c r="D47" s="94">
        <f>SUM(SUMIFS('caseload data'!F:F,'caseload data'!$D:$D,"TPO",'caseload data'!$C:$C,'community caseload'!$B$43,'caseload data'!$B:$B,{"licence","community"}))</f>
        <v>0</v>
      </c>
      <c r="E47" s="94">
        <f>SUM(SUMIFS('caseload data'!G:G,'caseload data'!$D:$D,"TPO",'caseload data'!$C:$C,'community caseload'!$B$43,'caseload data'!$B:$B,{"licence","community"}))</f>
        <v>0</v>
      </c>
      <c r="F47" s="94">
        <f>SUM(SUMIFS('caseload data'!H:H,'caseload data'!$D:$D,"TPO",'caseload data'!$C:$C,'community caseload'!$B$43,'caseload data'!$B:$B,{"licence","community"}))</f>
        <v>0</v>
      </c>
      <c r="G47" s="94">
        <f>SUM(SUMIFS('caseload data'!I:I,'caseload data'!$D:$D,"TPO",'caseload data'!$C:$C,'community caseload'!$B$43,'caseload data'!$B:$B,{"licence","community"}))</f>
        <v>0</v>
      </c>
      <c r="H47" s="94">
        <f>SUM(SUMIFS('caseload data'!J:J,'caseload data'!$D:$D,"TPO",'caseload data'!$C:$C,'community caseload'!$B$43,'caseload data'!$B:$B,{"licence","community"}))</f>
        <v>0</v>
      </c>
      <c r="I47" s="94">
        <f>SUM(SUMIFS('caseload data'!K:K,'caseload data'!$D:$D,"TPO",'caseload data'!$C:$C,'community caseload'!$B$43,'caseload data'!$B:$B,{"licence","community"}))</f>
        <v>0</v>
      </c>
      <c r="J47" s="94">
        <f>SUM(SUMIFS('caseload data'!L:L,'caseload data'!$D:$D,"TPO",'caseload data'!$C:$C,'community caseload'!$B$43,'caseload data'!$B:$B,{"licence","community"}))</f>
        <v>0</v>
      </c>
      <c r="K47" s="94">
        <f>SUM(SUMIFS('caseload data'!M:M,'caseload data'!$D:$D,"TPO",'caseload data'!$C:$C,'community caseload'!$B$43,'caseload data'!$B:$B,{"licence","community"}))</f>
        <v>0</v>
      </c>
      <c r="L47" s="94">
        <f>SUM(SUMIFS('caseload data'!N:N,'caseload data'!$D:$D,"TPO",'caseload data'!$C:$C,'community caseload'!$B$43,'caseload data'!$B:$B,{"licence","community"}))</f>
        <v>0</v>
      </c>
      <c r="M47" s="94">
        <f>SUM(SUMIFS('caseload data'!O:O,'caseload data'!$D:$D,"TPO",'caseload data'!$C:$C,'community caseload'!$B$43,'caseload data'!$B:$B,{"licence","community"}))</f>
        <v>0</v>
      </c>
      <c r="N47" s="94">
        <f>SUM(SUMIFS('caseload data'!P:P,'caseload data'!$D:$D,"TPO",'caseload data'!$C:$C,'community caseload'!$B$43,'caseload data'!$B:$B,{"licence","community"}))</f>
        <v>0</v>
      </c>
      <c r="O47" s="94">
        <f>SUM(SUMIFS('caseload data'!Q:Q,'caseload data'!$D:$D,"TPO",'caseload data'!$C:$C,'community caseload'!$B$43,'caseload data'!$B:$B,{"licence","community"}))</f>
        <v>0</v>
      </c>
      <c r="P47" s="94">
        <f>SUM(SUMIFS('caseload data'!R:R,'caseload data'!$D:$D,"TPO",'caseload data'!$C:$C,'community caseload'!$B$43,'caseload data'!$B:$B,{"licence","community"}))</f>
        <v>0</v>
      </c>
      <c r="Q47" s="94">
        <f>SUM(SUMIFS('caseload data'!S:S,'caseload data'!$D:$D,"TPO",'caseload data'!$C:$C,'community caseload'!$B$43,'caseload data'!$B:$B,{"licence","community"}))</f>
        <v>0</v>
      </c>
      <c r="R47" s="94">
        <f>SUM(SUMIFS('caseload data'!T:T,'caseload data'!$D:$D,"TPO",'caseload data'!$C:$C,'community caseload'!$B$43,'caseload data'!$B:$B,{"licence","community"}))</f>
        <v>0</v>
      </c>
      <c r="S47" s="64"/>
      <c r="T47" s="97" t="s">
        <v>953</v>
      </c>
      <c r="U47" s="94">
        <f>SUM(SUMIFS('caseload data'!E:E,'caseload data'!$D:$D,"TPO",'caseload data'!$C:$C,'community caseload'!$T$43,'caseload data'!$B:$B,{"licence","community"}))</f>
        <v>0</v>
      </c>
      <c r="V47" s="94">
        <f>SUM(SUMIFS('caseload data'!F:F,'caseload data'!$D:$D,"TPO",'caseload data'!$C:$C,'community caseload'!$T$43,'caseload data'!$B:$B,{"licence","community"}))</f>
        <v>0</v>
      </c>
      <c r="W47" s="94">
        <f>SUM(SUMIFS('caseload data'!G:G,'caseload data'!$D:$D,"TPO",'caseload data'!$C:$C,'community caseload'!$T$43,'caseload data'!$B:$B,{"licence","community"}))</f>
        <v>0</v>
      </c>
      <c r="X47" s="94">
        <f>SUM(SUMIFS('caseload data'!H:H,'caseload data'!$D:$D,"TPO",'caseload data'!$C:$C,'community caseload'!$T$43,'caseload data'!$B:$B,{"licence","community"}))</f>
        <v>0</v>
      </c>
      <c r="Y47" s="94">
        <f>SUM(SUMIFS('caseload data'!I:I,'caseload data'!$D:$D,"TPO",'caseload data'!$C:$C,'community caseload'!$T$43,'caseload data'!$B:$B,{"licence","community"}))</f>
        <v>0</v>
      </c>
      <c r="Z47" s="94">
        <f>SUM(SUMIFS('caseload data'!J:J,'caseload data'!$D:$D,"TPO",'caseload data'!$C:$C,'community caseload'!$T$43,'caseload data'!$B:$B,{"licence","community"}))</f>
        <v>0</v>
      </c>
      <c r="AA47" s="94">
        <f>SUM(SUMIFS('caseload data'!K:K,'caseload data'!$D:$D,"TPO",'caseload data'!$C:$C,'community caseload'!$T$43,'caseload data'!$B:$B,{"licence","community"}))</f>
        <v>0</v>
      </c>
      <c r="AB47" s="94">
        <f>SUM(SUMIFS('caseload data'!L:L,'caseload data'!$D:$D,"TPO",'caseload data'!$C:$C,'community caseload'!$T$43,'caseload data'!$B:$B,{"licence","community"}))</f>
        <v>0</v>
      </c>
      <c r="AC47" s="94">
        <f>SUM(SUMIFS('caseload data'!M:M,'caseload data'!$D:$D,"TPO",'caseload data'!$C:$C,'community caseload'!$T$43,'caseload data'!$B:$B,{"licence","community"}))</f>
        <v>0</v>
      </c>
      <c r="AD47" s="94">
        <f>SUM(SUMIFS('caseload data'!N:N,'caseload data'!$D:$D,"TPO",'caseload data'!$C:$C,'community caseload'!$T$43,'caseload data'!$B:$B,{"licence","community"}))</f>
        <v>0</v>
      </c>
      <c r="AE47" s="94">
        <f>SUM(SUMIFS('caseload data'!O:O,'caseload data'!$D:$D,"TPO",'caseload data'!$C:$C,'community caseload'!$T$43,'caseload data'!$B:$B,{"licence","community"}))</f>
        <v>0</v>
      </c>
      <c r="AF47" s="94">
        <f>SUM(SUMIFS('caseload data'!P:P,'caseload data'!$D:$D,"TPO",'caseload data'!$C:$C,'community caseload'!$T$43,'caseload data'!$B:$B,{"licence","community"}))</f>
        <v>0</v>
      </c>
      <c r="AG47" s="94">
        <f>SUM(SUMIFS('caseload data'!Q:Q,'caseload data'!$D:$D,"TPO",'caseload data'!$C:$C,'community caseload'!$T$43,'caseload data'!$B:$B,{"licence","community"}))</f>
        <v>0</v>
      </c>
      <c r="AH47" s="94">
        <f>SUM(SUMIFS('caseload data'!R:R,'caseload data'!$D:$D,"TPO",'caseload data'!$C:$C,'community caseload'!$T$43,'caseload data'!$B:$B,{"licence","community"}))</f>
        <v>0</v>
      </c>
      <c r="AI47" s="94">
        <f>SUM(SUMIFS('caseload data'!S:S,'caseload data'!$D:$D,"TPO",'caseload data'!$C:$C,'community caseload'!$T$43,'caseload data'!$B:$B,{"licence","community"}))</f>
        <v>0</v>
      </c>
      <c r="AJ47" s="94">
        <f>SUM(SUMIFS('caseload data'!T:T,'caseload data'!$D:$D,"TPO",'caseload data'!$C:$C,'community caseload'!$T$43,'caseload data'!$B:$B,{"licence","community"}))</f>
        <v>0</v>
      </c>
    </row>
    <row r="48" spans="2:36" x14ac:dyDescent="0.15">
      <c r="B48" s="98" t="s">
        <v>954</v>
      </c>
      <c r="C48" s="94">
        <f>SUM(SUMIFS('caseload data'!E:E,'caseload data'!$D:$D,"SPO",'caseload data'!$C:$C,'community caseload'!$B$43,'caseload data'!$B:$B,{"licence","community"}))</f>
        <v>0</v>
      </c>
      <c r="D48" s="94">
        <f>SUM(SUMIFS('caseload data'!F:F,'caseload data'!$D:$D,"SPO",'caseload data'!$C:$C,'community caseload'!$B$43,'caseload data'!$B:$B,{"licence","community"}))</f>
        <v>0</v>
      </c>
      <c r="E48" s="94">
        <f>SUM(SUMIFS('caseload data'!G:G,'caseload data'!$D:$D,"SPO",'caseload data'!$C:$C,'community caseload'!$B$43,'caseload data'!$B:$B,{"licence","community"}))</f>
        <v>0</v>
      </c>
      <c r="F48" s="94">
        <f>SUM(SUMIFS('caseload data'!H:H,'caseload data'!$D:$D,"SPO",'caseload data'!$C:$C,'community caseload'!$B$43,'caseload data'!$B:$B,{"licence","community"}))</f>
        <v>0</v>
      </c>
      <c r="G48" s="94">
        <f>SUM(SUMIFS('caseload data'!I:I,'caseload data'!$D:$D,"SPO",'caseload data'!$C:$C,'community caseload'!$B$43,'caseload data'!$B:$B,{"licence","community"}))</f>
        <v>0</v>
      </c>
      <c r="H48" s="94">
        <f>SUM(SUMIFS('caseload data'!J:J,'caseload data'!$D:$D,"SPO",'caseload data'!$C:$C,'community caseload'!$B$43,'caseload data'!$B:$B,{"licence","community"}))</f>
        <v>0</v>
      </c>
      <c r="I48" s="94">
        <f>SUM(SUMIFS('caseload data'!K:K,'caseload data'!$D:$D,"SPO",'caseload data'!$C:$C,'community caseload'!$B$43,'caseload data'!$B:$B,{"licence","community"}))</f>
        <v>0</v>
      </c>
      <c r="J48" s="94">
        <f>SUM(SUMIFS('caseload data'!L:L,'caseload data'!$D:$D,"SPO",'caseload data'!$C:$C,'community caseload'!$B$43,'caseload data'!$B:$B,{"licence","community"}))</f>
        <v>0</v>
      </c>
      <c r="K48" s="94">
        <f>SUM(SUMIFS('caseload data'!M:M,'caseload data'!$D:$D,"SPO",'caseload data'!$C:$C,'community caseload'!$B$43,'caseload data'!$B:$B,{"licence","community"}))</f>
        <v>0</v>
      </c>
      <c r="L48" s="94">
        <f>SUM(SUMIFS('caseload data'!N:N,'caseload data'!$D:$D,"SPO",'caseload data'!$C:$C,'community caseload'!$B$43,'caseload data'!$B:$B,{"licence","community"}))</f>
        <v>0</v>
      </c>
      <c r="M48" s="94">
        <f>SUM(SUMIFS('caseload data'!O:O,'caseload data'!$D:$D,"SPO",'caseload data'!$C:$C,'community caseload'!$B$43,'caseload data'!$B:$B,{"licence","community"}))</f>
        <v>0</v>
      </c>
      <c r="N48" s="94">
        <f>SUM(SUMIFS('caseload data'!P:P,'caseload data'!$D:$D,"SPO",'caseload data'!$C:$C,'community caseload'!$B$43,'caseload data'!$B:$B,{"licence","community"}))</f>
        <v>0</v>
      </c>
      <c r="O48" s="94">
        <f>SUM(SUMIFS('caseload data'!Q:Q,'caseload data'!$D:$D,"SPO",'caseload data'!$C:$C,'community caseload'!$B$43,'caseload data'!$B:$B,{"licence","community"}))</f>
        <v>0</v>
      </c>
      <c r="P48" s="94">
        <f>SUM(SUMIFS('caseload data'!R:R,'caseload data'!$D:$D,"SPO",'caseload data'!$C:$C,'community caseload'!$B$43,'caseload data'!$B:$B,{"licence","community"}))</f>
        <v>0</v>
      </c>
      <c r="Q48" s="94">
        <f>SUM(SUMIFS('caseload data'!S:S,'caseload data'!$D:$D,"SPO",'caseload data'!$C:$C,'community caseload'!$B$43,'caseload data'!$B:$B,{"licence","community"}))</f>
        <v>0</v>
      </c>
      <c r="R48" s="94">
        <f>SUM(SUMIFS('caseload data'!T:T,'caseload data'!$D:$D,"SPO",'caseload data'!$C:$C,'community caseload'!$B$43,'caseload data'!$B:$B,{"licence","community"}))</f>
        <v>0</v>
      </c>
      <c r="S48" s="64"/>
      <c r="T48" s="98" t="s">
        <v>954</v>
      </c>
      <c r="U48" s="94">
        <f>SUM(SUMIFS('caseload data'!E:E,'caseload data'!$D:$D,"SPO",'caseload data'!$C:$C,'community caseload'!$T$43,'caseload data'!$B:$B,{"licence","community"}))</f>
        <v>0</v>
      </c>
      <c r="V48" s="94">
        <f>SUM(SUMIFS('caseload data'!F:F,'caseload data'!$D:$D,"SPO",'caseload data'!$C:$C,'community caseload'!$T$43,'caseload data'!$B:$B,{"licence","community"}))</f>
        <v>0</v>
      </c>
      <c r="W48" s="94">
        <f>SUM(SUMIFS('caseload data'!G:G,'caseload data'!$D:$D,"SPO",'caseload data'!$C:$C,'community caseload'!$T$43,'caseload data'!$B:$B,{"licence","community"}))</f>
        <v>0</v>
      </c>
      <c r="X48" s="94">
        <f>SUM(SUMIFS('caseload data'!H:H,'caseload data'!$D:$D,"SPO",'caseload data'!$C:$C,'community caseload'!$T$43,'caseload data'!$B:$B,{"licence","community"}))</f>
        <v>0</v>
      </c>
      <c r="Y48" s="94">
        <f>SUM(SUMIFS('caseload data'!I:I,'caseload data'!$D:$D,"SPO",'caseload data'!$C:$C,'community caseload'!$T$43,'caseload data'!$B:$B,{"licence","community"}))</f>
        <v>0</v>
      </c>
      <c r="Z48" s="94">
        <f>SUM(SUMIFS('caseload data'!J:J,'caseload data'!$D:$D,"SPO",'caseload data'!$C:$C,'community caseload'!$T$43,'caseload data'!$B:$B,{"licence","community"}))</f>
        <v>0</v>
      </c>
      <c r="AA48" s="94">
        <f>SUM(SUMIFS('caseload data'!K:K,'caseload data'!$D:$D,"SPO",'caseload data'!$C:$C,'community caseload'!$T$43,'caseload data'!$B:$B,{"licence","community"}))</f>
        <v>0</v>
      </c>
      <c r="AB48" s="94">
        <f>SUM(SUMIFS('caseload data'!L:L,'caseload data'!$D:$D,"SPO",'caseload data'!$C:$C,'community caseload'!$T$43,'caseload data'!$B:$B,{"licence","community"}))</f>
        <v>0</v>
      </c>
      <c r="AC48" s="94">
        <f>SUM(SUMIFS('caseload data'!M:M,'caseload data'!$D:$D,"SPO",'caseload data'!$C:$C,'community caseload'!$T$43,'caseload data'!$B:$B,{"licence","community"}))</f>
        <v>0</v>
      </c>
      <c r="AD48" s="94">
        <f>SUM(SUMIFS('caseload data'!N:N,'caseload data'!$D:$D,"SPO",'caseload data'!$C:$C,'community caseload'!$T$43,'caseload data'!$B:$B,{"licence","community"}))</f>
        <v>0</v>
      </c>
      <c r="AE48" s="94">
        <f>SUM(SUMIFS('caseload data'!O:O,'caseload data'!$D:$D,"SPO",'caseload data'!$C:$C,'community caseload'!$T$43,'caseload data'!$B:$B,{"licence","community"}))</f>
        <v>0</v>
      </c>
      <c r="AF48" s="94">
        <f>SUM(SUMIFS('caseload data'!P:P,'caseload data'!$D:$D,"SPO",'caseload data'!$C:$C,'community caseload'!$T$43,'caseload data'!$B:$B,{"licence","community"}))</f>
        <v>0</v>
      </c>
      <c r="AG48" s="94">
        <f>SUM(SUMIFS('caseload data'!Q:Q,'caseload data'!$D:$D,"SPO",'caseload data'!$C:$C,'community caseload'!$T$43,'caseload data'!$B:$B,{"licence","community"}))</f>
        <v>0</v>
      </c>
      <c r="AH48" s="94">
        <f>SUM(SUMIFS('caseload data'!R:R,'caseload data'!$D:$D,"SPO",'caseload data'!$C:$C,'community caseload'!$T$43,'caseload data'!$B:$B,{"licence","community"}))</f>
        <v>0</v>
      </c>
      <c r="AI48" s="94">
        <f>SUM(SUMIFS('caseload data'!S:S,'caseload data'!$D:$D,"SPO",'caseload data'!$C:$C,'community caseload'!$T$43,'caseload data'!$B:$B,{"licence","community"}))</f>
        <v>0</v>
      </c>
      <c r="AJ48" s="94">
        <f>SUM(SUMIFS('caseload data'!T:T,'caseload data'!$D:$D,"SPO",'caseload data'!$C:$C,'community caseload'!$T$43,'caseload data'!$B:$B,{"licence","community"}))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7" customHeight="1" x14ac:dyDescent="0.15">
      <c r="B50" s="288">
        <f>HLOOKUP($B$5,Region_Table,14,0)</f>
        <v>0</v>
      </c>
      <c r="C50" s="540" t="s">
        <v>1077</v>
      </c>
      <c r="D50" s="541"/>
      <c r="E50" s="541"/>
      <c r="F50" s="541"/>
      <c r="G50" s="541"/>
      <c r="H50" s="541"/>
      <c r="I50" s="541"/>
      <c r="J50" s="541"/>
      <c r="K50" s="541"/>
      <c r="L50" s="541"/>
      <c r="M50" s="570"/>
      <c r="N50" s="570"/>
      <c r="O50" s="571"/>
      <c r="P50" s="543" cm="1">
        <f t="array" ref="P50">SUM(SUMIFS('caseload data'!V:V,'caseload data'!B:B,{"licence","community"},'caseload data'!$C:$C,'community caseload'!B50))</f>
        <v>0</v>
      </c>
      <c r="Q50" s="560"/>
      <c r="R50" s="561"/>
      <c r="S50" s="290"/>
      <c r="T50" s="288">
        <f>HLOOKUP($B$5,Region_Table,15,0)</f>
        <v>0</v>
      </c>
      <c r="U50" s="540" t="s">
        <v>1077</v>
      </c>
      <c r="V50" s="541"/>
      <c r="W50" s="541"/>
      <c r="X50" s="541"/>
      <c r="Y50" s="541"/>
      <c r="Z50" s="541"/>
      <c r="AA50" s="541"/>
      <c r="AB50" s="541"/>
      <c r="AC50" s="541"/>
      <c r="AD50" s="541"/>
      <c r="AE50" s="570"/>
      <c r="AF50" s="570"/>
      <c r="AG50" s="571"/>
      <c r="AH50" s="543" cm="1">
        <f t="array" ref="AH50">SUM(SUMIFS('caseload data'!V:V,'caseload data'!B:B,{"licence","community"},'caseload data'!$C:$C,'community caseload'!T50))</f>
        <v>0</v>
      </c>
      <c r="AI50" s="560"/>
      <c r="AJ50" s="561"/>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94">
        <f>SUM(SUMIFS('caseload data'!E:E,'caseload data'!$D:$D,"PO",'caseload data'!$C:$C,'community caseload'!$B$50,'caseload data'!$B:$B,{"licence","community"}))</f>
        <v>0</v>
      </c>
      <c r="D52" s="94">
        <f>SUM(SUMIFS('caseload data'!F:F,'caseload data'!$D:$D,"PO",'caseload data'!$C:$C,'community caseload'!$B$50,'caseload data'!$B:$B,{"licence","community"}))</f>
        <v>0</v>
      </c>
      <c r="E52" s="94">
        <f>SUM(SUMIFS('caseload data'!G:G,'caseload data'!$D:$D,"PO",'caseload data'!$C:$C,'community caseload'!$B$50,'caseload data'!$B:$B,{"licence","community"}))</f>
        <v>0</v>
      </c>
      <c r="F52" s="94">
        <f>SUM(SUMIFS('caseload data'!H:H,'caseload data'!$D:$D,"PO",'caseload data'!$C:$C,'community caseload'!$B$50,'caseload data'!$B:$B,{"licence","community"}))</f>
        <v>0</v>
      </c>
      <c r="G52" s="94">
        <f>SUM(SUMIFS('caseload data'!I:I,'caseload data'!$D:$D,"PO",'caseload data'!$C:$C,'community caseload'!$B$50,'caseload data'!$B:$B,{"licence","community"}))</f>
        <v>0</v>
      </c>
      <c r="H52" s="94">
        <f>SUM(SUMIFS('caseload data'!J:J,'caseload data'!$D:$D,"PO",'caseload data'!$C:$C,'community caseload'!$B$50,'caseload data'!$B:$B,{"licence","community"}))</f>
        <v>0</v>
      </c>
      <c r="I52" s="94">
        <f>SUM(SUMIFS('caseload data'!K:K,'caseload data'!$D:$D,"PO",'caseload data'!$C:$C,'community caseload'!$B$50,'caseload data'!$B:$B,{"licence","community"}))</f>
        <v>0</v>
      </c>
      <c r="J52" s="94">
        <f>SUM(SUMIFS('caseload data'!L:L,'caseload data'!$D:$D,"PO",'caseload data'!$C:$C,'community caseload'!$B$50,'caseload data'!$B:$B,{"licence","community"}))</f>
        <v>0</v>
      </c>
      <c r="K52" s="94">
        <f>SUM(SUMIFS('caseload data'!M:M,'caseload data'!$D:$D,"PO",'caseload data'!$C:$C,'community caseload'!$B$50,'caseload data'!$B:$B,{"licence","community"}))</f>
        <v>0</v>
      </c>
      <c r="L52" s="94">
        <f>SUM(SUMIFS('caseload data'!N:N,'caseload data'!$D:$D,"PO",'caseload data'!$C:$C,'community caseload'!$B$50,'caseload data'!$B:$B,{"licence","community"}))</f>
        <v>0</v>
      </c>
      <c r="M52" s="94">
        <f>SUM(SUMIFS('caseload data'!O:O,'caseload data'!$D:$D,"PO",'caseload data'!$C:$C,'community caseload'!$B$50,'caseload data'!$B:$B,{"licence","community"}))</f>
        <v>0</v>
      </c>
      <c r="N52" s="94">
        <f>SUM(SUMIFS('caseload data'!P:P,'caseload data'!$D:$D,"PO",'caseload data'!$C:$C,'community caseload'!$B$50,'caseload data'!$B:$B,{"licence","community"}))</f>
        <v>0</v>
      </c>
      <c r="O52" s="94">
        <f>SUM(SUMIFS('caseload data'!Q:Q,'caseload data'!$D:$D,"PO",'caseload data'!$C:$C,'community caseload'!$B$50,'caseload data'!$B:$B,{"licence","community"}))</f>
        <v>0</v>
      </c>
      <c r="P52" s="94">
        <f>SUM(SUMIFS('caseload data'!R:R,'caseload data'!$D:$D,"PO",'caseload data'!$C:$C,'community caseload'!$B$50,'caseload data'!$B:$B,{"licence","community"}))</f>
        <v>0</v>
      </c>
      <c r="Q52" s="94">
        <f>SUM(SUMIFS('caseload data'!S:S,'caseload data'!$D:$D,"PO",'caseload data'!$C:$C,'community caseload'!$B$50,'caseload data'!$B:$B,{"licence","community"}))</f>
        <v>0</v>
      </c>
      <c r="R52" s="94">
        <f>SUM(SUMIFS('caseload data'!T:T,'caseload data'!$D:$D,"PO",'caseload data'!$C:$C,'community caseload'!$B$50,'caseload data'!$B:$B,{"licence","community"}))</f>
        <v>0</v>
      </c>
      <c r="S52" s="64"/>
      <c r="T52" s="96" t="s">
        <v>947</v>
      </c>
      <c r="U52" s="94">
        <f>SUM(SUMIFS('caseload data'!E:E,'caseload data'!$D:$D,"PO",'caseload data'!$C:$C,'community caseload'!$T$50,'caseload data'!$B:$B,{"licence","community"}))</f>
        <v>0</v>
      </c>
      <c r="V52" s="94">
        <f>SUM(SUMIFS('caseload data'!F:F,'caseload data'!$D:$D,"PO",'caseload data'!$C:$C,'community caseload'!$T$50,'caseload data'!$B:$B,{"licence","community"}))</f>
        <v>0</v>
      </c>
      <c r="W52" s="94">
        <f>SUM(SUMIFS('caseload data'!G:G,'caseload data'!$D:$D,"PO",'caseload data'!$C:$C,'community caseload'!$T$50,'caseload data'!$B:$B,{"licence","community"}))</f>
        <v>0</v>
      </c>
      <c r="X52" s="94">
        <f>SUM(SUMIFS('caseload data'!H:H,'caseload data'!$D:$D,"PO",'caseload data'!$C:$C,'community caseload'!$T$50,'caseload data'!$B:$B,{"licence","community"}))</f>
        <v>0</v>
      </c>
      <c r="Y52" s="94">
        <f>SUM(SUMIFS('caseload data'!I:I,'caseload data'!$D:$D,"PO",'caseload data'!$C:$C,'community caseload'!$T$50,'caseload data'!$B:$B,{"licence","community"}))</f>
        <v>0</v>
      </c>
      <c r="Z52" s="94">
        <f>SUM(SUMIFS('caseload data'!J:J,'caseload data'!$D:$D,"PO",'caseload data'!$C:$C,'community caseload'!$T$50,'caseload data'!$B:$B,{"licence","community"}))</f>
        <v>0</v>
      </c>
      <c r="AA52" s="94">
        <f>SUM(SUMIFS('caseload data'!K:K,'caseload data'!$D:$D,"PO",'caseload data'!$C:$C,'community caseload'!$T$50,'caseload data'!$B:$B,{"licence","community"}))</f>
        <v>0</v>
      </c>
      <c r="AB52" s="94">
        <f>SUM(SUMIFS('caseload data'!L:L,'caseload data'!$D:$D,"PO",'caseload data'!$C:$C,'community caseload'!$T$50,'caseload data'!$B:$B,{"licence","community"}))</f>
        <v>0</v>
      </c>
      <c r="AC52" s="94">
        <f>SUM(SUMIFS('caseload data'!M:M,'caseload data'!$D:$D,"PO",'caseload data'!$C:$C,'community caseload'!$T$50,'caseload data'!$B:$B,{"licence","community"}))</f>
        <v>0</v>
      </c>
      <c r="AD52" s="94">
        <f>SUM(SUMIFS('caseload data'!N:N,'caseload data'!$D:$D,"PO",'caseload data'!$C:$C,'community caseload'!$T$50,'caseload data'!$B:$B,{"licence","community"}))</f>
        <v>0</v>
      </c>
      <c r="AE52" s="94">
        <f>SUM(SUMIFS('caseload data'!O:O,'caseload data'!$D:$D,"PO",'caseload data'!$C:$C,'community caseload'!$T$50,'caseload data'!$B:$B,{"licence","community"}))</f>
        <v>0</v>
      </c>
      <c r="AF52" s="94">
        <f>SUM(SUMIFS('caseload data'!P:P,'caseload data'!$D:$D,"PO",'caseload data'!$C:$C,'community caseload'!$T$50,'caseload data'!$B:$B,{"licence","community"}))</f>
        <v>0</v>
      </c>
      <c r="AG52" s="94">
        <f>SUM(SUMIFS('caseload data'!Q:Q,'caseload data'!$D:$D,"PO",'caseload data'!$C:$C,'community caseload'!$T$50,'caseload data'!$B:$B,{"licence","community"}))</f>
        <v>0</v>
      </c>
      <c r="AH52" s="94">
        <f>SUM(SUMIFS('caseload data'!R:R,'caseload data'!$D:$D,"PO",'caseload data'!$C:$C,'community caseload'!$T$50,'caseload data'!$B:$B,{"licence","community"}))</f>
        <v>0</v>
      </c>
      <c r="AI52" s="94">
        <f>SUM(SUMIFS('caseload data'!S:S,'caseload data'!$D:$D,"PO",'caseload data'!$C:$C,'community caseload'!$T$50,'caseload data'!$B:$B,{"licence","community"}))</f>
        <v>0</v>
      </c>
      <c r="AJ52" s="94">
        <f>SUM(SUMIFS('caseload data'!T:T,'caseload data'!$D:$D,"PO",'caseload data'!$C:$C,'community caseload'!$T$50,'caseload data'!$B:$B,{"licence","community"}))</f>
        <v>0</v>
      </c>
    </row>
    <row r="53" spans="2:36" x14ac:dyDescent="0.15">
      <c r="B53" s="97" t="s">
        <v>952</v>
      </c>
      <c r="C53" s="94">
        <f>SUM(SUMIFS('caseload data'!E:E,'caseload data'!$D:$D,"PSO",'caseload data'!$C:$C,'community caseload'!$B$50,'caseload data'!$B:$B,{"licence","community"}))</f>
        <v>0</v>
      </c>
      <c r="D53" s="94">
        <f>SUM(SUMIFS('caseload data'!F:F,'caseload data'!$D:$D,"PSO",'caseload data'!$C:$C,'community caseload'!$B$50,'caseload data'!$B:$B,{"licence","community"}))</f>
        <v>0</v>
      </c>
      <c r="E53" s="94">
        <f>SUM(SUMIFS('caseload data'!G:G,'caseload data'!$D:$D,"PSO",'caseload data'!$C:$C,'community caseload'!$B$50,'caseload data'!$B:$B,{"licence","community"}))</f>
        <v>0</v>
      </c>
      <c r="F53" s="94">
        <f>SUM(SUMIFS('caseload data'!H:H,'caseload data'!$D:$D,"PSO",'caseload data'!$C:$C,'community caseload'!$B$50,'caseload data'!$B:$B,{"licence","community"}))</f>
        <v>0</v>
      </c>
      <c r="G53" s="94">
        <f>SUM(SUMIFS('caseload data'!I:I,'caseload data'!$D:$D,"PSO",'caseload data'!$C:$C,'community caseload'!$B$50,'caseload data'!$B:$B,{"licence","community"}))</f>
        <v>0</v>
      </c>
      <c r="H53" s="94">
        <f>SUM(SUMIFS('caseload data'!J:J,'caseload data'!$D:$D,"PSO",'caseload data'!$C:$C,'community caseload'!$B$50,'caseload data'!$B:$B,{"licence","community"}))</f>
        <v>0</v>
      </c>
      <c r="I53" s="94">
        <f>SUM(SUMIFS('caseload data'!K:K,'caseload data'!$D:$D,"PSO",'caseload data'!$C:$C,'community caseload'!$B$50,'caseload data'!$B:$B,{"licence","community"}))</f>
        <v>0</v>
      </c>
      <c r="J53" s="94">
        <f>SUM(SUMIFS('caseload data'!L:L,'caseload data'!$D:$D,"PSO",'caseload data'!$C:$C,'community caseload'!$B$50,'caseload data'!$B:$B,{"licence","community"}))</f>
        <v>0</v>
      </c>
      <c r="K53" s="94">
        <f>SUM(SUMIFS('caseload data'!M:M,'caseload data'!$D:$D,"PSO",'caseload data'!$C:$C,'community caseload'!$B$50,'caseload data'!$B:$B,{"licence","community"}))</f>
        <v>0</v>
      </c>
      <c r="L53" s="94">
        <f>SUM(SUMIFS('caseload data'!N:N,'caseload data'!$D:$D,"PSO",'caseload data'!$C:$C,'community caseload'!$B$50,'caseload data'!$B:$B,{"licence","community"}))</f>
        <v>0</v>
      </c>
      <c r="M53" s="94">
        <f>SUM(SUMIFS('caseload data'!O:O,'caseload data'!$D:$D,"PSO",'caseload data'!$C:$C,'community caseload'!$B$50,'caseload data'!$B:$B,{"licence","community"}))</f>
        <v>0</v>
      </c>
      <c r="N53" s="94">
        <f>SUM(SUMIFS('caseload data'!P:P,'caseload data'!$D:$D,"PSO",'caseload data'!$C:$C,'community caseload'!$B$50,'caseload data'!$B:$B,{"licence","community"}))</f>
        <v>0</v>
      </c>
      <c r="O53" s="94">
        <f>SUM(SUMIFS('caseload data'!Q:Q,'caseload data'!$D:$D,"PSO",'caseload data'!$C:$C,'community caseload'!$B$50,'caseload data'!$B:$B,{"licence","community"}))</f>
        <v>0</v>
      </c>
      <c r="P53" s="94">
        <f>SUM(SUMIFS('caseload data'!R:R,'caseload data'!$D:$D,"PSO",'caseload data'!$C:$C,'community caseload'!$B$50,'caseload data'!$B:$B,{"licence","community"}))</f>
        <v>0</v>
      </c>
      <c r="Q53" s="94">
        <f>SUM(SUMIFS('caseload data'!S:S,'caseload data'!$D:$D,"PSO",'caseload data'!$C:$C,'community caseload'!$B$50,'caseload data'!$B:$B,{"licence","community"}))</f>
        <v>0</v>
      </c>
      <c r="R53" s="94">
        <f>SUM(SUMIFS('caseload data'!T:T,'caseload data'!$D:$D,"PSO",'caseload data'!$C:$C,'community caseload'!$B$50,'caseload data'!$B:$B,{"licence","community"}))</f>
        <v>0</v>
      </c>
      <c r="S53" s="64"/>
      <c r="T53" s="97" t="s">
        <v>952</v>
      </c>
      <c r="U53" s="94">
        <f>SUM(SUMIFS('caseload data'!E:E,'caseload data'!$D:$D,"PSO",'caseload data'!$C:$C,'community caseload'!$T$50,'caseload data'!$B:$B,{"licence","community"}))</f>
        <v>0</v>
      </c>
      <c r="V53" s="94">
        <f>SUM(SUMIFS('caseload data'!F:F,'caseload data'!$D:$D,"PSO",'caseload data'!$C:$C,'community caseload'!$T$50,'caseload data'!$B:$B,{"licence","community"}))</f>
        <v>0</v>
      </c>
      <c r="W53" s="94">
        <f>SUM(SUMIFS('caseload data'!G:G,'caseload data'!$D:$D,"PSO",'caseload data'!$C:$C,'community caseload'!$T$50,'caseload data'!$B:$B,{"licence","community"}))</f>
        <v>0</v>
      </c>
      <c r="X53" s="94">
        <f>SUM(SUMIFS('caseload data'!H:H,'caseload data'!$D:$D,"PSO",'caseload data'!$C:$C,'community caseload'!$T$50,'caseload data'!$B:$B,{"licence","community"}))</f>
        <v>0</v>
      </c>
      <c r="Y53" s="94">
        <f>SUM(SUMIFS('caseload data'!I:I,'caseload data'!$D:$D,"PSO",'caseload data'!$C:$C,'community caseload'!$T$50,'caseload data'!$B:$B,{"licence","community"}))</f>
        <v>0</v>
      </c>
      <c r="Z53" s="94">
        <f>SUM(SUMIFS('caseload data'!J:J,'caseload data'!$D:$D,"PSO",'caseload data'!$C:$C,'community caseload'!$T$50,'caseload data'!$B:$B,{"licence","community"}))</f>
        <v>0</v>
      </c>
      <c r="AA53" s="94">
        <f>SUM(SUMIFS('caseload data'!K:K,'caseload data'!$D:$D,"PSO",'caseload data'!$C:$C,'community caseload'!$T$50,'caseload data'!$B:$B,{"licence","community"}))</f>
        <v>0</v>
      </c>
      <c r="AB53" s="94">
        <f>SUM(SUMIFS('caseload data'!L:L,'caseload data'!$D:$D,"PSO",'caseload data'!$C:$C,'community caseload'!$T$50,'caseload data'!$B:$B,{"licence","community"}))</f>
        <v>0</v>
      </c>
      <c r="AC53" s="94">
        <f>SUM(SUMIFS('caseload data'!M:M,'caseload data'!$D:$D,"PSO",'caseload data'!$C:$C,'community caseload'!$T$50,'caseload data'!$B:$B,{"licence","community"}))</f>
        <v>0</v>
      </c>
      <c r="AD53" s="94">
        <f>SUM(SUMIFS('caseload data'!N:N,'caseload data'!$D:$D,"PSO",'caseload data'!$C:$C,'community caseload'!$T$50,'caseload data'!$B:$B,{"licence","community"}))</f>
        <v>0</v>
      </c>
      <c r="AE53" s="94">
        <f>SUM(SUMIFS('caseload data'!O:O,'caseload data'!$D:$D,"PSO",'caseload data'!$C:$C,'community caseload'!$T$50,'caseload data'!$B:$B,{"licence","community"}))</f>
        <v>0</v>
      </c>
      <c r="AF53" s="94">
        <f>SUM(SUMIFS('caseload data'!P:P,'caseload data'!$D:$D,"PSO",'caseload data'!$C:$C,'community caseload'!$T$50,'caseload data'!$B:$B,{"licence","community"}))</f>
        <v>0</v>
      </c>
      <c r="AG53" s="94">
        <f>SUM(SUMIFS('caseload data'!Q:Q,'caseload data'!$D:$D,"PSO",'caseload data'!$C:$C,'community caseload'!$T$50,'caseload data'!$B:$B,{"licence","community"}))</f>
        <v>0</v>
      </c>
      <c r="AH53" s="94">
        <f>SUM(SUMIFS('caseload data'!R:R,'caseload data'!$D:$D,"PSO",'caseload data'!$C:$C,'community caseload'!$T$50,'caseload data'!$B:$B,{"licence","community"}))</f>
        <v>0</v>
      </c>
      <c r="AI53" s="94">
        <f>SUM(SUMIFS('caseload data'!S:S,'caseload data'!$D:$D,"PSO",'caseload data'!$C:$C,'community caseload'!$T$50,'caseload data'!$B:$B,{"licence","community"}))</f>
        <v>0</v>
      </c>
      <c r="AJ53" s="94">
        <f>SUM(SUMIFS('caseload data'!T:T,'caseload data'!$D:$D,"PSO",'caseload data'!$C:$C,'community caseload'!$T$50,'caseload data'!$B:$B,{"licence","community"}))</f>
        <v>0</v>
      </c>
    </row>
    <row r="54" spans="2:36" x14ac:dyDescent="0.15">
      <c r="B54" s="97" t="s">
        <v>953</v>
      </c>
      <c r="C54" s="94">
        <f>SUM(SUMIFS('caseload data'!E:E,'caseload data'!$D:$D,"TPO",'caseload data'!$C:$C,'community caseload'!$B$50,'caseload data'!$B:$B,{"licence","community"}))</f>
        <v>0</v>
      </c>
      <c r="D54" s="94">
        <f>SUM(SUMIFS('caseload data'!F:F,'caseload data'!$D:$D,"TPO",'caseload data'!$C:$C,'community caseload'!$B$50,'caseload data'!$B:$B,{"licence","community"}))</f>
        <v>0</v>
      </c>
      <c r="E54" s="94">
        <f>SUM(SUMIFS('caseload data'!G:G,'caseload data'!$D:$D,"TPO",'caseload data'!$C:$C,'community caseload'!$B$50,'caseload data'!$B:$B,{"licence","community"}))</f>
        <v>0</v>
      </c>
      <c r="F54" s="94">
        <f>SUM(SUMIFS('caseload data'!H:H,'caseload data'!$D:$D,"TPO",'caseload data'!$C:$C,'community caseload'!$B$50,'caseload data'!$B:$B,{"licence","community"}))</f>
        <v>0</v>
      </c>
      <c r="G54" s="94">
        <f>SUM(SUMIFS('caseload data'!I:I,'caseload data'!$D:$D,"TPO",'caseload data'!$C:$C,'community caseload'!$B$50,'caseload data'!$B:$B,{"licence","community"}))</f>
        <v>0</v>
      </c>
      <c r="H54" s="94">
        <f>SUM(SUMIFS('caseload data'!J:J,'caseload data'!$D:$D,"TPO",'caseload data'!$C:$C,'community caseload'!$B$50,'caseload data'!$B:$B,{"licence","community"}))</f>
        <v>0</v>
      </c>
      <c r="I54" s="94">
        <f>SUM(SUMIFS('caseload data'!K:K,'caseload data'!$D:$D,"TPO",'caseload data'!$C:$C,'community caseload'!$B$50,'caseload data'!$B:$B,{"licence","community"}))</f>
        <v>0</v>
      </c>
      <c r="J54" s="94">
        <f>SUM(SUMIFS('caseload data'!L:L,'caseload data'!$D:$D,"TPO",'caseload data'!$C:$C,'community caseload'!$B$50,'caseload data'!$B:$B,{"licence","community"}))</f>
        <v>0</v>
      </c>
      <c r="K54" s="94">
        <f>SUM(SUMIFS('caseload data'!M:M,'caseload data'!$D:$D,"TPO",'caseload data'!$C:$C,'community caseload'!$B$50,'caseload data'!$B:$B,{"licence","community"}))</f>
        <v>0</v>
      </c>
      <c r="L54" s="94">
        <f>SUM(SUMIFS('caseload data'!N:N,'caseload data'!$D:$D,"TPO",'caseload data'!$C:$C,'community caseload'!$B$50,'caseload data'!$B:$B,{"licence","community"}))</f>
        <v>0</v>
      </c>
      <c r="M54" s="94">
        <f>SUM(SUMIFS('caseload data'!O:O,'caseload data'!$D:$D,"TPO",'caseload data'!$C:$C,'community caseload'!$B$50,'caseload data'!$B:$B,{"licence","community"}))</f>
        <v>0</v>
      </c>
      <c r="N54" s="94">
        <f>SUM(SUMIFS('caseload data'!P:P,'caseload data'!$D:$D,"TPO",'caseload data'!$C:$C,'community caseload'!$B$50,'caseload data'!$B:$B,{"licence","community"}))</f>
        <v>0</v>
      </c>
      <c r="O54" s="94">
        <f>SUM(SUMIFS('caseload data'!Q:Q,'caseload data'!$D:$D,"TPO",'caseload data'!$C:$C,'community caseload'!$B$50,'caseload data'!$B:$B,{"licence","community"}))</f>
        <v>0</v>
      </c>
      <c r="P54" s="94">
        <f>SUM(SUMIFS('caseload data'!R:R,'caseload data'!$D:$D,"TPO",'caseload data'!$C:$C,'community caseload'!$B$50,'caseload data'!$B:$B,{"licence","community"}))</f>
        <v>0</v>
      </c>
      <c r="Q54" s="94">
        <f>SUM(SUMIFS('caseload data'!S:S,'caseload data'!$D:$D,"TPO",'caseload data'!$C:$C,'community caseload'!$B$50,'caseload data'!$B:$B,{"licence","community"}))</f>
        <v>0</v>
      </c>
      <c r="R54" s="94">
        <f>SUM(SUMIFS('caseload data'!T:T,'caseload data'!$D:$D,"TPO",'caseload data'!$C:$C,'community caseload'!$B$50,'caseload data'!$B:$B,{"licence","community"}))</f>
        <v>0</v>
      </c>
      <c r="S54" s="64"/>
      <c r="T54" s="97" t="s">
        <v>953</v>
      </c>
      <c r="U54" s="94">
        <f>SUM(SUMIFS('caseload data'!E:E,'caseload data'!$D:$D,"TPO",'caseload data'!$C:$C,'community caseload'!$T$50,'caseload data'!$B:$B,{"licence","community"}))</f>
        <v>0</v>
      </c>
      <c r="V54" s="94">
        <f>SUM(SUMIFS('caseload data'!F:F,'caseload data'!$D:$D,"TPO",'caseload data'!$C:$C,'community caseload'!$T$50,'caseload data'!$B:$B,{"licence","community"}))</f>
        <v>0</v>
      </c>
      <c r="W54" s="94">
        <f>SUM(SUMIFS('caseload data'!G:G,'caseload data'!$D:$D,"TPO",'caseload data'!$C:$C,'community caseload'!$T$50,'caseload data'!$B:$B,{"licence","community"}))</f>
        <v>0</v>
      </c>
      <c r="X54" s="94">
        <f>SUM(SUMIFS('caseload data'!H:H,'caseload data'!$D:$D,"TPO",'caseload data'!$C:$C,'community caseload'!$T$50,'caseload data'!$B:$B,{"licence","community"}))</f>
        <v>0</v>
      </c>
      <c r="Y54" s="94">
        <f>SUM(SUMIFS('caseload data'!I:I,'caseload data'!$D:$D,"TPO",'caseload data'!$C:$C,'community caseload'!$T$50,'caseload data'!$B:$B,{"licence","community"}))</f>
        <v>0</v>
      </c>
      <c r="Z54" s="94">
        <f>SUM(SUMIFS('caseload data'!J:J,'caseload data'!$D:$D,"TPO",'caseload data'!$C:$C,'community caseload'!$T$50,'caseload data'!$B:$B,{"licence","community"}))</f>
        <v>0</v>
      </c>
      <c r="AA54" s="94">
        <f>SUM(SUMIFS('caseload data'!K:K,'caseload data'!$D:$D,"TPO",'caseload data'!$C:$C,'community caseload'!$T$50,'caseload data'!$B:$B,{"licence","community"}))</f>
        <v>0</v>
      </c>
      <c r="AB54" s="94">
        <f>SUM(SUMIFS('caseload data'!L:L,'caseload data'!$D:$D,"TPO",'caseload data'!$C:$C,'community caseload'!$T$50,'caseload data'!$B:$B,{"licence","community"}))</f>
        <v>0</v>
      </c>
      <c r="AC54" s="94">
        <f>SUM(SUMIFS('caseload data'!M:M,'caseload data'!$D:$D,"TPO",'caseload data'!$C:$C,'community caseload'!$T$50,'caseload data'!$B:$B,{"licence","community"}))</f>
        <v>0</v>
      </c>
      <c r="AD54" s="94">
        <f>SUM(SUMIFS('caseload data'!N:N,'caseload data'!$D:$D,"TPO",'caseload data'!$C:$C,'community caseload'!$T$50,'caseload data'!$B:$B,{"licence","community"}))</f>
        <v>0</v>
      </c>
      <c r="AE54" s="94">
        <f>SUM(SUMIFS('caseload data'!O:O,'caseload data'!$D:$D,"TPO",'caseload data'!$C:$C,'community caseload'!$T$50,'caseload data'!$B:$B,{"licence","community"}))</f>
        <v>0</v>
      </c>
      <c r="AF54" s="94">
        <f>SUM(SUMIFS('caseload data'!P:P,'caseload data'!$D:$D,"TPO",'caseload data'!$C:$C,'community caseload'!$T$50,'caseload data'!$B:$B,{"licence","community"}))</f>
        <v>0</v>
      </c>
      <c r="AG54" s="94">
        <f>SUM(SUMIFS('caseload data'!Q:Q,'caseload data'!$D:$D,"TPO",'caseload data'!$C:$C,'community caseload'!$T$50,'caseload data'!$B:$B,{"licence","community"}))</f>
        <v>0</v>
      </c>
      <c r="AH54" s="94">
        <f>SUM(SUMIFS('caseload data'!R:R,'caseload data'!$D:$D,"TPO",'caseload data'!$C:$C,'community caseload'!$T$50,'caseload data'!$B:$B,{"licence","community"}))</f>
        <v>0</v>
      </c>
      <c r="AI54" s="94">
        <f>SUM(SUMIFS('caseload data'!S:S,'caseload data'!$D:$D,"TPO",'caseload data'!$C:$C,'community caseload'!$T$50,'caseload data'!$B:$B,{"licence","community"}))</f>
        <v>0</v>
      </c>
      <c r="AJ54" s="94">
        <f>SUM(SUMIFS('caseload data'!T:T,'caseload data'!$D:$D,"TPO",'caseload data'!$C:$C,'community caseload'!$T$50,'caseload data'!$B:$B,{"licence","community"}))</f>
        <v>0</v>
      </c>
    </row>
    <row r="55" spans="2:36" x14ac:dyDescent="0.15">
      <c r="B55" s="98" t="s">
        <v>954</v>
      </c>
      <c r="C55" s="94">
        <f>SUM(SUMIFS('caseload data'!E:E,'caseload data'!$D:$D,"SPO",'caseload data'!$C:$C,'community caseload'!$B$50,'caseload data'!$B:$B,{"licence","community"}))</f>
        <v>0</v>
      </c>
      <c r="D55" s="94">
        <f>SUM(SUMIFS('caseload data'!F:F,'caseload data'!$D:$D,"SPO",'caseload data'!$C:$C,'community caseload'!$B$50,'caseload data'!$B:$B,{"licence","community"}))</f>
        <v>0</v>
      </c>
      <c r="E55" s="94">
        <f>SUM(SUMIFS('caseload data'!G:G,'caseload data'!$D:$D,"SPO",'caseload data'!$C:$C,'community caseload'!$B$50,'caseload data'!$B:$B,{"licence","community"}))</f>
        <v>0</v>
      </c>
      <c r="F55" s="94">
        <f>SUM(SUMIFS('caseload data'!H:H,'caseload data'!$D:$D,"SPO",'caseload data'!$C:$C,'community caseload'!$B$50,'caseload data'!$B:$B,{"licence","community"}))</f>
        <v>0</v>
      </c>
      <c r="G55" s="94">
        <f>SUM(SUMIFS('caseload data'!I:I,'caseload data'!$D:$D,"SPO",'caseload data'!$C:$C,'community caseload'!$B$50,'caseload data'!$B:$B,{"licence","community"}))</f>
        <v>0</v>
      </c>
      <c r="H55" s="94">
        <f>SUM(SUMIFS('caseload data'!J:J,'caseload data'!$D:$D,"SPO",'caseload data'!$C:$C,'community caseload'!$B$50,'caseload data'!$B:$B,{"licence","community"}))</f>
        <v>0</v>
      </c>
      <c r="I55" s="94">
        <f>SUM(SUMIFS('caseload data'!K:K,'caseload data'!$D:$D,"SPO",'caseload data'!$C:$C,'community caseload'!$B$50,'caseload data'!$B:$B,{"licence","community"}))</f>
        <v>0</v>
      </c>
      <c r="J55" s="94">
        <f>SUM(SUMIFS('caseload data'!L:L,'caseload data'!$D:$D,"SPO",'caseload data'!$C:$C,'community caseload'!$B$50,'caseload data'!$B:$B,{"licence","community"}))</f>
        <v>0</v>
      </c>
      <c r="K55" s="94">
        <f>SUM(SUMIFS('caseload data'!M:M,'caseload data'!$D:$D,"SPO",'caseload data'!$C:$C,'community caseload'!$B$50,'caseload data'!$B:$B,{"licence","community"}))</f>
        <v>0</v>
      </c>
      <c r="L55" s="94">
        <f>SUM(SUMIFS('caseload data'!N:N,'caseload data'!$D:$D,"SPO",'caseload data'!$C:$C,'community caseload'!$B$50,'caseload data'!$B:$B,{"licence","community"}))</f>
        <v>0</v>
      </c>
      <c r="M55" s="94">
        <f>SUM(SUMIFS('caseload data'!O:O,'caseload data'!$D:$D,"SPO",'caseload data'!$C:$C,'community caseload'!$B$50,'caseload data'!$B:$B,{"licence","community"}))</f>
        <v>0</v>
      </c>
      <c r="N55" s="94">
        <f>SUM(SUMIFS('caseload data'!P:P,'caseload data'!$D:$D,"SPO",'caseload data'!$C:$C,'community caseload'!$B$50,'caseload data'!$B:$B,{"licence","community"}))</f>
        <v>0</v>
      </c>
      <c r="O55" s="94">
        <f>SUM(SUMIFS('caseload data'!Q:Q,'caseload data'!$D:$D,"SPO",'caseload data'!$C:$C,'community caseload'!$B$50,'caseload data'!$B:$B,{"licence","community"}))</f>
        <v>0</v>
      </c>
      <c r="P55" s="94">
        <f>SUM(SUMIFS('caseload data'!R:R,'caseload data'!$D:$D,"SPO",'caseload data'!$C:$C,'community caseload'!$B$50,'caseload data'!$B:$B,{"licence","community"}))</f>
        <v>0</v>
      </c>
      <c r="Q55" s="94">
        <f>SUM(SUMIFS('caseload data'!S:S,'caseload data'!$D:$D,"SPO",'caseload data'!$C:$C,'community caseload'!$B$50,'caseload data'!$B:$B,{"licence","community"}))</f>
        <v>0</v>
      </c>
      <c r="R55" s="94">
        <f>SUM(SUMIFS('caseload data'!T:T,'caseload data'!$D:$D,"SPO",'caseload data'!$C:$C,'community caseload'!$B$50,'caseload data'!$B:$B,{"licence","community"}))</f>
        <v>0</v>
      </c>
      <c r="S55" s="64"/>
      <c r="T55" s="98" t="s">
        <v>954</v>
      </c>
      <c r="U55" s="94">
        <f>SUM(SUMIFS('caseload data'!E:E,'caseload data'!$D:$D,"SPO",'caseload data'!$C:$C,'community caseload'!$T$50,'caseload data'!$B:$B,{"licence","community"}))</f>
        <v>0</v>
      </c>
      <c r="V55" s="94">
        <f>SUM(SUMIFS('caseload data'!F:F,'caseload data'!$D:$D,"SPO",'caseload data'!$C:$C,'community caseload'!$T$50,'caseload data'!$B:$B,{"licence","community"}))</f>
        <v>0</v>
      </c>
      <c r="W55" s="94">
        <f>SUM(SUMIFS('caseload data'!G:G,'caseload data'!$D:$D,"SPO",'caseload data'!$C:$C,'community caseload'!$T$50,'caseload data'!$B:$B,{"licence","community"}))</f>
        <v>0</v>
      </c>
      <c r="X55" s="94">
        <f>SUM(SUMIFS('caseload data'!H:H,'caseload data'!$D:$D,"SPO",'caseload data'!$C:$C,'community caseload'!$T$50,'caseload data'!$B:$B,{"licence","community"}))</f>
        <v>0</v>
      </c>
      <c r="Y55" s="94">
        <f>SUM(SUMIFS('caseload data'!I:I,'caseload data'!$D:$D,"SPO",'caseload data'!$C:$C,'community caseload'!$T$50,'caseload data'!$B:$B,{"licence","community"}))</f>
        <v>0</v>
      </c>
      <c r="Z55" s="94">
        <f>SUM(SUMIFS('caseload data'!J:J,'caseload data'!$D:$D,"SPO",'caseload data'!$C:$C,'community caseload'!$T$50,'caseload data'!$B:$B,{"licence","community"}))</f>
        <v>0</v>
      </c>
      <c r="AA55" s="94">
        <f>SUM(SUMIFS('caseload data'!K:K,'caseload data'!$D:$D,"SPO",'caseload data'!$C:$C,'community caseload'!$T$50,'caseload data'!$B:$B,{"licence","community"}))</f>
        <v>0</v>
      </c>
      <c r="AB55" s="94">
        <f>SUM(SUMIFS('caseload data'!L:L,'caseload data'!$D:$D,"SPO",'caseload data'!$C:$C,'community caseload'!$T$50,'caseload data'!$B:$B,{"licence","community"}))</f>
        <v>0</v>
      </c>
      <c r="AC55" s="94">
        <f>SUM(SUMIFS('caseload data'!M:M,'caseload data'!$D:$D,"SPO",'caseload data'!$C:$C,'community caseload'!$T$50,'caseload data'!$B:$B,{"licence","community"}))</f>
        <v>0</v>
      </c>
      <c r="AD55" s="94">
        <f>SUM(SUMIFS('caseload data'!N:N,'caseload data'!$D:$D,"SPO",'caseload data'!$C:$C,'community caseload'!$T$50,'caseload data'!$B:$B,{"licence","community"}))</f>
        <v>0</v>
      </c>
      <c r="AE55" s="94">
        <f>SUM(SUMIFS('caseload data'!O:O,'caseload data'!$D:$D,"SPO",'caseload data'!$C:$C,'community caseload'!$T$50,'caseload data'!$B:$B,{"licence","community"}))</f>
        <v>0</v>
      </c>
      <c r="AF55" s="94">
        <f>SUM(SUMIFS('caseload data'!P:P,'caseload data'!$D:$D,"SPO",'caseload data'!$C:$C,'community caseload'!$T$50,'caseload data'!$B:$B,{"licence","community"}))</f>
        <v>0</v>
      </c>
      <c r="AG55" s="94">
        <f>SUM(SUMIFS('caseload data'!Q:Q,'caseload data'!$D:$D,"SPO",'caseload data'!$C:$C,'community caseload'!$T$50,'caseload data'!$B:$B,{"licence","community"}))</f>
        <v>0</v>
      </c>
      <c r="AH55" s="94">
        <f>SUM(SUMIFS('caseload data'!R:R,'caseload data'!$D:$D,"SPO",'caseload data'!$C:$C,'community caseload'!$T$50,'caseload data'!$B:$B,{"licence","community"}))</f>
        <v>0</v>
      </c>
      <c r="AI55" s="94">
        <f>SUM(SUMIFS('caseload data'!S:S,'caseload data'!$D:$D,"SPO",'caseload data'!$C:$C,'community caseload'!$T$50,'caseload data'!$B:$B,{"licence","community"}))</f>
        <v>0</v>
      </c>
      <c r="AJ55" s="94">
        <f>SUM(SUMIFS('caseload data'!T:T,'caseload data'!$D:$D,"SPO",'caseload data'!$C:$C,'community caseload'!$T$50,'caseload data'!$B:$B,{"licence","community"}))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31.5" customHeight="1" x14ac:dyDescent="0.15">
      <c r="B57" s="288">
        <f>HLOOKUP($B$5,Region_Table,16,0)</f>
        <v>0</v>
      </c>
      <c r="C57" s="540" t="s">
        <v>1077</v>
      </c>
      <c r="D57" s="541"/>
      <c r="E57" s="541"/>
      <c r="F57" s="541"/>
      <c r="G57" s="541"/>
      <c r="H57" s="541"/>
      <c r="I57" s="541"/>
      <c r="J57" s="541"/>
      <c r="K57" s="541"/>
      <c r="L57" s="541"/>
      <c r="M57" s="570"/>
      <c r="N57" s="570"/>
      <c r="O57" s="571"/>
      <c r="P57" s="543" cm="1">
        <f t="array" ref="P57">SUM(SUMIFS('caseload data'!V:V,'caseload data'!B:B,{"licence","community"},'caseload data'!$C:$C,'community caseload'!B57))</f>
        <v>0</v>
      </c>
      <c r="Q57" s="560"/>
      <c r="R57" s="561"/>
      <c r="S57" s="290"/>
      <c r="T57" s="288">
        <f>HLOOKUP($B$5,Region_Table,17,0)</f>
        <v>0</v>
      </c>
      <c r="U57" s="540" t="s">
        <v>1077</v>
      </c>
      <c r="V57" s="541"/>
      <c r="W57" s="541"/>
      <c r="X57" s="541"/>
      <c r="Y57" s="541"/>
      <c r="Z57" s="541"/>
      <c r="AA57" s="541"/>
      <c r="AB57" s="541"/>
      <c r="AC57" s="541"/>
      <c r="AD57" s="541"/>
      <c r="AE57" s="570"/>
      <c r="AF57" s="570"/>
      <c r="AG57" s="571"/>
      <c r="AH57" s="543" cm="1">
        <f t="array" ref="AH57">SUM(SUMIFS('caseload data'!V:V,'caseload data'!B:B,{"licence","community"},'caseload data'!$C:$C,'community caseload'!T57))</f>
        <v>0</v>
      </c>
      <c r="AI57" s="560"/>
      <c r="AJ57" s="561"/>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94">
        <f>SUM(SUMIFS('caseload data'!E:E,'caseload data'!$D:$D,"PO",'caseload data'!$C:$C,'community caseload'!$B$57,'caseload data'!$B:$B,{"licence","community"}))</f>
        <v>0</v>
      </c>
      <c r="D59" s="94">
        <f>SUM(SUMIFS('caseload data'!F:F,'caseload data'!$D:$D,"PO",'caseload data'!$C:$C,'community caseload'!$B$57,'caseload data'!$B:$B,{"licence","community"}))</f>
        <v>0</v>
      </c>
      <c r="E59" s="94">
        <f>SUM(SUMIFS('caseload data'!G:G,'caseload data'!$D:$D,"PO",'caseload data'!$C:$C,'community caseload'!$B$57,'caseload data'!$B:$B,{"licence","community"}))</f>
        <v>0</v>
      </c>
      <c r="F59" s="94">
        <f>SUM(SUMIFS('caseload data'!H:H,'caseload data'!$D:$D,"PO",'caseload data'!$C:$C,'community caseload'!$B$57,'caseload data'!$B:$B,{"licence","community"}))</f>
        <v>0</v>
      </c>
      <c r="G59" s="94">
        <f>SUM(SUMIFS('caseload data'!I:I,'caseload data'!$D:$D,"PO",'caseload data'!$C:$C,'community caseload'!$B$57,'caseload data'!$B:$B,{"licence","community"}))</f>
        <v>0</v>
      </c>
      <c r="H59" s="94">
        <f>SUM(SUMIFS('caseload data'!J:J,'caseload data'!$D:$D,"PO",'caseload data'!$C:$C,'community caseload'!$B$57,'caseload data'!$B:$B,{"licence","community"}))</f>
        <v>0</v>
      </c>
      <c r="I59" s="94">
        <f>SUM(SUMIFS('caseload data'!K:K,'caseload data'!$D:$D,"PO",'caseload data'!$C:$C,'community caseload'!$B$57,'caseload data'!$B:$B,{"licence","community"}))</f>
        <v>0</v>
      </c>
      <c r="J59" s="94">
        <f>SUM(SUMIFS('caseload data'!L:L,'caseload data'!$D:$D,"PO",'caseload data'!$C:$C,'community caseload'!$B$57,'caseload data'!$B:$B,{"licence","community"}))</f>
        <v>0</v>
      </c>
      <c r="K59" s="94">
        <f>SUM(SUMIFS('caseload data'!M:M,'caseload data'!$D:$D,"PO",'caseload data'!$C:$C,'community caseload'!$B$57,'caseload data'!$B:$B,{"licence","community"}))</f>
        <v>0</v>
      </c>
      <c r="L59" s="94">
        <f>SUM(SUMIFS('caseload data'!N:N,'caseload data'!$D:$D,"PO",'caseload data'!$C:$C,'community caseload'!$B$57,'caseload data'!$B:$B,{"licence","community"}))</f>
        <v>0</v>
      </c>
      <c r="M59" s="94">
        <f>SUM(SUMIFS('caseload data'!O:O,'caseload data'!$D:$D,"PO",'caseload data'!$C:$C,'community caseload'!$B$57,'caseload data'!$B:$B,{"licence","community"}))</f>
        <v>0</v>
      </c>
      <c r="N59" s="94">
        <f>SUM(SUMIFS('caseload data'!P:P,'caseload data'!$D:$D,"PO",'caseload data'!$C:$C,'community caseload'!$B$57,'caseload data'!$B:$B,{"licence","community"}))</f>
        <v>0</v>
      </c>
      <c r="O59" s="94">
        <f>SUM(SUMIFS('caseload data'!Q:Q,'caseload data'!$D:$D,"PO",'caseload data'!$C:$C,'community caseload'!$B$57,'caseload data'!$B:$B,{"licence","community"}))</f>
        <v>0</v>
      </c>
      <c r="P59" s="94">
        <f>SUM(SUMIFS('caseload data'!R:R,'caseload data'!$D:$D,"PO",'caseload data'!$C:$C,'community caseload'!$B$57,'caseload data'!$B:$B,{"licence","community"}))</f>
        <v>0</v>
      </c>
      <c r="Q59" s="94">
        <f>SUM(SUMIFS('caseload data'!S:S,'caseload data'!$D:$D,"PO",'caseload data'!$C:$C,'community caseload'!$B$57,'caseload data'!$B:$B,{"licence","community"}))</f>
        <v>0</v>
      </c>
      <c r="R59" s="94">
        <f>SUM(SUMIFS('caseload data'!T:T,'caseload data'!$D:$D,"PO",'caseload data'!$C:$C,'community caseload'!$B$57,'caseload data'!$B:$B,{"licence","community"}))</f>
        <v>0</v>
      </c>
      <c r="S59" s="64"/>
      <c r="T59" s="96" t="s">
        <v>947</v>
      </c>
      <c r="U59" s="94">
        <f>SUM(SUMIFS('caseload data'!E:E,'caseload data'!$D:$D,"PO",'caseload data'!$C:$C,'community caseload'!$T$57,'caseload data'!$B:$B,{"licence","community"}))</f>
        <v>0</v>
      </c>
      <c r="V59" s="94">
        <f>SUM(SUMIFS('caseload data'!F:F,'caseload data'!$D:$D,"PO",'caseload data'!$C:$C,'community caseload'!$T$57,'caseload data'!$B:$B,{"licence","community"}))</f>
        <v>0</v>
      </c>
      <c r="W59" s="94">
        <f>SUM(SUMIFS('caseload data'!G:G,'caseload data'!$D:$D,"PO",'caseload data'!$C:$C,'community caseload'!$T$57,'caseload data'!$B:$B,{"licence","community"}))</f>
        <v>0</v>
      </c>
      <c r="X59" s="94">
        <f>SUM(SUMIFS('caseload data'!H:H,'caseload data'!$D:$D,"PO",'caseload data'!$C:$C,'community caseload'!$T$57,'caseload data'!$B:$B,{"licence","community"}))</f>
        <v>0</v>
      </c>
      <c r="Y59" s="94">
        <f>SUM(SUMIFS('caseload data'!I:I,'caseload data'!$D:$D,"PO",'caseload data'!$C:$C,'community caseload'!$T$57,'caseload data'!$B:$B,{"licence","community"}))</f>
        <v>0</v>
      </c>
      <c r="Z59" s="94">
        <f>SUM(SUMIFS('caseload data'!J:J,'caseload data'!$D:$D,"PO",'caseload data'!$C:$C,'community caseload'!$T$57,'caseload data'!$B:$B,{"licence","community"}))</f>
        <v>0</v>
      </c>
      <c r="AA59" s="94">
        <f>SUM(SUMIFS('caseload data'!K:K,'caseload data'!$D:$D,"PO",'caseload data'!$C:$C,'community caseload'!$T$57,'caseload data'!$B:$B,{"licence","community"}))</f>
        <v>0</v>
      </c>
      <c r="AB59" s="94">
        <f>SUM(SUMIFS('caseload data'!L:L,'caseload data'!$D:$D,"PO",'caseload data'!$C:$C,'community caseload'!$T$57,'caseload data'!$B:$B,{"licence","community"}))</f>
        <v>0</v>
      </c>
      <c r="AC59" s="94">
        <f>SUM(SUMIFS('caseload data'!M:M,'caseload data'!$D:$D,"PO",'caseload data'!$C:$C,'community caseload'!$T$57,'caseload data'!$B:$B,{"licence","community"}))</f>
        <v>0</v>
      </c>
      <c r="AD59" s="94">
        <f>SUM(SUMIFS('caseload data'!N:N,'caseload data'!$D:$D,"PO",'caseload data'!$C:$C,'community caseload'!$T$57,'caseload data'!$B:$B,{"licence","community"}))</f>
        <v>0</v>
      </c>
      <c r="AE59" s="94">
        <f>SUM(SUMIFS('caseload data'!O:O,'caseload data'!$D:$D,"PO",'caseload data'!$C:$C,'community caseload'!$T$57,'caseload data'!$B:$B,{"licence","community"}))</f>
        <v>0</v>
      </c>
      <c r="AF59" s="94">
        <f>SUM(SUMIFS('caseload data'!P:P,'caseload data'!$D:$D,"PO",'caseload data'!$C:$C,'community caseload'!$T$57,'caseload data'!$B:$B,{"licence","community"}))</f>
        <v>0</v>
      </c>
      <c r="AG59" s="94">
        <f>SUM(SUMIFS('caseload data'!Q:Q,'caseload data'!$D:$D,"PO",'caseload data'!$C:$C,'community caseload'!$T$57,'caseload data'!$B:$B,{"licence","community"}))</f>
        <v>0</v>
      </c>
      <c r="AH59" s="94">
        <f>SUM(SUMIFS('caseload data'!R:R,'caseload data'!$D:$D,"PO",'caseload data'!$C:$C,'community caseload'!$T$57,'caseload data'!$B:$B,{"licence","community"}))</f>
        <v>0</v>
      </c>
      <c r="AI59" s="94">
        <f>SUM(SUMIFS('caseload data'!S:S,'caseload data'!$D:$D,"PO",'caseload data'!$C:$C,'community caseload'!$T$57,'caseload data'!$B:$B,{"licence","community"}))</f>
        <v>0</v>
      </c>
      <c r="AJ59" s="94">
        <f>SUM(SUMIFS('caseload data'!T:T,'caseload data'!$D:$D,"PO",'caseload data'!$C:$C,'community caseload'!$T$57,'caseload data'!$B:$B,{"licence","community"}))</f>
        <v>0</v>
      </c>
    </row>
    <row r="60" spans="2:36" x14ac:dyDescent="0.15">
      <c r="B60" s="97" t="s">
        <v>952</v>
      </c>
      <c r="C60" s="94">
        <f>SUM(SUMIFS('caseload data'!E:E,'caseload data'!$D:$D,"PSO",'caseload data'!$C:$C,'community caseload'!$B$57,'caseload data'!$B:$B,{"licence","community"}))</f>
        <v>0</v>
      </c>
      <c r="D60" s="94">
        <f>SUM(SUMIFS('caseload data'!F:F,'caseload data'!$D:$D,"PSO",'caseload data'!$C:$C,'community caseload'!$B$57,'caseload data'!$B:$B,{"licence","community"}))</f>
        <v>0</v>
      </c>
      <c r="E60" s="94">
        <f>SUM(SUMIFS('caseload data'!G:G,'caseload data'!$D:$D,"PSO",'caseload data'!$C:$C,'community caseload'!$B$57,'caseload data'!$B:$B,{"licence","community"}))</f>
        <v>0</v>
      </c>
      <c r="F60" s="94">
        <f>SUM(SUMIFS('caseload data'!H:H,'caseload data'!$D:$D,"PSO",'caseload data'!$C:$C,'community caseload'!$B$57,'caseload data'!$B:$B,{"licence","community"}))</f>
        <v>0</v>
      </c>
      <c r="G60" s="94">
        <f>SUM(SUMIFS('caseload data'!I:I,'caseload data'!$D:$D,"PSO",'caseload data'!$C:$C,'community caseload'!$B$57,'caseload data'!$B:$B,{"licence","community"}))</f>
        <v>0</v>
      </c>
      <c r="H60" s="94">
        <f>SUM(SUMIFS('caseload data'!J:J,'caseload data'!$D:$D,"PSO",'caseload data'!$C:$C,'community caseload'!$B$57,'caseload data'!$B:$B,{"licence","community"}))</f>
        <v>0</v>
      </c>
      <c r="I60" s="94">
        <f>SUM(SUMIFS('caseload data'!K:K,'caseload data'!$D:$D,"PSO",'caseload data'!$C:$C,'community caseload'!$B$57,'caseload data'!$B:$B,{"licence","community"}))</f>
        <v>0</v>
      </c>
      <c r="J60" s="94">
        <f>SUM(SUMIFS('caseload data'!L:L,'caseload data'!$D:$D,"PSO",'caseload data'!$C:$C,'community caseload'!$B$57,'caseload data'!$B:$B,{"licence","community"}))</f>
        <v>0</v>
      </c>
      <c r="K60" s="94">
        <f>SUM(SUMIFS('caseload data'!M:M,'caseload data'!$D:$D,"PSO",'caseload data'!$C:$C,'community caseload'!$B$57,'caseload data'!$B:$B,{"licence","community"}))</f>
        <v>0</v>
      </c>
      <c r="L60" s="94">
        <f>SUM(SUMIFS('caseload data'!N:N,'caseload data'!$D:$D,"PSO",'caseload data'!$C:$C,'community caseload'!$B$57,'caseload data'!$B:$B,{"licence","community"}))</f>
        <v>0</v>
      </c>
      <c r="M60" s="94">
        <f>SUM(SUMIFS('caseload data'!O:O,'caseload data'!$D:$D,"PSO",'caseload data'!$C:$C,'community caseload'!$B$57,'caseload data'!$B:$B,{"licence","community"}))</f>
        <v>0</v>
      </c>
      <c r="N60" s="94">
        <f>SUM(SUMIFS('caseload data'!P:P,'caseload data'!$D:$D,"PSO",'caseload data'!$C:$C,'community caseload'!$B$57,'caseload data'!$B:$B,{"licence","community"}))</f>
        <v>0</v>
      </c>
      <c r="O60" s="94">
        <f>SUM(SUMIFS('caseload data'!Q:Q,'caseload data'!$D:$D,"PSO",'caseload data'!$C:$C,'community caseload'!$B$57,'caseload data'!$B:$B,{"licence","community"}))</f>
        <v>0</v>
      </c>
      <c r="P60" s="94">
        <f>SUM(SUMIFS('caseload data'!R:R,'caseload data'!$D:$D,"PSO",'caseload data'!$C:$C,'community caseload'!$B$57,'caseload data'!$B:$B,{"licence","community"}))</f>
        <v>0</v>
      </c>
      <c r="Q60" s="94">
        <f>SUM(SUMIFS('caseload data'!S:S,'caseload data'!$D:$D,"PSO",'caseload data'!$C:$C,'community caseload'!$B$57,'caseload data'!$B:$B,{"licence","community"}))</f>
        <v>0</v>
      </c>
      <c r="R60" s="94">
        <f>SUM(SUMIFS('caseload data'!T:T,'caseload data'!$D:$D,"PSO",'caseload data'!$C:$C,'community caseload'!$B$57,'caseload data'!$B:$B,{"licence","community"}))</f>
        <v>0</v>
      </c>
      <c r="S60" s="64"/>
      <c r="T60" s="97" t="s">
        <v>952</v>
      </c>
      <c r="U60" s="94">
        <f>SUM(SUMIFS('caseload data'!E:E,'caseload data'!$D:$D,"PSO",'caseload data'!$C:$C,'community caseload'!$T$57,'caseload data'!$B:$B,{"licence","community"}))</f>
        <v>0</v>
      </c>
      <c r="V60" s="94">
        <f>SUM(SUMIFS('caseload data'!F:F,'caseload data'!$D:$D,"PSO",'caseload data'!$C:$C,'community caseload'!$T$57,'caseload data'!$B:$B,{"licence","community"}))</f>
        <v>0</v>
      </c>
      <c r="W60" s="94">
        <f>SUM(SUMIFS('caseload data'!G:G,'caseload data'!$D:$D,"PSO",'caseload data'!$C:$C,'community caseload'!$T$57,'caseload data'!$B:$B,{"licence","community"}))</f>
        <v>0</v>
      </c>
      <c r="X60" s="94">
        <f>SUM(SUMIFS('caseload data'!H:H,'caseload data'!$D:$D,"PSO",'caseload data'!$C:$C,'community caseload'!$T$57,'caseload data'!$B:$B,{"licence","community"}))</f>
        <v>0</v>
      </c>
      <c r="Y60" s="94">
        <f>SUM(SUMIFS('caseload data'!I:I,'caseload data'!$D:$D,"PSO",'caseload data'!$C:$C,'community caseload'!$T$57,'caseload data'!$B:$B,{"licence","community"}))</f>
        <v>0</v>
      </c>
      <c r="Z60" s="94">
        <f>SUM(SUMIFS('caseload data'!J:J,'caseload data'!$D:$D,"PSO",'caseload data'!$C:$C,'community caseload'!$T$57,'caseload data'!$B:$B,{"licence","community"}))</f>
        <v>0</v>
      </c>
      <c r="AA60" s="94">
        <f>SUM(SUMIFS('caseload data'!K:K,'caseload data'!$D:$D,"PSO",'caseload data'!$C:$C,'community caseload'!$T$57,'caseload data'!$B:$B,{"licence","community"}))</f>
        <v>0</v>
      </c>
      <c r="AB60" s="94">
        <f>SUM(SUMIFS('caseload data'!L:L,'caseload data'!$D:$D,"PSO",'caseload data'!$C:$C,'community caseload'!$T$57,'caseload data'!$B:$B,{"licence","community"}))</f>
        <v>0</v>
      </c>
      <c r="AC60" s="94">
        <f>SUM(SUMIFS('caseload data'!M:M,'caseload data'!$D:$D,"PSO",'caseload data'!$C:$C,'community caseload'!$T$57,'caseload data'!$B:$B,{"licence","community"}))</f>
        <v>0</v>
      </c>
      <c r="AD60" s="94">
        <f>SUM(SUMIFS('caseload data'!N:N,'caseload data'!$D:$D,"PSO",'caseload data'!$C:$C,'community caseload'!$T$57,'caseload data'!$B:$B,{"licence","community"}))</f>
        <v>0</v>
      </c>
      <c r="AE60" s="94">
        <f>SUM(SUMIFS('caseload data'!O:O,'caseload data'!$D:$D,"PSO",'caseload data'!$C:$C,'community caseload'!$T$57,'caseload data'!$B:$B,{"licence","community"}))</f>
        <v>0</v>
      </c>
      <c r="AF60" s="94">
        <f>SUM(SUMIFS('caseload data'!P:P,'caseload data'!$D:$D,"PSO",'caseload data'!$C:$C,'community caseload'!$T$57,'caseload data'!$B:$B,{"licence","community"}))</f>
        <v>0</v>
      </c>
      <c r="AG60" s="94">
        <f>SUM(SUMIFS('caseload data'!Q:Q,'caseload data'!$D:$D,"PSO",'caseload data'!$C:$C,'community caseload'!$T$57,'caseload data'!$B:$B,{"licence","community"}))</f>
        <v>0</v>
      </c>
      <c r="AH60" s="94">
        <f>SUM(SUMIFS('caseload data'!R:R,'caseload data'!$D:$D,"PSO",'caseload data'!$C:$C,'community caseload'!$T$57,'caseload data'!$B:$B,{"licence","community"}))</f>
        <v>0</v>
      </c>
      <c r="AI60" s="94">
        <f>SUM(SUMIFS('caseload data'!S:S,'caseload data'!$D:$D,"PSO",'caseload data'!$C:$C,'community caseload'!$T$57,'caseload data'!$B:$B,{"licence","community"}))</f>
        <v>0</v>
      </c>
      <c r="AJ60" s="94">
        <f>SUM(SUMIFS('caseload data'!T:T,'caseload data'!$D:$D,"PSO",'caseload data'!$C:$C,'community caseload'!$T$57,'caseload data'!$B:$B,{"licence","community"}))</f>
        <v>0</v>
      </c>
    </row>
    <row r="61" spans="2:36" x14ac:dyDescent="0.15">
      <c r="B61" s="97" t="s">
        <v>953</v>
      </c>
      <c r="C61" s="94">
        <f>SUM(SUMIFS('caseload data'!E:E,'caseload data'!$D:$D,"TPO",'caseload data'!$C:$C,'community caseload'!$B$57,'caseload data'!$B:$B,{"licence","community"}))</f>
        <v>0</v>
      </c>
      <c r="D61" s="94">
        <f>SUM(SUMIFS('caseload data'!F:F,'caseload data'!$D:$D,"TPO",'caseload data'!$C:$C,'community caseload'!$B$57,'caseload data'!$B:$B,{"licence","community"}))</f>
        <v>0</v>
      </c>
      <c r="E61" s="94">
        <f>SUM(SUMIFS('caseload data'!G:G,'caseload data'!$D:$D,"TPO",'caseload data'!$C:$C,'community caseload'!$B$57,'caseload data'!$B:$B,{"licence","community"}))</f>
        <v>0</v>
      </c>
      <c r="F61" s="94">
        <f>SUM(SUMIFS('caseload data'!H:H,'caseload data'!$D:$D,"TPO",'caseload data'!$C:$C,'community caseload'!$B$57,'caseload data'!$B:$B,{"licence","community"}))</f>
        <v>0</v>
      </c>
      <c r="G61" s="94">
        <f>SUM(SUMIFS('caseload data'!I:I,'caseload data'!$D:$D,"TPO",'caseload data'!$C:$C,'community caseload'!$B$57,'caseload data'!$B:$B,{"licence","community"}))</f>
        <v>0</v>
      </c>
      <c r="H61" s="94">
        <f>SUM(SUMIFS('caseload data'!J:J,'caseload data'!$D:$D,"TPO",'caseload data'!$C:$C,'community caseload'!$B$57,'caseload data'!$B:$B,{"licence","community"}))</f>
        <v>0</v>
      </c>
      <c r="I61" s="94">
        <f>SUM(SUMIFS('caseload data'!K:K,'caseload data'!$D:$D,"TPO",'caseload data'!$C:$C,'community caseload'!$B$57,'caseload data'!$B:$B,{"licence","community"}))</f>
        <v>0</v>
      </c>
      <c r="J61" s="94">
        <f>SUM(SUMIFS('caseload data'!L:L,'caseload data'!$D:$D,"TPO",'caseload data'!$C:$C,'community caseload'!$B$57,'caseload data'!$B:$B,{"licence","community"}))</f>
        <v>0</v>
      </c>
      <c r="K61" s="94">
        <f>SUM(SUMIFS('caseload data'!M:M,'caseload data'!$D:$D,"TPO",'caseload data'!$C:$C,'community caseload'!$B$57,'caseload data'!$B:$B,{"licence","community"}))</f>
        <v>0</v>
      </c>
      <c r="L61" s="94">
        <f>SUM(SUMIFS('caseload data'!N:N,'caseload data'!$D:$D,"TPO",'caseload data'!$C:$C,'community caseload'!$B$57,'caseload data'!$B:$B,{"licence","community"}))</f>
        <v>0</v>
      </c>
      <c r="M61" s="94">
        <f>SUM(SUMIFS('caseload data'!O:O,'caseload data'!$D:$D,"TPO",'caseload data'!$C:$C,'community caseload'!$B$57,'caseload data'!$B:$B,{"licence","community"}))</f>
        <v>0</v>
      </c>
      <c r="N61" s="94">
        <f>SUM(SUMIFS('caseload data'!P:P,'caseload data'!$D:$D,"TPO",'caseload data'!$C:$C,'community caseload'!$B$57,'caseload data'!$B:$B,{"licence","community"}))</f>
        <v>0</v>
      </c>
      <c r="O61" s="94">
        <f>SUM(SUMIFS('caseload data'!Q:Q,'caseload data'!$D:$D,"TPO",'caseload data'!$C:$C,'community caseload'!$B$57,'caseload data'!$B:$B,{"licence","community"}))</f>
        <v>0</v>
      </c>
      <c r="P61" s="94">
        <f>SUM(SUMIFS('caseload data'!R:R,'caseload data'!$D:$D,"TPO",'caseload data'!$C:$C,'community caseload'!$B$57,'caseload data'!$B:$B,{"licence","community"}))</f>
        <v>0</v>
      </c>
      <c r="Q61" s="94">
        <f>SUM(SUMIFS('caseload data'!S:S,'caseload data'!$D:$D,"TPO",'caseload data'!$C:$C,'community caseload'!$B$57,'caseload data'!$B:$B,{"licence","community"}))</f>
        <v>0</v>
      </c>
      <c r="R61" s="94">
        <f>SUM(SUMIFS('caseload data'!T:T,'caseload data'!$D:$D,"TPO",'caseload data'!$C:$C,'community caseload'!$B$57,'caseload data'!$B:$B,{"licence","community"}))</f>
        <v>0</v>
      </c>
      <c r="S61" s="64"/>
      <c r="T61" s="97" t="s">
        <v>953</v>
      </c>
      <c r="U61" s="94">
        <f>SUM(SUMIFS('caseload data'!E:E,'caseload data'!$D:$D,"TPO",'caseload data'!$C:$C,'community caseload'!$T$57,'caseload data'!$B:$B,{"licence","community"}))</f>
        <v>0</v>
      </c>
      <c r="V61" s="94">
        <f>SUM(SUMIFS('caseload data'!F:F,'caseload data'!$D:$D,"TPO",'caseload data'!$C:$C,'community caseload'!$T$57,'caseload data'!$B:$B,{"licence","community"}))</f>
        <v>0</v>
      </c>
      <c r="W61" s="94">
        <f>SUM(SUMIFS('caseload data'!G:G,'caseload data'!$D:$D,"TPO",'caseload data'!$C:$C,'community caseload'!$T$57,'caseload data'!$B:$B,{"licence","community"}))</f>
        <v>0</v>
      </c>
      <c r="X61" s="94">
        <f>SUM(SUMIFS('caseload data'!H:H,'caseload data'!$D:$D,"TPO",'caseload data'!$C:$C,'community caseload'!$T$57,'caseload data'!$B:$B,{"licence","community"}))</f>
        <v>0</v>
      </c>
      <c r="Y61" s="94">
        <f>SUM(SUMIFS('caseload data'!I:I,'caseload data'!$D:$D,"TPO",'caseload data'!$C:$C,'community caseload'!$T$57,'caseload data'!$B:$B,{"licence","community"}))</f>
        <v>0</v>
      </c>
      <c r="Z61" s="94">
        <f>SUM(SUMIFS('caseload data'!J:J,'caseload data'!$D:$D,"TPO",'caseload data'!$C:$C,'community caseload'!$T$57,'caseload data'!$B:$B,{"licence","community"}))</f>
        <v>0</v>
      </c>
      <c r="AA61" s="94">
        <f>SUM(SUMIFS('caseload data'!K:K,'caseload data'!$D:$D,"TPO",'caseload data'!$C:$C,'community caseload'!$T$57,'caseload data'!$B:$B,{"licence","community"}))</f>
        <v>0</v>
      </c>
      <c r="AB61" s="94">
        <f>SUM(SUMIFS('caseload data'!L:L,'caseload data'!$D:$D,"TPO",'caseload data'!$C:$C,'community caseload'!$T$57,'caseload data'!$B:$B,{"licence","community"}))</f>
        <v>0</v>
      </c>
      <c r="AC61" s="94">
        <f>SUM(SUMIFS('caseload data'!M:M,'caseload data'!$D:$D,"TPO",'caseload data'!$C:$C,'community caseload'!$T$57,'caseload data'!$B:$B,{"licence","community"}))</f>
        <v>0</v>
      </c>
      <c r="AD61" s="94">
        <f>SUM(SUMIFS('caseload data'!N:N,'caseload data'!$D:$D,"TPO",'caseload data'!$C:$C,'community caseload'!$T$57,'caseload data'!$B:$B,{"licence","community"}))</f>
        <v>0</v>
      </c>
      <c r="AE61" s="94">
        <f>SUM(SUMIFS('caseload data'!O:O,'caseload data'!$D:$D,"TPO",'caseload data'!$C:$C,'community caseload'!$T$57,'caseload data'!$B:$B,{"licence","community"}))</f>
        <v>0</v>
      </c>
      <c r="AF61" s="94">
        <f>SUM(SUMIFS('caseload data'!P:P,'caseload data'!$D:$D,"TPO",'caseload data'!$C:$C,'community caseload'!$T$57,'caseload data'!$B:$B,{"licence","community"}))</f>
        <v>0</v>
      </c>
      <c r="AG61" s="94">
        <f>SUM(SUMIFS('caseload data'!Q:Q,'caseload data'!$D:$D,"TPO",'caseload data'!$C:$C,'community caseload'!$T$57,'caseload data'!$B:$B,{"licence","community"}))</f>
        <v>0</v>
      </c>
      <c r="AH61" s="94">
        <f>SUM(SUMIFS('caseload data'!R:R,'caseload data'!$D:$D,"TPO",'caseload data'!$C:$C,'community caseload'!$T$57,'caseload data'!$B:$B,{"licence","community"}))</f>
        <v>0</v>
      </c>
      <c r="AI61" s="94">
        <f>SUM(SUMIFS('caseload data'!S:S,'caseload data'!$D:$D,"TPO",'caseload data'!$C:$C,'community caseload'!$T$57,'caseload data'!$B:$B,{"licence","community"}))</f>
        <v>0</v>
      </c>
      <c r="AJ61" s="94">
        <f>SUM(SUMIFS('caseload data'!T:T,'caseload data'!$D:$D,"TPO",'caseload data'!$C:$C,'community caseload'!$T$57,'caseload data'!$B:$B,{"licence","community"}))</f>
        <v>0</v>
      </c>
    </row>
    <row r="62" spans="2:36" x14ac:dyDescent="0.15">
      <c r="B62" s="98" t="s">
        <v>954</v>
      </c>
      <c r="C62" s="94">
        <f>SUM(SUMIFS('caseload data'!E:E,'caseload data'!$D:$D,"SPO",'caseload data'!$C:$C,'community caseload'!$B$57,'caseload data'!$B:$B,{"licence","community"}))</f>
        <v>0</v>
      </c>
      <c r="D62" s="94">
        <f>SUM(SUMIFS('caseload data'!F:F,'caseload data'!$D:$D,"SPO",'caseload data'!$C:$C,'community caseload'!$B$57,'caseload data'!$B:$B,{"licence","community"}))</f>
        <v>0</v>
      </c>
      <c r="E62" s="94">
        <f>SUM(SUMIFS('caseload data'!G:G,'caseload data'!$D:$D,"SPO",'caseload data'!$C:$C,'community caseload'!$B$57,'caseload data'!$B:$B,{"licence","community"}))</f>
        <v>0</v>
      </c>
      <c r="F62" s="94">
        <f>SUM(SUMIFS('caseload data'!H:H,'caseload data'!$D:$D,"SPO",'caseload data'!$C:$C,'community caseload'!$B$57,'caseload data'!$B:$B,{"licence","community"}))</f>
        <v>0</v>
      </c>
      <c r="G62" s="94">
        <f>SUM(SUMIFS('caseload data'!I:I,'caseload data'!$D:$D,"SPO",'caseload data'!$C:$C,'community caseload'!$B$57,'caseload data'!$B:$B,{"licence","community"}))</f>
        <v>0</v>
      </c>
      <c r="H62" s="94">
        <f>SUM(SUMIFS('caseload data'!J:J,'caseload data'!$D:$D,"SPO",'caseload data'!$C:$C,'community caseload'!$B$57,'caseload data'!$B:$B,{"licence","community"}))</f>
        <v>0</v>
      </c>
      <c r="I62" s="94">
        <f>SUM(SUMIFS('caseload data'!K:K,'caseload data'!$D:$D,"SPO",'caseload data'!$C:$C,'community caseload'!$B$57,'caseload data'!$B:$B,{"licence","community"}))</f>
        <v>0</v>
      </c>
      <c r="J62" s="94">
        <f>SUM(SUMIFS('caseload data'!L:L,'caseload data'!$D:$D,"SPO",'caseload data'!$C:$C,'community caseload'!$B$57,'caseload data'!$B:$B,{"licence","community"}))</f>
        <v>0</v>
      </c>
      <c r="K62" s="94">
        <f>SUM(SUMIFS('caseload data'!M:M,'caseload data'!$D:$D,"SPO",'caseload data'!$C:$C,'community caseload'!$B$57,'caseload data'!$B:$B,{"licence","community"}))</f>
        <v>0</v>
      </c>
      <c r="L62" s="94">
        <f>SUM(SUMIFS('caseload data'!N:N,'caseload data'!$D:$D,"SPO",'caseload data'!$C:$C,'community caseload'!$B$57,'caseload data'!$B:$B,{"licence","community"}))</f>
        <v>0</v>
      </c>
      <c r="M62" s="94">
        <f>SUM(SUMIFS('caseload data'!O:O,'caseload data'!$D:$D,"SPO",'caseload data'!$C:$C,'community caseload'!$B$57,'caseload data'!$B:$B,{"licence","community"}))</f>
        <v>0</v>
      </c>
      <c r="N62" s="94">
        <f>SUM(SUMIFS('caseload data'!P:P,'caseload data'!$D:$D,"SPO",'caseload data'!$C:$C,'community caseload'!$B$57,'caseload data'!$B:$B,{"licence","community"}))</f>
        <v>0</v>
      </c>
      <c r="O62" s="94">
        <f>SUM(SUMIFS('caseload data'!Q:Q,'caseload data'!$D:$D,"SPO",'caseload data'!$C:$C,'community caseload'!$B$57,'caseload data'!$B:$B,{"licence","community"}))</f>
        <v>0</v>
      </c>
      <c r="P62" s="94">
        <f>SUM(SUMIFS('caseload data'!R:R,'caseload data'!$D:$D,"SPO",'caseload data'!$C:$C,'community caseload'!$B$57,'caseload data'!$B:$B,{"licence","community"}))</f>
        <v>0</v>
      </c>
      <c r="Q62" s="94">
        <f>SUM(SUMIFS('caseload data'!S:S,'caseload data'!$D:$D,"SPO",'caseload data'!$C:$C,'community caseload'!$B$57,'caseload data'!$B:$B,{"licence","community"}))</f>
        <v>0</v>
      </c>
      <c r="R62" s="94">
        <f>SUM(SUMIFS('caseload data'!T:T,'caseload data'!$D:$D,"SPO",'caseload data'!$C:$C,'community caseload'!$B$57,'caseload data'!$B:$B,{"licence","community"}))</f>
        <v>0</v>
      </c>
      <c r="S62" s="64"/>
      <c r="T62" s="98" t="s">
        <v>954</v>
      </c>
      <c r="U62" s="94">
        <f>SUM(SUMIFS('caseload data'!E:E,'caseload data'!$D:$D,"SPO",'caseload data'!$C:$C,'community caseload'!$T$57,'caseload data'!$B:$B,{"licence","community"}))</f>
        <v>0</v>
      </c>
      <c r="V62" s="94">
        <f>SUM(SUMIFS('caseload data'!F:F,'caseload data'!$D:$D,"SPO",'caseload data'!$C:$C,'community caseload'!$T$57,'caseload data'!$B:$B,{"licence","community"}))</f>
        <v>0</v>
      </c>
      <c r="W62" s="94">
        <f>SUM(SUMIFS('caseload data'!G:G,'caseload data'!$D:$D,"SPO",'caseload data'!$C:$C,'community caseload'!$T$57,'caseload data'!$B:$B,{"licence","community"}))</f>
        <v>0</v>
      </c>
      <c r="X62" s="94">
        <f>SUM(SUMIFS('caseload data'!H:H,'caseload data'!$D:$D,"SPO",'caseload data'!$C:$C,'community caseload'!$T$57,'caseload data'!$B:$B,{"licence","community"}))</f>
        <v>0</v>
      </c>
      <c r="Y62" s="94">
        <f>SUM(SUMIFS('caseload data'!I:I,'caseload data'!$D:$D,"SPO",'caseload data'!$C:$C,'community caseload'!$T$57,'caseload data'!$B:$B,{"licence","community"}))</f>
        <v>0</v>
      </c>
      <c r="Z62" s="94">
        <f>SUM(SUMIFS('caseload data'!J:J,'caseload data'!$D:$D,"SPO",'caseload data'!$C:$C,'community caseload'!$T$57,'caseload data'!$B:$B,{"licence","community"}))</f>
        <v>0</v>
      </c>
      <c r="AA62" s="94">
        <f>SUM(SUMIFS('caseload data'!K:K,'caseload data'!$D:$D,"SPO",'caseload data'!$C:$C,'community caseload'!$T$57,'caseload data'!$B:$B,{"licence","community"}))</f>
        <v>0</v>
      </c>
      <c r="AB62" s="94">
        <f>SUM(SUMIFS('caseload data'!L:L,'caseload data'!$D:$D,"SPO",'caseload data'!$C:$C,'community caseload'!$T$57,'caseload data'!$B:$B,{"licence","community"}))</f>
        <v>0</v>
      </c>
      <c r="AC62" s="94">
        <f>SUM(SUMIFS('caseload data'!M:M,'caseload data'!$D:$D,"SPO",'caseload data'!$C:$C,'community caseload'!$T$57,'caseload data'!$B:$B,{"licence","community"}))</f>
        <v>0</v>
      </c>
      <c r="AD62" s="94">
        <f>SUM(SUMIFS('caseload data'!N:N,'caseload data'!$D:$D,"SPO",'caseload data'!$C:$C,'community caseload'!$T$57,'caseload data'!$B:$B,{"licence","community"}))</f>
        <v>0</v>
      </c>
      <c r="AE62" s="94">
        <f>SUM(SUMIFS('caseload data'!O:O,'caseload data'!$D:$D,"SPO",'caseload data'!$C:$C,'community caseload'!$T$57,'caseload data'!$B:$B,{"licence","community"}))</f>
        <v>0</v>
      </c>
      <c r="AF62" s="94">
        <f>SUM(SUMIFS('caseload data'!P:P,'caseload data'!$D:$D,"SPO",'caseload data'!$C:$C,'community caseload'!$T$57,'caseload data'!$B:$B,{"licence","community"}))</f>
        <v>0</v>
      </c>
      <c r="AG62" s="94">
        <f>SUM(SUMIFS('caseload data'!Q:Q,'caseload data'!$D:$D,"SPO",'caseload data'!$C:$C,'community caseload'!$T$57,'caseload data'!$B:$B,{"licence","community"}))</f>
        <v>0</v>
      </c>
      <c r="AH62" s="94">
        <f>SUM(SUMIFS('caseload data'!R:R,'caseload data'!$D:$D,"SPO",'caseload data'!$C:$C,'community caseload'!$T$57,'caseload data'!$B:$B,{"licence","community"}))</f>
        <v>0</v>
      </c>
      <c r="AI62" s="94">
        <f>SUM(SUMIFS('caseload data'!S:S,'caseload data'!$D:$D,"SPO",'caseload data'!$C:$C,'community caseload'!$T$57,'caseload data'!$B:$B,{"licence","community"}))</f>
        <v>0</v>
      </c>
      <c r="AJ62" s="94">
        <f>SUM(SUMIFS('caseload data'!T:T,'caseload data'!$D:$D,"SPO",'caseload data'!$C:$C,'community caseload'!$T$57,'caseload data'!$B:$B,{"licence","community"}))</f>
        <v>0</v>
      </c>
    </row>
    <row r="64" spans="2:36" ht="23.25" customHeight="1" x14ac:dyDescent="0.15">
      <c r="B64" s="288">
        <f>HLOOKUP($B$5,Region_Table,18,0)</f>
        <v>0</v>
      </c>
      <c r="C64" s="540" t="s">
        <v>1077</v>
      </c>
      <c r="D64" s="541"/>
      <c r="E64" s="541"/>
      <c r="F64" s="541"/>
      <c r="G64" s="541"/>
      <c r="H64" s="541"/>
      <c r="I64" s="541"/>
      <c r="J64" s="541"/>
      <c r="K64" s="541"/>
      <c r="L64" s="541"/>
      <c r="M64" s="570"/>
      <c r="N64" s="570"/>
      <c r="O64" s="571"/>
      <c r="P64" s="543" cm="1">
        <f t="array" ref="P64">SUM(SUMIFS('caseload data'!V:V,'caseload data'!B:B,{"licence","community"},'caseload data'!$C:$C,'community caseload'!B64))</f>
        <v>0</v>
      </c>
      <c r="Q64" s="560"/>
      <c r="R64" s="561"/>
      <c r="S64" s="290"/>
      <c r="T64" s="288">
        <f>HLOOKUP($B$5,Region_Table,19,0)</f>
        <v>0</v>
      </c>
      <c r="U64" s="540" t="s">
        <v>1077</v>
      </c>
      <c r="V64" s="541"/>
      <c r="W64" s="541"/>
      <c r="X64" s="541"/>
      <c r="Y64" s="541"/>
      <c r="Z64" s="541"/>
      <c r="AA64" s="541"/>
      <c r="AB64" s="541"/>
      <c r="AC64" s="541"/>
      <c r="AD64" s="541"/>
      <c r="AE64" s="570"/>
      <c r="AF64" s="570"/>
      <c r="AG64" s="571"/>
      <c r="AH64" s="543" cm="1">
        <f t="array" ref="AH64">SUM(SUMIFS('caseload data'!V:V,'caseload data'!B:B,{"licence","community"},'caseload data'!$C:$C,'community caseload'!T64))</f>
        <v>0</v>
      </c>
      <c r="AI64" s="560"/>
      <c r="AJ64" s="561"/>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94">
        <f>SUM(SUMIFS('caseload data'!E:E,'caseload data'!$D:$D,"PO",'caseload data'!$C:$C,'community caseload'!$B$64,'caseload data'!$B:$B,{"licence","community"}))</f>
        <v>0</v>
      </c>
      <c r="D66" s="94">
        <f>SUM(SUMIFS('caseload data'!F:F,'caseload data'!$D:$D,"PO",'caseload data'!$C:$C,'community caseload'!$B$64,'caseload data'!$B:$B,{"licence","community"}))</f>
        <v>0</v>
      </c>
      <c r="E66" s="94">
        <f>SUM(SUMIFS('caseload data'!G:G,'caseload data'!$D:$D,"PO",'caseload data'!$C:$C,'community caseload'!$B$64,'caseload data'!$B:$B,{"licence","community"}))</f>
        <v>0</v>
      </c>
      <c r="F66" s="94">
        <f>SUM(SUMIFS('caseload data'!H:H,'caseload data'!$D:$D,"PO",'caseload data'!$C:$C,'community caseload'!$B$64,'caseload data'!$B:$B,{"licence","community"}))</f>
        <v>0</v>
      </c>
      <c r="G66" s="94">
        <f>SUM(SUMIFS('caseload data'!I:I,'caseload data'!$D:$D,"PO",'caseload data'!$C:$C,'community caseload'!$B$64,'caseload data'!$B:$B,{"licence","community"}))</f>
        <v>0</v>
      </c>
      <c r="H66" s="94">
        <f>SUM(SUMIFS('caseload data'!J:J,'caseload data'!$D:$D,"PO",'caseload data'!$C:$C,'community caseload'!$B$64,'caseload data'!$B:$B,{"licence","community"}))</f>
        <v>0</v>
      </c>
      <c r="I66" s="94">
        <f>SUM(SUMIFS('caseload data'!K:K,'caseload data'!$D:$D,"PO",'caseload data'!$C:$C,'community caseload'!$B$64,'caseload data'!$B:$B,{"licence","community"}))</f>
        <v>0</v>
      </c>
      <c r="J66" s="94">
        <f>SUM(SUMIFS('caseload data'!L:L,'caseload data'!$D:$D,"PO",'caseload data'!$C:$C,'community caseload'!$B$64,'caseload data'!$B:$B,{"licence","community"}))</f>
        <v>0</v>
      </c>
      <c r="K66" s="94">
        <f>SUM(SUMIFS('caseload data'!M:M,'caseload data'!$D:$D,"PO",'caseload data'!$C:$C,'community caseload'!$B$64,'caseload data'!$B:$B,{"licence","community"}))</f>
        <v>0</v>
      </c>
      <c r="L66" s="94">
        <f>SUM(SUMIFS('caseload data'!N:N,'caseload data'!$D:$D,"PO",'caseload data'!$C:$C,'community caseload'!$B$64,'caseload data'!$B:$B,{"licence","community"}))</f>
        <v>0</v>
      </c>
      <c r="M66" s="94">
        <f>SUM(SUMIFS('caseload data'!O:O,'caseload data'!$D:$D,"PO",'caseload data'!$C:$C,'community caseload'!$B$64,'caseload data'!$B:$B,{"licence","community"}))</f>
        <v>0</v>
      </c>
      <c r="N66" s="94">
        <f>SUM(SUMIFS('caseload data'!P:P,'caseload data'!$D:$D,"PO",'caseload data'!$C:$C,'community caseload'!$B$64,'caseload data'!$B:$B,{"licence","community"}))</f>
        <v>0</v>
      </c>
      <c r="O66" s="94">
        <f>SUM(SUMIFS('caseload data'!Q:Q,'caseload data'!$D:$D,"PO",'caseload data'!$C:$C,'community caseload'!$B$64,'caseload data'!$B:$B,{"licence","community"}))</f>
        <v>0</v>
      </c>
      <c r="P66" s="94">
        <f>SUM(SUMIFS('caseload data'!R:R,'caseload data'!$D:$D,"PO",'caseload data'!$C:$C,'community caseload'!$B$64,'caseload data'!$B:$B,{"licence","community"}))</f>
        <v>0</v>
      </c>
      <c r="Q66" s="94">
        <f>SUM(SUMIFS('caseload data'!S:S,'caseload data'!$D:$D,"PO",'caseload data'!$C:$C,'community caseload'!$B$64,'caseload data'!$B:$B,{"licence","community"}))</f>
        <v>0</v>
      </c>
      <c r="R66" s="94">
        <f>SUM(SUMIFS('caseload data'!T:T,'caseload data'!$D:$D,"PO",'caseload data'!$C:$C,'community caseload'!$B$64,'caseload data'!$B:$B,{"licence","community"}))</f>
        <v>0</v>
      </c>
      <c r="S66" s="64"/>
      <c r="T66" s="96" t="s">
        <v>947</v>
      </c>
      <c r="U66" s="94">
        <f>SUM(SUMIFS('caseload data'!E:E,'caseload data'!$D:$D,"PO",'caseload data'!$C:$C,'community caseload'!$T$64,'caseload data'!$B:$B,{"licence","community"}))</f>
        <v>0</v>
      </c>
      <c r="V66" s="94">
        <f>SUM(SUMIFS('caseload data'!F:F,'caseload data'!$D:$D,"PO",'caseload data'!$C:$C,'community caseload'!$T$64,'caseload data'!$B:$B,{"licence","community"}))</f>
        <v>0</v>
      </c>
      <c r="W66" s="94">
        <f>SUM(SUMIFS('caseload data'!G:G,'caseload data'!$D:$D,"PO",'caseload data'!$C:$C,'community caseload'!$T$64,'caseload data'!$B:$B,{"licence","community"}))</f>
        <v>0</v>
      </c>
      <c r="X66" s="94">
        <f>SUM(SUMIFS('caseload data'!H:H,'caseload data'!$D:$D,"PO",'caseload data'!$C:$C,'community caseload'!$T$64,'caseload data'!$B:$B,{"licence","community"}))</f>
        <v>0</v>
      </c>
      <c r="Y66" s="94">
        <f>SUM(SUMIFS('caseload data'!I:I,'caseload data'!$D:$D,"PO",'caseload data'!$C:$C,'community caseload'!$T$64,'caseload data'!$B:$B,{"licence","community"}))</f>
        <v>0</v>
      </c>
      <c r="Z66" s="94">
        <f>SUM(SUMIFS('caseload data'!J:J,'caseload data'!$D:$D,"PO",'caseload data'!$C:$C,'community caseload'!$T$64,'caseload data'!$B:$B,{"licence","community"}))</f>
        <v>0</v>
      </c>
      <c r="AA66" s="94">
        <f>SUM(SUMIFS('caseload data'!K:K,'caseload data'!$D:$D,"PO",'caseload data'!$C:$C,'community caseload'!$T$64,'caseload data'!$B:$B,{"licence","community"}))</f>
        <v>0</v>
      </c>
      <c r="AB66" s="94">
        <f>SUM(SUMIFS('caseload data'!L:L,'caseload data'!$D:$D,"PO",'caseload data'!$C:$C,'community caseload'!$T$64,'caseload data'!$B:$B,{"licence","community"}))</f>
        <v>0</v>
      </c>
      <c r="AC66" s="94">
        <f>SUM(SUMIFS('caseload data'!M:M,'caseload data'!$D:$D,"PO",'caseload data'!$C:$C,'community caseload'!$T$64,'caseload data'!$B:$B,{"licence","community"}))</f>
        <v>0</v>
      </c>
      <c r="AD66" s="94">
        <f>SUM(SUMIFS('caseload data'!N:N,'caseload data'!$D:$D,"PO",'caseload data'!$C:$C,'community caseload'!$T$64,'caseload data'!$B:$B,{"licence","community"}))</f>
        <v>0</v>
      </c>
      <c r="AE66" s="94">
        <f>SUM(SUMIFS('caseload data'!O:O,'caseload data'!$D:$D,"PO",'caseload data'!$C:$C,'community caseload'!$T$64,'caseload data'!$B:$B,{"licence","community"}))</f>
        <v>0</v>
      </c>
      <c r="AF66" s="94">
        <f>SUM(SUMIFS('caseload data'!P:P,'caseload data'!$D:$D,"PO",'caseload data'!$C:$C,'community caseload'!$T$64,'caseload data'!$B:$B,{"licence","community"}))</f>
        <v>0</v>
      </c>
      <c r="AG66" s="94">
        <f>SUM(SUMIFS('caseload data'!Q:Q,'caseload data'!$D:$D,"PO",'caseload data'!$C:$C,'community caseload'!$T$64,'caseload data'!$B:$B,{"licence","community"}))</f>
        <v>0</v>
      </c>
      <c r="AH66" s="94">
        <f>SUM(SUMIFS('caseload data'!R:R,'caseload data'!$D:$D,"PO",'caseload data'!$C:$C,'community caseload'!$T$64,'caseload data'!$B:$B,{"licence","community"}))</f>
        <v>0</v>
      </c>
      <c r="AI66" s="94">
        <f>SUM(SUMIFS('caseload data'!S:S,'caseload data'!$D:$D,"PO",'caseload data'!$C:$C,'community caseload'!$T$64,'caseload data'!$B:$B,{"licence","community"}))</f>
        <v>0</v>
      </c>
      <c r="AJ66" s="94">
        <f>SUM(SUMIFS('caseload data'!T:T,'caseload data'!$D:$D,"PO",'caseload data'!$C:$C,'community caseload'!$T$64,'caseload data'!$B:$B,{"licence","community"}))</f>
        <v>0</v>
      </c>
    </row>
    <row r="67" spans="2:36" x14ac:dyDescent="0.15">
      <c r="B67" s="97" t="s">
        <v>952</v>
      </c>
      <c r="C67" s="94">
        <f>SUM(SUMIFS('caseload data'!E:E,'caseload data'!$D:$D,"PSO",'caseload data'!$C:$C,'community caseload'!$B$64,'caseload data'!$B:$B,{"licence","community"}))</f>
        <v>0</v>
      </c>
      <c r="D67" s="94">
        <f>SUM(SUMIFS('caseload data'!F:F,'caseload data'!$D:$D,"PSO",'caseload data'!$C:$C,'community caseload'!$B$64,'caseload data'!$B:$B,{"licence","community"}))</f>
        <v>0</v>
      </c>
      <c r="E67" s="94">
        <f>SUM(SUMIFS('caseload data'!G:G,'caseload data'!$D:$D,"PSO",'caseload data'!$C:$C,'community caseload'!$B$64,'caseload data'!$B:$B,{"licence","community"}))</f>
        <v>0</v>
      </c>
      <c r="F67" s="94">
        <f>SUM(SUMIFS('caseload data'!H:H,'caseload data'!$D:$D,"PSO",'caseload data'!$C:$C,'community caseload'!$B$64,'caseload data'!$B:$B,{"licence","community"}))</f>
        <v>0</v>
      </c>
      <c r="G67" s="94">
        <f>SUM(SUMIFS('caseload data'!I:I,'caseload data'!$D:$D,"PSO",'caseload data'!$C:$C,'community caseload'!$B$64,'caseload data'!$B:$B,{"licence","community"}))</f>
        <v>0</v>
      </c>
      <c r="H67" s="94">
        <f>SUM(SUMIFS('caseload data'!J:J,'caseload data'!$D:$D,"PSO",'caseload data'!$C:$C,'community caseload'!$B$64,'caseload data'!$B:$B,{"licence","community"}))</f>
        <v>0</v>
      </c>
      <c r="I67" s="94">
        <f>SUM(SUMIFS('caseload data'!K:K,'caseload data'!$D:$D,"PSO",'caseload data'!$C:$C,'community caseload'!$B$64,'caseload data'!$B:$B,{"licence","community"}))</f>
        <v>0</v>
      </c>
      <c r="J67" s="94">
        <f>SUM(SUMIFS('caseload data'!L:L,'caseload data'!$D:$D,"PSO",'caseload data'!$C:$C,'community caseload'!$B$64,'caseload data'!$B:$B,{"licence","community"}))</f>
        <v>0</v>
      </c>
      <c r="K67" s="94">
        <f>SUM(SUMIFS('caseload data'!M:M,'caseload data'!$D:$D,"PSO",'caseload data'!$C:$C,'community caseload'!$B$64,'caseload data'!$B:$B,{"licence","community"}))</f>
        <v>0</v>
      </c>
      <c r="L67" s="94">
        <f>SUM(SUMIFS('caseload data'!N:N,'caseload data'!$D:$D,"PSO",'caseload data'!$C:$C,'community caseload'!$B$64,'caseload data'!$B:$B,{"licence","community"}))</f>
        <v>0</v>
      </c>
      <c r="M67" s="94">
        <f>SUM(SUMIFS('caseload data'!O:O,'caseload data'!$D:$D,"PSO",'caseload data'!$C:$C,'community caseload'!$B$64,'caseload data'!$B:$B,{"licence","community"}))</f>
        <v>0</v>
      </c>
      <c r="N67" s="94">
        <f>SUM(SUMIFS('caseload data'!P:P,'caseload data'!$D:$D,"PSO",'caseload data'!$C:$C,'community caseload'!$B$64,'caseload data'!$B:$B,{"licence","community"}))</f>
        <v>0</v>
      </c>
      <c r="O67" s="94">
        <f>SUM(SUMIFS('caseload data'!Q:Q,'caseload data'!$D:$D,"PSO",'caseload data'!$C:$C,'community caseload'!$B$64,'caseload data'!$B:$B,{"licence","community"}))</f>
        <v>0</v>
      </c>
      <c r="P67" s="94">
        <f>SUM(SUMIFS('caseload data'!R:R,'caseload data'!$D:$D,"PSO",'caseload data'!$C:$C,'community caseload'!$B$64,'caseload data'!$B:$B,{"licence","community"}))</f>
        <v>0</v>
      </c>
      <c r="Q67" s="94">
        <f>SUM(SUMIFS('caseload data'!S:S,'caseload data'!$D:$D,"PSO",'caseload data'!$C:$C,'community caseload'!$B$64,'caseload data'!$B:$B,{"licence","community"}))</f>
        <v>0</v>
      </c>
      <c r="R67" s="94">
        <f>SUM(SUMIFS('caseload data'!T:T,'caseload data'!$D:$D,"PSO",'caseload data'!$C:$C,'community caseload'!$B$64,'caseload data'!$B:$B,{"licence","community"}))</f>
        <v>0</v>
      </c>
      <c r="S67" s="64"/>
      <c r="T67" s="97" t="s">
        <v>952</v>
      </c>
      <c r="U67" s="94">
        <f>SUM(SUMIFS('caseload data'!E:E,'caseload data'!$D:$D,"PSO",'caseload data'!$C:$C,'community caseload'!$T$64,'caseload data'!$B:$B,{"licence","community"}))</f>
        <v>0</v>
      </c>
      <c r="V67" s="94">
        <f>SUM(SUMIFS('caseload data'!F:F,'caseload data'!$D:$D,"PSO",'caseload data'!$C:$C,'community caseload'!$T$64,'caseload data'!$B:$B,{"licence","community"}))</f>
        <v>0</v>
      </c>
      <c r="W67" s="94">
        <f>SUM(SUMIFS('caseload data'!G:G,'caseload data'!$D:$D,"PSO",'caseload data'!$C:$C,'community caseload'!$T$64,'caseload data'!$B:$B,{"licence","community"}))</f>
        <v>0</v>
      </c>
      <c r="X67" s="94">
        <f>SUM(SUMIFS('caseload data'!H:H,'caseload data'!$D:$D,"PSO",'caseload data'!$C:$C,'community caseload'!$T$64,'caseload data'!$B:$B,{"licence","community"}))</f>
        <v>0</v>
      </c>
      <c r="Y67" s="94">
        <f>SUM(SUMIFS('caseload data'!I:I,'caseload data'!$D:$D,"PSO",'caseload data'!$C:$C,'community caseload'!$T$64,'caseload data'!$B:$B,{"licence","community"}))</f>
        <v>0</v>
      </c>
      <c r="Z67" s="94">
        <f>SUM(SUMIFS('caseload data'!J:J,'caseload data'!$D:$D,"PSO",'caseload data'!$C:$C,'community caseload'!$T$64,'caseload data'!$B:$B,{"licence","community"}))</f>
        <v>0</v>
      </c>
      <c r="AA67" s="94">
        <f>SUM(SUMIFS('caseload data'!K:K,'caseload data'!$D:$D,"PSO",'caseload data'!$C:$C,'community caseload'!$T$64,'caseload data'!$B:$B,{"licence","community"}))</f>
        <v>0</v>
      </c>
      <c r="AB67" s="94">
        <f>SUM(SUMIFS('caseload data'!L:L,'caseload data'!$D:$D,"PSO",'caseload data'!$C:$C,'community caseload'!$T$64,'caseload data'!$B:$B,{"licence","community"}))</f>
        <v>0</v>
      </c>
      <c r="AC67" s="94">
        <f>SUM(SUMIFS('caseload data'!M:M,'caseload data'!$D:$D,"PSO",'caseload data'!$C:$C,'community caseload'!$T$64,'caseload data'!$B:$B,{"licence","community"}))</f>
        <v>0</v>
      </c>
      <c r="AD67" s="94">
        <f>SUM(SUMIFS('caseload data'!N:N,'caseload data'!$D:$D,"PSO",'caseload data'!$C:$C,'community caseload'!$T$64,'caseload data'!$B:$B,{"licence","community"}))</f>
        <v>0</v>
      </c>
      <c r="AE67" s="94">
        <f>SUM(SUMIFS('caseload data'!O:O,'caseload data'!$D:$D,"PSO",'caseload data'!$C:$C,'community caseload'!$T$64,'caseload data'!$B:$B,{"licence","community"}))</f>
        <v>0</v>
      </c>
      <c r="AF67" s="94">
        <f>SUM(SUMIFS('caseload data'!P:P,'caseload data'!$D:$D,"PSO",'caseload data'!$C:$C,'community caseload'!$T$64,'caseload data'!$B:$B,{"licence","community"}))</f>
        <v>0</v>
      </c>
      <c r="AG67" s="94">
        <f>SUM(SUMIFS('caseload data'!Q:Q,'caseload data'!$D:$D,"PSO",'caseload data'!$C:$C,'community caseload'!$T$64,'caseload data'!$B:$B,{"licence","community"}))</f>
        <v>0</v>
      </c>
      <c r="AH67" s="94">
        <f>SUM(SUMIFS('caseload data'!R:R,'caseload data'!$D:$D,"PSO",'caseload data'!$C:$C,'community caseload'!$T$64,'caseload data'!$B:$B,{"licence","community"}))</f>
        <v>0</v>
      </c>
      <c r="AI67" s="94">
        <f>SUM(SUMIFS('caseload data'!S:S,'caseload data'!$D:$D,"PSO",'caseload data'!$C:$C,'community caseload'!$T$64,'caseload data'!$B:$B,{"licence","community"}))</f>
        <v>0</v>
      </c>
      <c r="AJ67" s="94">
        <f>SUM(SUMIFS('caseload data'!T:T,'caseload data'!$D:$D,"PSO",'caseload data'!$C:$C,'community caseload'!$T$64,'caseload data'!$B:$B,{"licence","community"}))</f>
        <v>0</v>
      </c>
    </row>
    <row r="68" spans="2:36" x14ac:dyDescent="0.15">
      <c r="B68" s="97" t="s">
        <v>953</v>
      </c>
      <c r="C68" s="94">
        <f>SUM(SUMIFS('caseload data'!E:E,'caseload data'!$D:$D,"TPO",'caseload data'!$C:$C,'community caseload'!$B$64,'caseload data'!$B:$B,{"licence","community"}))</f>
        <v>0</v>
      </c>
      <c r="D68" s="94">
        <f>SUM(SUMIFS('caseload data'!F:F,'caseload data'!$D:$D,"TPO",'caseload data'!$C:$C,'community caseload'!$B$64,'caseload data'!$B:$B,{"licence","community"}))</f>
        <v>0</v>
      </c>
      <c r="E68" s="94">
        <f>SUM(SUMIFS('caseload data'!G:G,'caseload data'!$D:$D,"TPO",'caseload data'!$C:$C,'community caseload'!$B$64,'caseload data'!$B:$B,{"licence","community"}))</f>
        <v>0</v>
      </c>
      <c r="F68" s="94">
        <f>SUM(SUMIFS('caseload data'!H:H,'caseload data'!$D:$D,"TPO",'caseload data'!$C:$C,'community caseload'!$B$64,'caseload data'!$B:$B,{"licence","community"}))</f>
        <v>0</v>
      </c>
      <c r="G68" s="94">
        <f>SUM(SUMIFS('caseload data'!I:I,'caseload data'!$D:$D,"TPO",'caseload data'!$C:$C,'community caseload'!$B$64,'caseload data'!$B:$B,{"licence","community"}))</f>
        <v>0</v>
      </c>
      <c r="H68" s="94">
        <f>SUM(SUMIFS('caseload data'!J:J,'caseload data'!$D:$D,"TPO",'caseload data'!$C:$C,'community caseload'!$B$64,'caseload data'!$B:$B,{"licence","community"}))</f>
        <v>0</v>
      </c>
      <c r="I68" s="94">
        <f>SUM(SUMIFS('caseload data'!K:K,'caseload data'!$D:$D,"TPO",'caseload data'!$C:$C,'community caseload'!$B$64,'caseload data'!$B:$B,{"licence","community"}))</f>
        <v>0</v>
      </c>
      <c r="J68" s="94">
        <f>SUM(SUMIFS('caseload data'!L:L,'caseload data'!$D:$D,"TPO",'caseload data'!$C:$C,'community caseload'!$B$64,'caseload data'!$B:$B,{"licence","community"}))</f>
        <v>0</v>
      </c>
      <c r="K68" s="94">
        <f>SUM(SUMIFS('caseload data'!M:M,'caseload data'!$D:$D,"TPO",'caseload data'!$C:$C,'community caseload'!$B$64,'caseload data'!$B:$B,{"licence","community"}))</f>
        <v>0</v>
      </c>
      <c r="L68" s="94">
        <f>SUM(SUMIFS('caseload data'!N:N,'caseload data'!$D:$D,"TPO",'caseload data'!$C:$C,'community caseload'!$B$64,'caseload data'!$B:$B,{"licence","community"}))</f>
        <v>0</v>
      </c>
      <c r="M68" s="94">
        <f>SUM(SUMIFS('caseload data'!O:O,'caseload data'!$D:$D,"TPO",'caseload data'!$C:$C,'community caseload'!$B$64,'caseload data'!$B:$B,{"licence","community"}))</f>
        <v>0</v>
      </c>
      <c r="N68" s="94">
        <f>SUM(SUMIFS('caseload data'!P:P,'caseload data'!$D:$D,"TPO",'caseload data'!$C:$C,'community caseload'!$B$64,'caseload data'!$B:$B,{"licence","community"}))</f>
        <v>0</v>
      </c>
      <c r="O68" s="94">
        <f>SUM(SUMIFS('caseload data'!Q:Q,'caseload data'!$D:$D,"TPO",'caseload data'!$C:$C,'community caseload'!$B$64,'caseload data'!$B:$B,{"licence","community"}))</f>
        <v>0</v>
      </c>
      <c r="P68" s="94">
        <f>SUM(SUMIFS('caseload data'!R:R,'caseload data'!$D:$D,"TPO",'caseload data'!$C:$C,'community caseload'!$B$64,'caseload data'!$B:$B,{"licence","community"}))</f>
        <v>0</v>
      </c>
      <c r="Q68" s="94">
        <f>SUM(SUMIFS('caseload data'!S:S,'caseload data'!$D:$D,"TPO",'caseload data'!$C:$C,'community caseload'!$B$64,'caseload data'!$B:$B,{"licence","community"}))</f>
        <v>0</v>
      </c>
      <c r="R68" s="94">
        <f>SUM(SUMIFS('caseload data'!T:T,'caseload data'!$D:$D,"TPO",'caseload data'!$C:$C,'community caseload'!$B$64,'caseload data'!$B:$B,{"licence","community"}))</f>
        <v>0</v>
      </c>
      <c r="S68" s="64"/>
      <c r="T68" s="97" t="s">
        <v>953</v>
      </c>
      <c r="U68" s="94">
        <f>SUM(SUMIFS('caseload data'!E:E,'caseload data'!$D:$D,"TPO",'caseload data'!$C:$C,'community caseload'!$T$64,'caseload data'!$B:$B,{"licence","community"}))</f>
        <v>0</v>
      </c>
      <c r="V68" s="94">
        <f>SUM(SUMIFS('caseload data'!F:F,'caseload data'!$D:$D,"TPO",'caseload data'!$C:$C,'community caseload'!$T$64,'caseload data'!$B:$B,{"licence","community"}))</f>
        <v>0</v>
      </c>
      <c r="W68" s="94">
        <f>SUM(SUMIFS('caseload data'!G:G,'caseload data'!$D:$D,"TPO",'caseload data'!$C:$C,'community caseload'!$T$64,'caseload data'!$B:$B,{"licence","community"}))</f>
        <v>0</v>
      </c>
      <c r="X68" s="94">
        <f>SUM(SUMIFS('caseload data'!H:H,'caseload data'!$D:$D,"TPO",'caseload data'!$C:$C,'community caseload'!$T$64,'caseload data'!$B:$B,{"licence","community"}))</f>
        <v>0</v>
      </c>
      <c r="Y68" s="94">
        <f>SUM(SUMIFS('caseload data'!I:I,'caseload data'!$D:$D,"TPO",'caseload data'!$C:$C,'community caseload'!$T$64,'caseload data'!$B:$B,{"licence","community"}))</f>
        <v>0</v>
      </c>
      <c r="Z68" s="94">
        <f>SUM(SUMIFS('caseload data'!J:J,'caseload data'!$D:$D,"TPO",'caseload data'!$C:$C,'community caseload'!$T$64,'caseload data'!$B:$B,{"licence","community"}))</f>
        <v>0</v>
      </c>
      <c r="AA68" s="94">
        <f>SUM(SUMIFS('caseload data'!K:K,'caseload data'!$D:$D,"TPO",'caseload data'!$C:$C,'community caseload'!$T$64,'caseload data'!$B:$B,{"licence","community"}))</f>
        <v>0</v>
      </c>
      <c r="AB68" s="94">
        <f>SUM(SUMIFS('caseload data'!L:L,'caseload data'!$D:$D,"TPO",'caseload data'!$C:$C,'community caseload'!$T$64,'caseload data'!$B:$B,{"licence","community"}))</f>
        <v>0</v>
      </c>
      <c r="AC68" s="94">
        <f>SUM(SUMIFS('caseload data'!M:M,'caseload data'!$D:$D,"TPO",'caseload data'!$C:$C,'community caseload'!$T$64,'caseload data'!$B:$B,{"licence","community"}))</f>
        <v>0</v>
      </c>
      <c r="AD68" s="94">
        <f>SUM(SUMIFS('caseload data'!N:N,'caseload data'!$D:$D,"TPO",'caseload data'!$C:$C,'community caseload'!$T$64,'caseload data'!$B:$B,{"licence","community"}))</f>
        <v>0</v>
      </c>
      <c r="AE68" s="94">
        <f>SUM(SUMIFS('caseload data'!O:O,'caseload data'!$D:$D,"TPO",'caseload data'!$C:$C,'community caseload'!$T$64,'caseload data'!$B:$B,{"licence","community"}))</f>
        <v>0</v>
      </c>
      <c r="AF68" s="94">
        <f>SUM(SUMIFS('caseload data'!P:P,'caseload data'!$D:$D,"TPO",'caseload data'!$C:$C,'community caseload'!$T$64,'caseload data'!$B:$B,{"licence","community"}))</f>
        <v>0</v>
      </c>
      <c r="AG68" s="94">
        <f>SUM(SUMIFS('caseload data'!Q:Q,'caseload data'!$D:$D,"TPO",'caseload data'!$C:$C,'community caseload'!$T$64,'caseload data'!$B:$B,{"licence","community"}))</f>
        <v>0</v>
      </c>
      <c r="AH68" s="94">
        <f>SUM(SUMIFS('caseload data'!R:R,'caseload data'!$D:$D,"TPO",'caseload data'!$C:$C,'community caseload'!$T$64,'caseload data'!$B:$B,{"licence","community"}))</f>
        <v>0</v>
      </c>
      <c r="AI68" s="94">
        <f>SUM(SUMIFS('caseload data'!S:S,'caseload data'!$D:$D,"TPO",'caseload data'!$C:$C,'community caseload'!$T$64,'caseload data'!$B:$B,{"licence","community"}))</f>
        <v>0</v>
      </c>
      <c r="AJ68" s="94">
        <f>SUM(SUMIFS('caseload data'!T:T,'caseload data'!$D:$D,"TPO",'caseload data'!$C:$C,'community caseload'!$T$64,'caseload data'!$B:$B,{"licence","community"}))</f>
        <v>0</v>
      </c>
    </row>
    <row r="69" spans="2:36" x14ac:dyDescent="0.15">
      <c r="B69" s="98" t="s">
        <v>954</v>
      </c>
      <c r="C69" s="94">
        <f>SUM(SUMIFS('caseload data'!E:E,'caseload data'!$D:$D,"SPO",'caseload data'!$C:$C,'community caseload'!$B$64,'caseload data'!$B:$B,{"licence","community"}))</f>
        <v>0</v>
      </c>
      <c r="D69" s="94">
        <f>SUM(SUMIFS('caseload data'!F:F,'caseload data'!$D:$D,"SPO",'caseload data'!$C:$C,'community caseload'!$B$64,'caseload data'!$B:$B,{"licence","community"}))</f>
        <v>0</v>
      </c>
      <c r="E69" s="94">
        <f>SUM(SUMIFS('caseload data'!G:G,'caseload data'!$D:$D,"SPO",'caseload data'!$C:$C,'community caseload'!$B$64,'caseload data'!$B:$B,{"licence","community"}))</f>
        <v>0</v>
      </c>
      <c r="F69" s="94">
        <f>SUM(SUMIFS('caseload data'!H:H,'caseload data'!$D:$D,"SPO",'caseload data'!$C:$C,'community caseload'!$B$64,'caseload data'!$B:$B,{"licence","community"}))</f>
        <v>0</v>
      </c>
      <c r="G69" s="94">
        <f>SUM(SUMIFS('caseload data'!I:I,'caseload data'!$D:$D,"SPO",'caseload data'!$C:$C,'community caseload'!$B$64,'caseload data'!$B:$B,{"licence","community"}))</f>
        <v>0</v>
      </c>
      <c r="H69" s="94">
        <f>SUM(SUMIFS('caseload data'!J:J,'caseload data'!$D:$D,"SPO",'caseload data'!$C:$C,'community caseload'!$B$64,'caseload data'!$B:$B,{"licence","community"}))</f>
        <v>0</v>
      </c>
      <c r="I69" s="94">
        <f>SUM(SUMIFS('caseload data'!K:K,'caseload data'!$D:$D,"SPO",'caseload data'!$C:$C,'community caseload'!$B$64,'caseload data'!$B:$B,{"licence","community"}))</f>
        <v>0</v>
      </c>
      <c r="J69" s="94">
        <f>SUM(SUMIFS('caseload data'!L:L,'caseload data'!$D:$D,"SPO",'caseload data'!$C:$C,'community caseload'!$B$64,'caseload data'!$B:$B,{"licence","community"}))</f>
        <v>0</v>
      </c>
      <c r="K69" s="94">
        <f>SUM(SUMIFS('caseload data'!M:M,'caseload data'!$D:$D,"SPO",'caseload data'!$C:$C,'community caseload'!$B$64,'caseload data'!$B:$B,{"licence","community"}))</f>
        <v>0</v>
      </c>
      <c r="L69" s="94">
        <f>SUM(SUMIFS('caseload data'!N:N,'caseload data'!$D:$D,"SPO",'caseload data'!$C:$C,'community caseload'!$B$64,'caseload data'!$B:$B,{"licence","community"}))</f>
        <v>0</v>
      </c>
      <c r="M69" s="94">
        <f>SUM(SUMIFS('caseload data'!O:O,'caseload data'!$D:$D,"SPO",'caseload data'!$C:$C,'community caseload'!$B$64,'caseload data'!$B:$B,{"licence","community"}))</f>
        <v>0</v>
      </c>
      <c r="N69" s="94">
        <f>SUM(SUMIFS('caseload data'!P:P,'caseload data'!$D:$D,"SPO",'caseload data'!$C:$C,'community caseload'!$B$64,'caseload data'!$B:$B,{"licence","community"}))</f>
        <v>0</v>
      </c>
      <c r="O69" s="94">
        <f>SUM(SUMIFS('caseload data'!Q:Q,'caseload data'!$D:$D,"SPO",'caseload data'!$C:$C,'community caseload'!$B$64,'caseload data'!$B:$B,{"licence","community"}))</f>
        <v>0</v>
      </c>
      <c r="P69" s="94">
        <f>SUM(SUMIFS('caseload data'!R:R,'caseload data'!$D:$D,"SPO",'caseload data'!$C:$C,'community caseload'!$B$64,'caseload data'!$B:$B,{"licence","community"}))</f>
        <v>0</v>
      </c>
      <c r="Q69" s="94">
        <f>SUM(SUMIFS('caseload data'!S:S,'caseload data'!$D:$D,"SPO",'caseload data'!$C:$C,'community caseload'!$B$64,'caseload data'!$B:$B,{"licence","community"}))</f>
        <v>0</v>
      </c>
      <c r="R69" s="94">
        <f>SUM(SUMIFS('caseload data'!T:T,'caseload data'!$D:$D,"SPO",'caseload data'!$C:$C,'community caseload'!$B$64,'caseload data'!$B:$B,{"licence","community"}))</f>
        <v>0</v>
      </c>
      <c r="S69" s="64"/>
      <c r="T69" s="98" t="s">
        <v>954</v>
      </c>
      <c r="U69" s="94">
        <f>SUM(SUMIFS('caseload data'!E:E,'caseload data'!$D:$D,"SPO",'caseload data'!$C:$C,'community caseload'!$T$64,'caseload data'!$B:$B,{"licence","community"}))</f>
        <v>0</v>
      </c>
      <c r="V69" s="94">
        <f>SUM(SUMIFS('caseload data'!F:F,'caseload data'!$D:$D,"SPO",'caseload data'!$C:$C,'community caseload'!$T$64,'caseload data'!$B:$B,{"licence","community"}))</f>
        <v>0</v>
      </c>
      <c r="W69" s="94">
        <f>SUM(SUMIFS('caseload data'!G:G,'caseload data'!$D:$D,"SPO",'caseload data'!$C:$C,'community caseload'!$T$64,'caseload data'!$B:$B,{"licence","community"}))</f>
        <v>0</v>
      </c>
      <c r="X69" s="94">
        <f>SUM(SUMIFS('caseload data'!H:H,'caseload data'!$D:$D,"SPO",'caseload data'!$C:$C,'community caseload'!$T$64,'caseload data'!$B:$B,{"licence","community"}))</f>
        <v>0</v>
      </c>
      <c r="Y69" s="94">
        <f>SUM(SUMIFS('caseload data'!I:I,'caseload data'!$D:$D,"SPO",'caseload data'!$C:$C,'community caseload'!$T$64,'caseload data'!$B:$B,{"licence","community"}))</f>
        <v>0</v>
      </c>
      <c r="Z69" s="94">
        <f>SUM(SUMIFS('caseload data'!J:J,'caseload data'!$D:$D,"SPO",'caseload data'!$C:$C,'community caseload'!$T$64,'caseload data'!$B:$B,{"licence","community"}))</f>
        <v>0</v>
      </c>
      <c r="AA69" s="94">
        <f>SUM(SUMIFS('caseload data'!K:K,'caseload data'!$D:$D,"SPO",'caseload data'!$C:$C,'community caseload'!$T$64,'caseload data'!$B:$B,{"licence","community"}))</f>
        <v>0</v>
      </c>
      <c r="AB69" s="94">
        <f>SUM(SUMIFS('caseload data'!L:L,'caseload data'!$D:$D,"SPO",'caseload data'!$C:$C,'community caseload'!$T$64,'caseload data'!$B:$B,{"licence","community"}))</f>
        <v>0</v>
      </c>
      <c r="AC69" s="94">
        <f>SUM(SUMIFS('caseload data'!M:M,'caseload data'!$D:$D,"SPO",'caseload data'!$C:$C,'community caseload'!$T$64,'caseload data'!$B:$B,{"licence","community"}))</f>
        <v>0</v>
      </c>
      <c r="AD69" s="94">
        <f>SUM(SUMIFS('caseload data'!N:N,'caseload data'!$D:$D,"SPO",'caseload data'!$C:$C,'community caseload'!$T$64,'caseload data'!$B:$B,{"licence","community"}))</f>
        <v>0</v>
      </c>
      <c r="AE69" s="94">
        <f>SUM(SUMIFS('caseload data'!O:O,'caseload data'!$D:$D,"SPO",'caseload data'!$C:$C,'community caseload'!$T$64,'caseload data'!$B:$B,{"licence","community"}))</f>
        <v>0</v>
      </c>
      <c r="AF69" s="94">
        <f>SUM(SUMIFS('caseload data'!P:P,'caseload data'!$D:$D,"SPO",'caseload data'!$C:$C,'community caseload'!$T$64,'caseload data'!$B:$B,{"licence","community"}))</f>
        <v>0</v>
      </c>
      <c r="AG69" s="94">
        <f>SUM(SUMIFS('caseload data'!Q:Q,'caseload data'!$D:$D,"SPO",'caseload data'!$C:$C,'community caseload'!$T$64,'caseload data'!$B:$B,{"licence","community"}))</f>
        <v>0</v>
      </c>
      <c r="AH69" s="94">
        <f>SUM(SUMIFS('caseload data'!R:R,'caseload data'!$D:$D,"SPO",'caseload data'!$C:$C,'community caseload'!$T$64,'caseload data'!$B:$B,{"licence","community"}))</f>
        <v>0</v>
      </c>
      <c r="AI69" s="94">
        <f>SUM(SUMIFS('caseload data'!S:S,'caseload data'!$D:$D,"SPO",'caseload data'!$C:$C,'community caseload'!$T$64,'caseload data'!$B:$B,{"licence","community"}))</f>
        <v>0</v>
      </c>
      <c r="AJ69" s="94">
        <f>SUM(SUMIFS('caseload data'!T:T,'caseload data'!$D:$D,"SPO",'caseload data'!$C:$C,'community caseload'!$T$64,'caseload data'!$B:$B,{"licence","community"}))</f>
        <v>0</v>
      </c>
    </row>
    <row r="71" spans="2:36" ht="24.75" customHeight="1" x14ac:dyDescent="0.15">
      <c r="B71" s="288">
        <f>HLOOKUP($B$5,Region_Table,20,0)</f>
        <v>0</v>
      </c>
      <c r="C71" s="540" t="s">
        <v>1077</v>
      </c>
      <c r="D71" s="541"/>
      <c r="E71" s="541"/>
      <c r="F71" s="541"/>
      <c r="G71" s="541"/>
      <c r="H71" s="541"/>
      <c r="I71" s="541"/>
      <c r="J71" s="541"/>
      <c r="K71" s="541"/>
      <c r="L71" s="541"/>
      <c r="M71" s="570"/>
      <c r="N71" s="570"/>
      <c r="O71" s="571"/>
      <c r="P71" s="543" cm="1">
        <f t="array" ref="P71">SUM(SUMIFS('caseload data'!V:V,'caseload data'!B:B,{"licence","community"},'caseload data'!$C:$C,'community caseload'!B71))</f>
        <v>0</v>
      </c>
      <c r="Q71" s="560"/>
      <c r="R71" s="561"/>
      <c r="S71" s="290"/>
      <c r="T71" s="288">
        <f>HLOOKUP($B$5,Region_Table,21,0)</f>
        <v>0</v>
      </c>
      <c r="U71" s="540" t="s">
        <v>1077</v>
      </c>
      <c r="V71" s="541"/>
      <c r="W71" s="541"/>
      <c r="X71" s="541"/>
      <c r="Y71" s="541"/>
      <c r="Z71" s="541"/>
      <c r="AA71" s="541"/>
      <c r="AB71" s="541"/>
      <c r="AC71" s="541"/>
      <c r="AD71" s="541"/>
      <c r="AE71" s="570"/>
      <c r="AF71" s="570"/>
      <c r="AG71" s="571"/>
      <c r="AH71" s="543" cm="1">
        <f t="array" ref="AH71">SUM(SUMIFS('caseload data'!V:V,'caseload data'!B:B,{"licence","community"},'caseload data'!$C:$C,'community caseload'!T71))</f>
        <v>0</v>
      </c>
      <c r="AI71" s="560"/>
      <c r="AJ71" s="561"/>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94">
        <f>SUM(SUMIFS('caseload data'!E:E,'caseload data'!$D:$D,"PO",'caseload data'!$C:$C,'community caseload'!$B$71,'caseload data'!$B:$B,{"licence","community"}))</f>
        <v>0</v>
      </c>
      <c r="D73" s="94">
        <f>SUM(SUMIFS('caseload data'!F:F,'caseload data'!$D:$D,"PO",'caseload data'!$C:$C,'community caseload'!$B$71,'caseload data'!$B:$B,{"licence","community"}))</f>
        <v>0</v>
      </c>
      <c r="E73" s="94">
        <f>SUM(SUMIFS('caseload data'!G:G,'caseload data'!$D:$D,"PO",'caseload data'!$C:$C,'community caseload'!$B$71,'caseload data'!$B:$B,{"licence","community"}))</f>
        <v>0</v>
      </c>
      <c r="F73" s="94">
        <f>SUM(SUMIFS('caseload data'!H:H,'caseload data'!$D:$D,"PO",'caseload data'!$C:$C,'community caseload'!$B$71,'caseload data'!$B:$B,{"licence","community"}))</f>
        <v>0</v>
      </c>
      <c r="G73" s="94">
        <f>SUM(SUMIFS('caseload data'!I:I,'caseload data'!$D:$D,"PO",'caseload data'!$C:$C,'community caseload'!$B$71,'caseload data'!$B:$B,{"licence","community"}))</f>
        <v>0</v>
      </c>
      <c r="H73" s="94">
        <f>SUM(SUMIFS('caseload data'!J:J,'caseload data'!$D:$D,"PO",'caseload data'!$C:$C,'community caseload'!$B$71,'caseload data'!$B:$B,{"licence","community"}))</f>
        <v>0</v>
      </c>
      <c r="I73" s="94">
        <f>SUM(SUMIFS('caseload data'!K:K,'caseload data'!$D:$D,"PO",'caseload data'!$C:$C,'community caseload'!$B$71,'caseload data'!$B:$B,{"licence","community"}))</f>
        <v>0</v>
      </c>
      <c r="J73" s="94">
        <f>SUM(SUMIFS('caseload data'!L:L,'caseload data'!$D:$D,"PO",'caseload data'!$C:$C,'community caseload'!$B$71,'caseload data'!$B:$B,{"licence","community"}))</f>
        <v>0</v>
      </c>
      <c r="K73" s="94">
        <f>SUM(SUMIFS('caseload data'!M:M,'caseload data'!$D:$D,"PO",'caseload data'!$C:$C,'community caseload'!$B$71,'caseload data'!$B:$B,{"licence","community"}))</f>
        <v>0</v>
      </c>
      <c r="L73" s="94">
        <f>SUM(SUMIFS('caseload data'!N:N,'caseload data'!$D:$D,"PO",'caseload data'!$C:$C,'community caseload'!$B$71,'caseload data'!$B:$B,{"licence","community"}))</f>
        <v>0</v>
      </c>
      <c r="M73" s="94">
        <f>SUM(SUMIFS('caseload data'!O:O,'caseload data'!$D:$D,"PO",'caseload data'!$C:$C,'community caseload'!$B$71,'caseload data'!$B:$B,{"licence","community"}))</f>
        <v>0</v>
      </c>
      <c r="N73" s="94">
        <f>SUM(SUMIFS('caseload data'!P:P,'caseload data'!$D:$D,"PO",'caseload data'!$C:$C,'community caseload'!$B$71,'caseload data'!$B:$B,{"licence","community"}))</f>
        <v>0</v>
      </c>
      <c r="O73" s="94">
        <f>SUM(SUMIFS('caseload data'!Q:Q,'caseload data'!$D:$D,"PO",'caseload data'!$C:$C,'community caseload'!$B$71,'caseload data'!$B:$B,{"licence","community"}))</f>
        <v>0</v>
      </c>
      <c r="P73" s="94">
        <f>SUM(SUMIFS('caseload data'!R:R,'caseload data'!$D:$D,"PO",'caseload data'!$C:$C,'community caseload'!$B$71,'caseload data'!$B:$B,{"licence","community"}))</f>
        <v>0</v>
      </c>
      <c r="Q73" s="94">
        <f>SUM(SUMIFS('caseload data'!S:S,'caseload data'!$D:$D,"PO",'caseload data'!$C:$C,'community caseload'!$B$71,'caseload data'!$B:$B,{"licence","community"}))</f>
        <v>0</v>
      </c>
      <c r="R73" s="94">
        <f>SUM(SUMIFS('caseload data'!T:T,'caseload data'!$D:$D,"PO",'caseload data'!$C:$C,'community caseload'!$B$71,'caseload data'!$B:$B,{"licence","community"}))</f>
        <v>0</v>
      </c>
      <c r="T73" s="96" t="s">
        <v>947</v>
      </c>
      <c r="U73" s="94" cm="1">
        <f t="array" ref="U73">SUM(SUMIFS('caseload data'!E:E,'caseload data'!$D:$D,"PO",'caseload data'!$C:$C,'community caseload'!$T$71,'caseload data'!$B:$B,{"licence","community"}))</f>
        <v>0</v>
      </c>
      <c r="V73" s="94" cm="1">
        <f t="array" ref="V73">SUM(SUMIFS('caseload data'!F:F,'caseload data'!$D:$D,"PO",'caseload data'!$C:$C,'community caseload'!$T$71,'caseload data'!$B:$B,{"licence","community"}))</f>
        <v>0</v>
      </c>
      <c r="W73" s="94" cm="1">
        <f t="array" ref="W73">SUM(SUMIFS('caseload data'!G:G,'caseload data'!$D:$D,"PO",'caseload data'!$C:$C,'community caseload'!$T$71,'caseload data'!$B:$B,{"licence","community"}))</f>
        <v>0</v>
      </c>
      <c r="X73" s="94" cm="1">
        <f t="array" ref="X73">SUM(SUMIFS('caseload data'!H:H,'caseload data'!$D:$D,"PO",'caseload data'!$C:$C,'community caseload'!$T$71,'caseload data'!$B:$B,{"licence","community"}))</f>
        <v>0</v>
      </c>
      <c r="Y73" s="94" cm="1">
        <f t="array" ref="Y73">SUM(SUMIFS('caseload data'!I:I,'caseload data'!$D:$D,"PO",'caseload data'!$C:$C,'community caseload'!$T$71,'caseload data'!$B:$B,{"licence","community"}))</f>
        <v>0</v>
      </c>
      <c r="Z73" s="94" cm="1">
        <f t="array" ref="Z73">SUM(SUMIFS('caseload data'!J:J,'caseload data'!$D:$D,"PO",'caseload data'!$C:$C,'community caseload'!$T$71,'caseload data'!$B:$B,{"licence","community"}))</f>
        <v>0</v>
      </c>
      <c r="AA73" s="94" cm="1">
        <f t="array" ref="AA73">SUM(SUMIFS('caseload data'!K:K,'caseload data'!$D:$D,"PO",'caseload data'!$C:$C,'community caseload'!$T$71,'caseload data'!$B:$B,{"licence","community"}))</f>
        <v>0</v>
      </c>
      <c r="AB73" s="94" cm="1">
        <f t="array" ref="AB73">SUM(SUMIFS('caseload data'!L:L,'caseload data'!$D:$D,"PO",'caseload data'!$C:$C,'community caseload'!$T$71,'caseload data'!$B:$B,{"licence","community"}))</f>
        <v>0</v>
      </c>
      <c r="AC73" s="94" cm="1">
        <f t="array" ref="AC73">SUM(SUMIFS('caseload data'!M:M,'caseload data'!$D:$D,"PO",'caseload data'!$C:$C,'community caseload'!$T$71,'caseload data'!$B:$B,{"licence","community"}))</f>
        <v>0</v>
      </c>
      <c r="AD73" s="94" cm="1">
        <f t="array" ref="AD73">SUM(SUMIFS('caseload data'!N:N,'caseload data'!$D:$D,"PO",'caseload data'!$C:$C,'community caseload'!$T$71,'caseload data'!$B:$B,{"licence","community"}))</f>
        <v>0</v>
      </c>
      <c r="AE73" s="94" cm="1">
        <f t="array" ref="AE73">SUM(SUMIFS('caseload data'!O:O,'caseload data'!$D:$D,"PO",'caseload data'!$C:$C,'community caseload'!$T$71,'caseload data'!$B:$B,{"licence","community"}))</f>
        <v>0</v>
      </c>
      <c r="AF73" s="94" cm="1">
        <f t="array" ref="AF73">SUM(SUMIFS('caseload data'!P:P,'caseload data'!$D:$D,"PO",'caseload data'!$C:$C,'community caseload'!$T$71,'caseload data'!$B:$B,{"licence","community"}))</f>
        <v>0</v>
      </c>
      <c r="AG73" s="94" cm="1">
        <f t="array" ref="AG73">SUM(SUMIFS('caseload data'!Q:Q,'caseload data'!$D:$D,"PO",'caseload data'!$C:$C,'community caseload'!$T$71,'caseload data'!$B:$B,{"licence","community"}))</f>
        <v>0</v>
      </c>
      <c r="AH73" s="94" cm="1">
        <f t="array" ref="AH73">SUM(SUMIFS('caseload data'!R:R,'caseload data'!$D:$D,"PO",'caseload data'!$C:$C,'community caseload'!$T$71,'caseload data'!$B:$B,{"licence","community"}))</f>
        <v>0</v>
      </c>
      <c r="AI73" s="94" cm="1">
        <f t="array" ref="AI73">SUM(SUMIFS('caseload data'!S:S,'caseload data'!$D:$D,"PO",'caseload data'!$C:$C,'community caseload'!$T$71,'caseload data'!$B:$B,{"licence","community"}))</f>
        <v>0</v>
      </c>
      <c r="AJ73" s="94" cm="1">
        <f t="array" ref="AJ73">SUM(SUMIFS('caseload data'!T:T,'caseload data'!$D:$D,"PO",'caseload data'!$C:$C,'community caseload'!$T$71,'caseload data'!$B:$B,{"licence","community"}))</f>
        <v>0</v>
      </c>
    </row>
    <row r="74" spans="2:36" x14ac:dyDescent="0.15">
      <c r="B74" s="97" t="s">
        <v>952</v>
      </c>
      <c r="C74" s="94">
        <f>SUM(SUMIFS('caseload data'!E:E,'caseload data'!$D:$D,"PSO",'caseload data'!$C:$C,'community caseload'!$B$71,'caseload data'!$B:$B,{"licence","community"}))</f>
        <v>0</v>
      </c>
      <c r="D74" s="94">
        <f>SUM(SUMIFS('caseload data'!F:F,'caseload data'!$D:$D,"PSO",'caseload data'!$C:$C,'community caseload'!$B$71,'caseload data'!$B:$B,{"licence","community"}))</f>
        <v>0</v>
      </c>
      <c r="E74" s="94">
        <f>SUM(SUMIFS('caseload data'!G:G,'caseload data'!$D:$D,"PSO",'caseload data'!$C:$C,'community caseload'!$B$71,'caseload data'!$B:$B,{"licence","community"}))</f>
        <v>0</v>
      </c>
      <c r="F74" s="94">
        <f>SUM(SUMIFS('caseload data'!H:H,'caseload data'!$D:$D,"PSO",'caseload data'!$C:$C,'community caseload'!$B$71,'caseload data'!$B:$B,{"licence","community"}))</f>
        <v>0</v>
      </c>
      <c r="G74" s="94">
        <f>SUM(SUMIFS('caseload data'!I:I,'caseload data'!$D:$D,"PSO",'caseload data'!$C:$C,'community caseload'!$B$71,'caseload data'!$B:$B,{"licence","community"}))</f>
        <v>0</v>
      </c>
      <c r="H74" s="94">
        <f>SUM(SUMIFS('caseload data'!J:J,'caseload data'!$D:$D,"PSO",'caseload data'!$C:$C,'community caseload'!$B$71,'caseload data'!$B:$B,{"licence","community"}))</f>
        <v>0</v>
      </c>
      <c r="I74" s="94">
        <f>SUM(SUMIFS('caseload data'!K:K,'caseload data'!$D:$D,"PSO",'caseload data'!$C:$C,'community caseload'!$B$71,'caseload data'!$B:$B,{"licence","community"}))</f>
        <v>0</v>
      </c>
      <c r="J74" s="94">
        <f>SUM(SUMIFS('caseload data'!L:L,'caseload data'!$D:$D,"PSO",'caseload data'!$C:$C,'community caseload'!$B$71,'caseload data'!$B:$B,{"licence","community"}))</f>
        <v>0</v>
      </c>
      <c r="K74" s="94">
        <f>SUM(SUMIFS('caseload data'!M:M,'caseload data'!$D:$D,"PSO",'caseload data'!$C:$C,'community caseload'!$B$71,'caseload data'!$B:$B,{"licence","community"}))</f>
        <v>0</v>
      </c>
      <c r="L74" s="94">
        <f>SUM(SUMIFS('caseload data'!N:N,'caseload data'!$D:$D,"PSO",'caseload data'!$C:$C,'community caseload'!$B$71,'caseload data'!$B:$B,{"licence","community"}))</f>
        <v>0</v>
      </c>
      <c r="M74" s="94">
        <f>SUM(SUMIFS('caseload data'!O:O,'caseload data'!$D:$D,"PSO",'caseload data'!$C:$C,'community caseload'!$B$71,'caseload data'!$B:$B,{"licence","community"}))</f>
        <v>0</v>
      </c>
      <c r="N74" s="94">
        <f>SUM(SUMIFS('caseload data'!P:P,'caseload data'!$D:$D,"PSO",'caseload data'!$C:$C,'community caseload'!$B$71,'caseload data'!$B:$B,{"licence","community"}))</f>
        <v>0</v>
      </c>
      <c r="O74" s="94">
        <f>SUM(SUMIFS('caseload data'!Q:Q,'caseload data'!$D:$D,"PSO",'caseload data'!$C:$C,'community caseload'!$B$71,'caseload data'!$B:$B,{"licence","community"}))</f>
        <v>0</v>
      </c>
      <c r="P74" s="94">
        <f>SUM(SUMIFS('caseload data'!R:R,'caseload data'!$D:$D,"PSO",'caseload data'!$C:$C,'community caseload'!$B$71,'caseload data'!$B:$B,{"licence","community"}))</f>
        <v>0</v>
      </c>
      <c r="Q74" s="94">
        <f>SUM(SUMIFS('caseload data'!S:S,'caseload data'!$D:$D,"PSO",'caseload data'!$C:$C,'community caseload'!$B$71,'caseload data'!$B:$B,{"licence","community"}))</f>
        <v>0</v>
      </c>
      <c r="R74" s="94">
        <f>SUM(SUMIFS('caseload data'!T:T,'caseload data'!$D:$D,"PSO",'caseload data'!$C:$C,'community caseload'!$B$71,'caseload data'!$B:$B,{"licence","community"}))</f>
        <v>0</v>
      </c>
      <c r="T74" s="97" t="s">
        <v>952</v>
      </c>
      <c r="U74" s="94" cm="1">
        <f t="array" ref="U74">SUM(SUMIFS('caseload data'!E:E,'caseload data'!$D:$D,"PSO",'caseload data'!$C:$C,'community caseload'!$T$71,'caseload data'!$B:$B,{"licence","community"}))</f>
        <v>0</v>
      </c>
      <c r="V74" s="94" cm="1">
        <f t="array" ref="V74">SUM(SUMIFS('caseload data'!F:F,'caseload data'!$D:$D,"PSO",'caseload data'!$C:$C,'community caseload'!$T$71,'caseload data'!$B:$B,{"licence","community"}))</f>
        <v>0</v>
      </c>
      <c r="W74" s="94" cm="1">
        <f t="array" ref="W74">SUM(SUMIFS('caseload data'!G:G,'caseload data'!$D:$D,"PSO",'caseload data'!$C:$C,'community caseload'!$T$71,'caseload data'!$B:$B,{"licence","community"}))</f>
        <v>0</v>
      </c>
      <c r="X74" s="94" cm="1">
        <f t="array" ref="X74">SUM(SUMIFS('caseload data'!H:H,'caseload data'!$D:$D,"PSO",'caseload data'!$C:$C,'community caseload'!$T$71,'caseload data'!$B:$B,{"licence","community"}))</f>
        <v>0</v>
      </c>
      <c r="Y74" s="94" cm="1">
        <f t="array" ref="Y74">SUM(SUMIFS('caseload data'!I:I,'caseload data'!$D:$D,"PSO",'caseload data'!$C:$C,'community caseload'!$T$71,'caseload data'!$B:$B,{"licence","community"}))</f>
        <v>0</v>
      </c>
      <c r="Z74" s="94" cm="1">
        <f t="array" ref="Z74">SUM(SUMIFS('caseload data'!J:J,'caseload data'!$D:$D,"PSO",'caseload data'!$C:$C,'community caseload'!$T$71,'caseload data'!$B:$B,{"licence","community"}))</f>
        <v>0</v>
      </c>
      <c r="AA74" s="94" cm="1">
        <f t="array" ref="AA74">SUM(SUMIFS('caseload data'!K:K,'caseload data'!$D:$D,"PSO",'caseload data'!$C:$C,'community caseload'!$T$71,'caseload data'!$B:$B,{"licence","community"}))</f>
        <v>0</v>
      </c>
      <c r="AB74" s="94" cm="1">
        <f t="array" ref="AB74">SUM(SUMIFS('caseload data'!L:L,'caseload data'!$D:$D,"PSO",'caseload data'!$C:$C,'community caseload'!$T$71,'caseload data'!$B:$B,{"licence","community"}))</f>
        <v>0</v>
      </c>
      <c r="AC74" s="94" cm="1">
        <f t="array" ref="AC74">SUM(SUMIFS('caseload data'!M:M,'caseload data'!$D:$D,"PSO",'caseload data'!$C:$C,'community caseload'!$T$71,'caseload data'!$B:$B,{"licence","community"}))</f>
        <v>0</v>
      </c>
      <c r="AD74" s="94" cm="1">
        <f t="array" ref="AD74">SUM(SUMIFS('caseload data'!N:N,'caseload data'!$D:$D,"PSO",'caseload data'!$C:$C,'community caseload'!$T$71,'caseload data'!$B:$B,{"licence","community"}))</f>
        <v>0</v>
      </c>
      <c r="AE74" s="94" cm="1">
        <f t="array" ref="AE74">SUM(SUMIFS('caseload data'!O:O,'caseload data'!$D:$D,"PSO",'caseload data'!$C:$C,'community caseload'!$T$71,'caseload data'!$B:$B,{"licence","community"}))</f>
        <v>0</v>
      </c>
      <c r="AF74" s="94" cm="1">
        <f t="array" ref="AF74">SUM(SUMIFS('caseload data'!P:P,'caseload data'!$D:$D,"PSO",'caseload data'!$C:$C,'community caseload'!$T$71,'caseload data'!$B:$B,{"licence","community"}))</f>
        <v>0</v>
      </c>
      <c r="AG74" s="94" cm="1">
        <f t="array" ref="AG74">SUM(SUMIFS('caseload data'!Q:Q,'caseload data'!$D:$D,"PSO",'caseload data'!$C:$C,'community caseload'!$T$71,'caseload data'!$B:$B,{"licence","community"}))</f>
        <v>0</v>
      </c>
      <c r="AH74" s="94" cm="1">
        <f t="array" ref="AH74">SUM(SUMIFS('caseload data'!R:R,'caseload data'!$D:$D,"PSO",'caseload data'!$C:$C,'community caseload'!$T$71,'caseload data'!$B:$B,{"licence","community"}))</f>
        <v>0</v>
      </c>
      <c r="AI74" s="94" cm="1">
        <f t="array" ref="AI74">SUM(SUMIFS('caseload data'!S:S,'caseload data'!$D:$D,"PSO",'caseload data'!$C:$C,'community caseload'!$T$71,'caseload data'!$B:$B,{"licence","community"}))</f>
        <v>0</v>
      </c>
      <c r="AJ74" s="94" cm="1">
        <f t="array" ref="AJ74">SUM(SUMIFS('caseload data'!T:T,'caseload data'!$D:$D,"PSO",'caseload data'!$C:$C,'community caseload'!$T$71,'caseload data'!$B:$B,{"licence","community"}))</f>
        <v>0</v>
      </c>
    </row>
    <row r="75" spans="2:36" x14ac:dyDescent="0.15">
      <c r="B75" s="97" t="s">
        <v>953</v>
      </c>
      <c r="C75" s="94">
        <f>SUM(SUMIFS('caseload data'!E:E,'caseload data'!$D:$D,"TPO",'caseload data'!$C:$C,'community caseload'!$B$71,'caseload data'!$B:$B,{"licence","community"}))</f>
        <v>0</v>
      </c>
      <c r="D75" s="94">
        <f>SUM(SUMIFS('caseload data'!F:F,'caseload data'!$D:$D,"TPO",'caseload data'!$C:$C,'community caseload'!$B$71,'caseload data'!$B:$B,{"licence","community"}))</f>
        <v>0</v>
      </c>
      <c r="E75" s="94">
        <f>SUM(SUMIFS('caseload data'!G:G,'caseload data'!$D:$D,"TPO",'caseload data'!$C:$C,'community caseload'!$B$71,'caseload data'!$B:$B,{"licence","community"}))</f>
        <v>0</v>
      </c>
      <c r="F75" s="94">
        <f>SUM(SUMIFS('caseload data'!H:H,'caseload data'!$D:$D,"TPO",'caseload data'!$C:$C,'community caseload'!$B$71,'caseload data'!$B:$B,{"licence","community"}))</f>
        <v>0</v>
      </c>
      <c r="G75" s="94">
        <f>SUM(SUMIFS('caseload data'!I:I,'caseload data'!$D:$D,"TPO",'caseload data'!$C:$C,'community caseload'!$B$71,'caseload data'!$B:$B,{"licence","community"}))</f>
        <v>0</v>
      </c>
      <c r="H75" s="94">
        <f>SUM(SUMIFS('caseload data'!J:J,'caseload data'!$D:$D,"TPO",'caseload data'!$C:$C,'community caseload'!$B$71,'caseload data'!$B:$B,{"licence","community"}))</f>
        <v>0</v>
      </c>
      <c r="I75" s="94">
        <f>SUM(SUMIFS('caseload data'!K:K,'caseload data'!$D:$D,"TPO",'caseload data'!$C:$C,'community caseload'!$B$71,'caseload data'!$B:$B,{"licence","community"}))</f>
        <v>0</v>
      </c>
      <c r="J75" s="94">
        <f>SUM(SUMIFS('caseload data'!L:L,'caseload data'!$D:$D,"TPO",'caseload data'!$C:$C,'community caseload'!$B$71,'caseload data'!$B:$B,{"licence","community"}))</f>
        <v>0</v>
      </c>
      <c r="K75" s="94">
        <f>SUM(SUMIFS('caseload data'!M:M,'caseload data'!$D:$D,"TPO",'caseload data'!$C:$C,'community caseload'!$B$71,'caseload data'!$B:$B,{"licence","community"}))</f>
        <v>0</v>
      </c>
      <c r="L75" s="94">
        <f>SUM(SUMIFS('caseload data'!N:N,'caseload data'!$D:$D,"TPO",'caseload data'!$C:$C,'community caseload'!$B$71,'caseload data'!$B:$B,{"licence","community"}))</f>
        <v>0</v>
      </c>
      <c r="M75" s="94">
        <f>SUM(SUMIFS('caseload data'!O:O,'caseload data'!$D:$D,"TPO",'caseload data'!$C:$C,'community caseload'!$B$71,'caseload data'!$B:$B,{"licence","community"}))</f>
        <v>0</v>
      </c>
      <c r="N75" s="94">
        <f>SUM(SUMIFS('caseload data'!P:P,'caseload data'!$D:$D,"TPO",'caseload data'!$C:$C,'community caseload'!$B$71,'caseload data'!$B:$B,{"licence","community"}))</f>
        <v>0</v>
      </c>
      <c r="O75" s="94">
        <f>SUM(SUMIFS('caseload data'!Q:Q,'caseload data'!$D:$D,"TPO",'caseload data'!$C:$C,'community caseload'!$B$71,'caseload data'!$B:$B,{"licence","community"}))</f>
        <v>0</v>
      </c>
      <c r="P75" s="94">
        <f>SUM(SUMIFS('caseload data'!R:R,'caseload data'!$D:$D,"TPO",'caseload data'!$C:$C,'community caseload'!$B$71,'caseload data'!$B:$B,{"licence","community"}))</f>
        <v>0</v>
      </c>
      <c r="Q75" s="94">
        <f>SUM(SUMIFS('caseload data'!S:S,'caseload data'!$D:$D,"TPO",'caseload data'!$C:$C,'community caseload'!$B$71,'caseload data'!$B:$B,{"licence","community"}))</f>
        <v>0</v>
      </c>
      <c r="R75" s="94">
        <f>SUM(SUMIFS('caseload data'!T:T,'caseload data'!$D:$D,"TPO",'caseload data'!$C:$C,'community caseload'!$B$71,'caseload data'!$B:$B,{"licence","community"}))</f>
        <v>0</v>
      </c>
      <c r="T75" s="97" t="s">
        <v>953</v>
      </c>
      <c r="U75" s="94" cm="1">
        <f t="array" ref="U75">SUM(SUMIFS('caseload data'!E:E,'caseload data'!$D:$D,"TPO",'caseload data'!$C:$C,'community caseload'!$T$71,'caseload data'!$B:$B,{"licence","community"}))</f>
        <v>0</v>
      </c>
      <c r="V75" s="94" cm="1">
        <f t="array" ref="V75">SUM(SUMIFS('caseload data'!F:F,'caseload data'!$D:$D,"TPO",'caseload data'!$C:$C,'community caseload'!$T$71,'caseload data'!$B:$B,{"licence","community"}))</f>
        <v>0</v>
      </c>
      <c r="W75" s="94" cm="1">
        <f t="array" ref="W75">SUM(SUMIFS('caseload data'!G:G,'caseload data'!$D:$D,"TPO",'caseload data'!$C:$C,'community caseload'!$T$71,'caseload data'!$B:$B,{"licence","community"}))</f>
        <v>0</v>
      </c>
      <c r="X75" s="94" cm="1">
        <f t="array" ref="X75">SUM(SUMIFS('caseload data'!H:H,'caseload data'!$D:$D,"TPO",'caseload data'!$C:$C,'community caseload'!$T$71,'caseload data'!$B:$B,{"licence","community"}))</f>
        <v>0</v>
      </c>
      <c r="Y75" s="94" cm="1">
        <f t="array" ref="Y75">SUM(SUMIFS('caseload data'!I:I,'caseload data'!$D:$D,"TPO",'caseload data'!$C:$C,'community caseload'!$T$71,'caseload data'!$B:$B,{"licence","community"}))</f>
        <v>0</v>
      </c>
      <c r="Z75" s="94" cm="1">
        <f t="array" ref="Z75">SUM(SUMIFS('caseload data'!J:J,'caseload data'!$D:$D,"TPO",'caseload data'!$C:$C,'community caseload'!$T$71,'caseload data'!$B:$B,{"licence","community"}))</f>
        <v>0</v>
      </c>
      <c r="AA75" s="94" cm="1">
        <f t="array" ref="AA75">SUM(SUMIFS('caseload data'!K:K,'caseload data'!$D:$D,"TPO",'caseload data'!$C:$C,'community caseload'!$T$71,'caseload data'!$B:$B,{"licence","community"}))</f>
        <v>0</v>
      </c>
      <c r="AB75" s="94" cm="1">
        <f t="array" ref="AB75">SUM(SUMIFS('caseload data'!L:L,'caseload data'!$D:$D,"TPO",'caseload data'!$C:$C,'community caseload'!$T$71,'caseload data'!$B:$B,{"licence","community"}))</f>
        <v>0</v>
      </c>
      <c r="AC75" s="94" cm="1">
        <f t="array" ref="AC75">SUM(SUMIFS('caseload data'!M:M,'caseload data'!$D:$D,"TPO",'caseload data'!$C:$C,'community caseload'!$T$71,'caseload data'!$B:$B,{"licence","community"}))</f>
        <v>0</v>
      </c>
      <c r="AD75" s="94" cm="1">
        <f t="array" ref="AD75">SUM(SUMIFS('caseload data'!N:N,'caseload data'!$D:$D,"TPO",'caseload data'!$C:$C,'community caseload'!$T$71,'caseload data'!$B:$B,{"licence","community"}))</f>
        <v>0</v>
      </c>
      <c r="AE75" s="94" cm="1">
        <f t="array" ref="AE75">SUM(SUMIFS('caseload data'!O:O,'caseload data'!$D:$D,"TPO",'caseload data'!$C:$C,'community caseload'!$T$71,'caseload data'!$B:$B,{"licence","community"}))</f>
        <v>0</v>
      </c>
      <c r="AF75" s="94" cm="1">
        <f t="array" ref="AF75">SUM(SUMIFS('caseload data'!P:P,'caseload data'!$D:$D,"TPO",'caseload data'!$C:$C,'community caseload'!$T$71,'caseload data'!$B:$B,{"licence","community"}))</f>
        <v>0</v>
      </c>
      <c r="AG75" s="94" cm="1">
        <f t="array" ref="AG75">SUM(SUMIFS('caseload data'!Q:Q,'caseload data'!$D:$D,"TPO",'caseload data'!$C:$C,'community caseload'!$T$71,'caseload data'!$B:$B,{"licence","community"}))</f>
        <v>0</v>
      </c>
      <c r="AH75" s="94" cm="1">
        <f t="array" ref="AH75">SUM(SUMIFS('caseload data'!R:R,'caseload data'!$D:$D,"TPO",'caseload data'!$C:$C,'community caseload'!$T$71,'caseload data'!$B:$B,{"licence","community"}))</f>
        <v>0</v>
      </c>
      <c r="AI75" s="94" cm="1">
        <f t="array" ref="AI75">SUM(SUMIFS('caseload data'!S:S,'caseload data'!$D:$D,"TPO",'caseload data'!$C:$C,'community caseload'!$T$71,'caseload data'!$B:$B,{"licence","community"}))</f>
        <v>0</v>
      </c>
      <c r="AJ75" s="94" cm="1">
        <f t="array" ref="AJ75">SUM(SUMIFS('caseload data'!T:T,'caseload data'!$D:$D,"TPO",'caseload data'!$C:$C,'community caseload'!$T$71,'caseload data'!$B:$B,{"licence","community"}))</f>
        <v>0</v>
      </c>
    </row>
    <row r="76" spans="2:36" x14ac:dyDescent="0.15">
      <c r="B76" s="98" t="s">
        <v>954</v>
      </c>
      <c r="C76" s="94">
        <f>SUM(SUMIFS('caseload data'!E:E,'caseload data'!$D:$D,"SPO",'caseload data'!$C:$C,'community caseload'!$B$71,'caseload data'!$B:$B,{"licence","community"}))</f>
        <v>0</v>
      </c>
      <c r="D76" s="94">
        <f>SUM(SUMIFS('caseload data'!F:F,'caseload data'!$D:$D,"SPO",'caseload data'!$C:$C,'community caseload'!$B$71,'caseload data'!$B:$B,{"licence","community"}))</f>
        <v>0</v>
      </c>
      <c r="E76" s="94">
        <f>SUM(SUMIFS('caseload data'!G:G,'caseload data'!$D:$D,"SPO",'caseload data'!$C:$C,'community caseload'!$B$71,'caseload data'!$B:$B,{"licence","community"}))</f>
        <v>0</v>
      </c>
      <c r="F76" s="94">
        <f>SUM(SUMIFS('caseload data'!H:H,'caseload data'!$D:$D,"SPO",'caseload data'!$C:$C,'community caseload'!$B$71,'caseload data'!$B:$B,{"licence","community"}))</f>
        <v>0</v>
      </c>
      <c r="G76" s="94">
        <f>SUM(SUMIFS('caseload data'!I:I,'caseload data'!$D:$D,"SPO",'caseload data'!$C:$C,'community caseload'!$B$71,'caseload data'!$B:$B,{"licence","community"}))</f>
        <v>0</v>
      </c>
      <c r="H76" s="94">
        <f>SUM(SUMIFS('caseload data'!J:J,'caseload data'!$D:$D,"SPO",'caseload data'!$C:$C,'community caseload'!$B$71,'caseload data'!$B:$B,{"licence","community"}))</f>
        <v>0</v>
      </c>
      <c r="I76" s="94">
        <f>SUM(SUMIFS('caseload data'!K:K,'caseload data'!$D:$D,"SPO",'caseload data'!$C:$C,'community caseload'!$B$71,'caseload data'!$B:$B,{"licence","community"}))</f>
        <v>0</v>
      </c>
      <c r="J76" s="94">
        <f>SUM(SUMIFS('caseload data'!L:L,'caseload data'!$D:$D,"SPO",'caseload data'!$C:$C,'community caseload'!$B$71,'caseload data'!$B:$B,{"licence","community"}))</f>
        <v>0</v>
      </c>
      <c r="K76" s="94">
        <f>SUM(SUMIFS('caseload data'!M:M,'caseload data'!$D:$D,"SPO",'caseload data'!$C:$C,'community caseload'!$B$71,'caseload data'!$B:$B,{"licence","community"}))</f>
        <v>0</v>
      </c>
      <c r="L76" s="94">
        <f>SUM(SUMIFS('caseload data'!N:N,'caseload data'!$D:$D,"SPO",'caseload data'!$C:$C,'community caseload'!$B$71,'caseload data'!$B:$B,{"licence","community"}))</f>
        <v>0</v>
      </c>
      <c r="M76" s="94">
        <f>SUM(SUMIFS('caseload data'!O:O,'caseload data'!$D:$D,"SPO",'caseload data'!$C:$C,'community caseload'!$B$71,'caseload data'!$B:$B,{"licence","community"}))</f>
        <v>0</v>
      </c>
      <c r="N76" s="94">
        <f>SUM(SUMIFS('caseload data'!P:P,'caseload data'!$D:$D,"SPO",'caseload data'!$C:$C,'community caseload'!$B$71,'caseload data'!$B:$B,{"licence","community"}))</f>
        <v>0</v>
      </c>
      <c r="O76" s="94">
        <f>SUM(SUMIFS('caseload data'!Q:Q,'caseload data'!$D:$D,"SPO",'caseload data'!$C:$C,'community caseload'!$B$71,'caseload data'!$B:$B,{"licence","community"}))</f>
        <v>0</v>
      </c>
      <c r="P76" s="94">
        <f>SUM(SUMIFS('caseload data'!R:R,'caseload data'!$D:$D,"SPO",'caseload data'!$C:$C,'community caseload'!$B$71,'caseload data'!$B:$B,{"licence","community"}))</f>
        <v>0</v>
      </c>
      <c r="Q76" s="94">
        <f>SUM(SUMIFS('caseload data'!S:S,'caseload data'!$D:$D,"SPO",'caseload data'!$C:$C,'community caseload'!$B$71,'caseload data'!$B:$B,{"licence","community"}))</f>
        <v>0</v>
      </c>
      <c r="R76" s="94">
        <f>SUM(SUMIFS('caseload data'!T:T,'caseload data'!$D:$D,"SPO",'caseload data'!$C:$C,'community caseload'!$B$71,'caseload data'!$B:$B,{"licence","community"}))</f>
        <v>0</v>
      </c>
      <c r="T76" s="98" t="s">
        <v>954</v>
      </c>
      <c r="U76" s="94" cm="1">
        <f t="array" ref="U76">SUM(SUMIFS('caseload data'!E:E,'caseload data'!$D:$D,"SPO",'caseload data'!$C:$C,'community caseload'!$T$71,'caseload data'!$B:$B,{"licence","community"}))</f>
        <v>0</v>
      </c>
      <c r="V76" s="94" cm="1">
        <f t="array" ref="V76">SUM(SUMIFS('caseload data'!F:F,'caseload data'!$D:$D,"SPO",'caseload data'!$C:$C,'community caseload'!$T$71,'caseload data'!$B:$B,{"licence","community"}))</f>
        <v>0</v>
      </c>
      <c r="W76" s="94" cm="1">
        <f t="array" ref="W76">SUM(SUMIFS('caseload data'!G:G,'caseload data'!$D:$D,"SPO",'caseload data'!$C:$C,'community caseload'!$T$71,'caseload data'!$B:$B,{"licence","community"}))</f>
        <v>0</v>
      </c>
      <c r="X76" s="94" cm="1">
        <f t="array" ref="X76">SUM(SUMIFS('caseload data'!H:H,'caseload data'!$D:$D,"SPO",'caseload data'!$C:$C,'community caseload'!$T$71,'caseload data'!$B:$B,{"licence","community"}))</f>
        <v>0</v>
      </c>
      <c r="Y76" s="94" cm="1">
        <f t="array" ref="Y76">SUM(SUMIFS('caseload data'!I:I,'caseload data'!$D:$D,"SPO",'caseload data'!$C:$C,'community caseload'!$T$71,'caseload data'!$B:$B,{"licence","community"}))</f>
        <v>0</v>
      </c>
      <c r="Z76" s="94" cm="1">
        <f t="array" ref="Z76">SUM(SUMIFS('caseload data'!J:J,'caseload data'!$D:$D,"SPO",'caseload data'!$C:$C,'community caseload'!$T$71,'caseload data'!$B:$B,{"licence","community"}))</f>
        <v>0</v>
      </c>
      <c r="AA76" s="94" cm="1">
        <f t="array" ref="AA76">SUM(SUMIFS('caseload data'!K:K,'caseload data'!$D:$D,"SPO",'caseload data'!$C:$C,'community caseload'!$T$71,'caseload data'!$B:$B,{"licence","community"}))</f>
        <v>0</v>
      </c>
      <c r="AB76" s="94" cm="1">
        <f t="array" ref="AB76">SUM(SUMIFS('caseload data'!L:L,'caseload data'!$D:$D,"SPO",'caseload data'!$C:$C,'community caseload'!$T$71,'caseload data'!$B:$B,{"licence","community"}))</f>
        <v>0</v>
      </c>
      <c r="AC76" s="94" cm="1">
        <f t="array" ref="AC76">SUM(SUMIFS('caseload data'!M:M,'caseload data'!$D:$D,"SPO",'caseload data'!$C:$C,'community caseload'!$T$71,'caseload data'!$B:$B,{"licence","community"}))</f>
        <v>0</v>
      </c>
      <c r="AD76" s="94" cm="1">
        <f t="array" ref="AD76">SUM(SUMIFS('caseload data'!N:N,'caseload data'!$D:$D,"SPO",'caseload data'!$C:$C,'community caseload'!$T$71,'caseload data'!$B:$B,{"licence","community"}))</f>
        <v>0</v>
      </c>
      <c r="AE76" s="94" cm="1">
        <f t="array" ref="AE76">SUM(SUMIFS('caseload data'!O:O,'caseload data'!$D:$D,"SPO",'caseload data'!$C:$C,'community caseload'!$T$71,'caseload data'!$B:$B,{"licence","community"}))</f>
        <v>0</v>
      </c>
      <c r="AF76" s="94" cm="1">
        <f t="array" ref="AF76">SUM(SUMIFS('caseload data'!P:P,'caseload data'!$D:$D,"SPO",'caseload data'!$C:$C,'community caseload'!$T$71,'caseload data'!$B:$B,{"licence","community"}))</f>
        <v>0</v>
      </c>
      <c r="AG76" s="94" cm="1">
        <f t="array" ref="AG76">SUM(SUMIFS('caseload data'!Q:Q,'caseload data'!$D:$D,"SPO",'caseload data'!$C:$C,'community caseload'!$T$71,'caseload data'!$B:$B,{"licence","community"}))</f>
        <v>0</v>
      </c>
      <c r="AH76" s="94" cm="1">
        <f t="array" ref="AH76">SUM(SUMIFS('caseload data'!R:R,'caseload data'!$D:$D,"SPO",'caseload data'!$C:$C,'community caseload'!$T$71,'caseload data'!$B:$B,{"licence","community"}))</f>
        <v>0</v>
      </c>
      <c r="AI76" s="94" cm="1">
        <f t="array" ref="AI76">SUM(SUMIFS('caseload data'!S:S,'caseload data'!$D:$D,"SPO",'caseload data'!$C:$C,'community caseload'!$T$71,'caseload data'!$B:$B,{"licence","community"}))</f>
        <v>0</v>
      </c>
      <c r="AJ76" s="94" cm="1">
        <f t="array" ref="AJ76">SUM(SUMIFS('caseload data'!T:T,'caseload data'!$D:$D,"SPO",'caseload data'!$C:$C,'community caseload'!$T$71,'caseload data'!$B:$B,{"licence","community"}))</f>
        <v>0</v>
      </c>
    </row>
    <row r="78" spans="2:36" ht="27" customHeight="1" x14ac:dyDescent="0.15">
      <c r="B78" s="288">
        <f>HLOOKUP($B$5,Region_Table,22,0)</f>
        <v>0</v>
      </c>
      <c r="C78" s="540" t="s">
        <v>1077</v>
      </c>
      <c r="D78" s="541"/>
      <c r="E78" s="541"/>
      <c r="F78" s="541"/>
      <c r="G78" s="541"/>
      <c r="H78" s="541"/>
      <c r="I78" s="541"/>
      <c r="J78" s="541"/>
      <c r="K78" s="541"/>
      <c r="L78" s="541"/>
      <c r="M78" s="570"/>
      <c r="N78" s="570"/>
      <c r="O78" s="571"/>
      <c r="P78" s="543" cm="1">
        <f t="array" ref="P78">SUM(SUMIFS('caseload data'!V:V,'caseload data'!B:B,{"licence","community"},'caseload data'!$C:$C,'community caseload'!B78))</f>
        <v>0</v>
      </c>
      <c r="Q78" s="560"/>
      <c r="R78" s="561"/>
      <c r="S78" s="290"/>
      <c r="T78" s="288">
        <f>HLOOKUP($B$5,Region_Table,23,0)</f>
        <v>0</v>
      </c>
      <c r="U78" s="540" t="s">
        <v>1077</v>
      </c>
      <c r="V78" s="541"/>
      <c r="W78" s="541"/>
      <c r="X78" s="541"/>
      <c r="Y78" s="541"/>
      <c r="Z78" s="541"/>
      <c r="AA78" s="541"/>
      <c r="AB78" s="541"/>
      <c r="AC78" s="541"/>
      <c r="AD78" s="541"/>
      <c r="AE78" s="570"/>
      <c r="AF78" s="570"/>
      <c r="AG78" s="571"/>
      <c r="AH78" s="543" cm="1">
        <f t="array" ref="AH78">SUM(SUMIFS('caseload data'!V:V,'caseload data'!B:B,{"licence","community"},'caseload data'!$C:$C,'community caseload'!T78))</f>
        <v>0</v>
      </c>
      <c r="AI78" s="560"/>
      <c r="AJ78" s="561"/>
    </row>
    <row r="79" spans="2:36" x14ac:dyDescent="0.15">
      <c r="B79" s="289"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94" cm="1">
        <f t="array" ref="C80">SUM(SUMIFS('caseload data'!E:E,'caseload data'!$D:$D,"PO",'caseload data'!$C:$C,'community caseload'!$B$78,'caseload data'!$B:$B,{"licence","community"}))</f>
        <v>0</v>
      </c>
      <c r="D80" s="94" cm="1">
        <f t="array" ref="D80">SUM(SUMIFS('caseload data'!F:F,'caseload data'!$D:$D,"PO",'caseload data'!$C:$C,'community caseload'!$B$78,'caseload data'!$B:$B,{"licence","community"}))</f>
        <v>0</v>
      </c>
      <c r="E80" s="94" cm="1">
        <f t="array" ref="E80">SUM(SUMIFS('caseload data'!G:G,'caseload data'!$D:$D,"PO",'caseload data'!$C:$C,'community caseload'!$B$78,'caseload data'!$B:$B,{"licence","community"}))</f>
        <v>0</v>
      </c>
      <c r="F80" s="94" cm="1">
        <f t="array" ref="F80">SUM(SUMIFS('caseload data'!H:H,'caseload data'!$D:$D,"PO",'caseload data'!$C:$C,'community caseload'!$B$78,'caseload data'!$B:$B,{"licence","community"}))</f>
        <v>0</v>
      </c>
      <c r="G80" s="94" cm="1">
        <f t="array" ref="G80">SUM(SUMIFS('caseload data'!I:I,'caseload data'!$D:$D,"PO",'caseload data'!$C:$C,'community caseload'!$B$78,'caseload data'!$B:$B,{"licence","community"}))</f>
        <v>0</v>
      </c>
      <c r="H80" s="94" cm="1">
        <f t="array" ref="H80">SUM(SUMIFS('caseload data'!J:J,'caseload data'!$D:$D,"PO",'caseload data'!$C:$C,'community caseload'!$B$78,'caseload data'!$B:$B,{"licence","community"}))</f>
        <v>0</v>
      </c>
      <c r="I80" s="94" cm="1">
        <f t="array" ref="I80">SUM(SUMIFS('caseload data'!K:K,'caseload data'!$D:$D,"PO",'caseload data'!$C:$C,'community caseload'!$B$78,'caseload data'!$B:$B,{"licence","community"}))</f>
        <v>0</v>
      </c>
      <c r="J80" s="94" cm="1">
        <f t="array" ref="J80">SUM(SUMIFS('caseload data'!L:L,'caseload data'!$D:$D,"PO",'caseload data'!$C:$C,'community caseload'!$B$78,'caseload data'!$B:$B,{"licence","community"}))</f>
        <v>0</v>
      </c>
      <c r="K80" s="94" cm="1">
        <f t="array" ref="K80">SUM(SUMIFS('caseload data'!M:M,'caseload data'!$D:$D,"PO",'caseload data'!$C:$C,'community caseload'!$B$78,'caseload data'!$B:$B,{"licence","community"}))</f>
        <v>0</v>
      </c>
      <c r="L80" s="94" cm="1">
        <f t="array" ref="L80">SUM(SUMIFS('caseload data'!N:N,'caseload data'!$D:$D,"PO",'caseload data'!$C:$C,'community caseload'!$B$78,'caseload data'!$B:$B,{"licence","community"}))</f>
        <v>0</v>
      </c>
      <c r="M80" s="94" cm="1">
        <f t="array" ref="M80">SUM(SUMIFS('caseload data'!O:O,'caseload data'!$D:$D,"PO",'caseload data'!$C:$C,'community caseload'!$B$78,'caseload data'!$B:$B,{"licence","community"}))</f>
        <v>0</v>
      </c>
      <c r="N80" s="94" cm="1">
        <f t="array" ref="N80">SUM(SUMIFS('caseload data'!P:P,'caseload data'!$D:$D,"PO",'caseload data'!$C:$C,'community caseload'!$B$78,'caseload data'!$B:$B,{"licence","community"}))</f>
        <v>0</v>
      </c>
      <c r="O80" s="94" cm="1">
        <f t="array" ref="O80">SUM(SUMIFS('caseload data'!Q:Q,'caseload data'!$D:$D,"PO",'caseload data'!$C:$C,'community caseload'!$B$78,'caseload data'!$B:$B,{"licence","community"}))</f>
        <v>0</v>
      </c>
      <c r="P80" s="94" cm="1">
        <f t="array" ref="P80">SUM(SUMIFS('caseload data'!R:R,'caseload data'!$D:$D,"PO",'caseload data'!$C:$C,'community caseload'!$B$78,'caseload data'!$B:$B,{"licence","community"}))</f>
        <v>0</v>
      </c>
      <c r="Q80" s="94" cm="1">
        <f t="array" ref="Q80">SUM(SUMIFS('caseload data'!S:S,'caseload data'!$D:$D,"PO",'caseload data'!$C:$C,'community caseload'!$B$78,'caseload data'!$B:$B,{"licence","community"}))</f>
        <v>0</v>
      </c>
      <c r="R80" s="94" cm="1">
        <f t="array" ref="R80">SUM(SUMIFS('caseload data'!T:T,'caseload data'!$D:$D,"PO",'caseload data'!$C:$C,'community caseload'!$B$78,'caseload data'!$B:$B,{"licence","community"}))</f>
        <v>0</v>
      </c>
      <c r="T80" s="96" t="s">
        <v>947</v>
      </c>
      <c r="U80" s="94" cm="1">
        <f t="array" ref="U80">SUM(SUMIFS('caseload data'!E:E,'caseload data'!$D:$D,"PO",'caseload data'!$C:$C,'community caseload'!$T$78,'caseload data'!$B:$B,{"licence","community"}))</f>
        <v>0</v>
      </c>
      <c r="V80" s="94" cm="1">
        <f t="array" ref="V80">SUM(SUMIFS('caseload data'!F:F,'caseload data'!$D:$D,"PO",'caseload data'!$C:$C,'community caseload'!$T$78,'caseload data'!$B:$B,{"licence","community"}))</f>
        <v>0</v>
      </c>
      <c r="W80" s="94" cm="1">
        <f t="array" ref="W80">SUM(SUMIFS('caseload data'!G:G,'caseload data'!$D:$D,"PO",'caseload data'!$C:$C,'community caseload'!$T$78,'caseload data'!$B:$B,{"licence","community"}))</f>
        <v>0</v>
      </c>
      <c r="X80" s="94" cm="1">
        <f t="array" ref="X80">SUM(SUMIFS('caseload data'!H:H,'caseload data'!$D:$D,"PO",'caseload data'!$C:$C,'community caseload'!$T$78,'caseload data'!$B:$B,{"licence","community"}))</f>
        <v>0</v>
      </c>
      <c r="Y80" s="94" cm="1">
        <f t="array" ref="Y80">SUM(SUMIFS('caseload data'!I:I,'caseload data'!$D:$D,"PO",'caseload data'!$C:$C,'community caseload'!$T$78,'caseload data'!$B:$B,{"licence","community"}))</f>
        <v>0</v>
      </c>
      <c r="Z80" s="94" cm="1">
        <f t="array" ref="Z80">SUM(SUMIFS('caseload data'!J:J,'caseload data'!$D:$D,"PO",'caseload data'!$C:$C,'community caseload'!$T$78,'caseload data'!$B:$B,{"licence","community"}))</f>
        <v>0</v>
      </c>
      <c r="AA80" s="94" cm="1">
        <f t="array" ref="AA80">SUM(SUMIFS('caseload data'!K:K,'caseload data'!$D:$D,"PO",'caseload data'!$C:$C,'community caseload'!$T$78,'caseload data'!$B:$B,{"licence","community"}))</f>
        <v>0</v>
      </c>
      <c r="AB80" s="94" cm="1">
        <f t="array" ref="AB80">SUM(SUMIFS('caseload data'!L:L,'caseload data'!$D:$D,"PO",'caseload data'!$C:$C,'community caseload'!$T$78,'caseload data'!$B:$B,{"licence","community"}))</f>
        <v>0</v>
      </c>
      <c r="AC80" s="94" cm="1">
        <f t="array" ref="AC80">SUM(SUMIFS('caseload data'!M:M,'caseload data'!$D:$D,"PO",'caseload data'!$C:$C,'community caseload'!$T$78,'caseload data'!$B:$B,{"licence","community"}))</f>
        <v>0</v>
      </c>
      <c r="AD80" s="94" cm="1">
        <f t="array" ref="AD80">SUM(SUMIFS('caseload data'!N:N,'caseload data'!$D:$D,"PO",'caseload data'!$C:$C,'community caseload'!$T$78,'caseload data'!$B:$B,{"licence","community"}))</f>
        <v>0</v>
      </c>
      <c r="AE80" s="94" cm="1">
        <f t="array" ref="AE80">SUM(SUMIFS('caseload data'!O:O,'caseload data'!$D:$D,"PO",'caseload data'!$C:$C,'community caseload'!$T$78,'caseload data'!$B:$B,{"licence","community"}))</f>
        <v>0</v>
      </c>
      <c r="AF80" s="94" cm="1">
        <f t="array" ref="AF80">SUM(SUMIFS('caseload data'!P:P,'caseload data'!$D:$D,"PO",'caseload data'!$C:$C,'community caseload'!$T$78,'caseload data'!$B:$B,{"licence","community"}))</f>
        <v>0</v>
      </c>
      <c r="AG80" s="94" cm="1">
        <f t="array" ref="AG80">SUM(SUMIFS('caseload data'!Q:Q,'caseload data'!$D:$D,"PO",'caseload data'!$C:$C,'community caseload'!$T$78,'caseload data'!$B:$B,{"licence","community"}))</f>
        <v>0</v>
      </c>
      <c r="AH80" s="94" cm="1">
        <f t="array" ref="AH80">SUM(SUMIFS('caseload data'!R:R,'caseload data'!$D:$D,"PO",'caseload data'!$C:$C,'community caseload'!$T$78,'caseload data'!$B:$B,{"licence","community"}))</f>
        <v>0</v>
      </c>
      <c r="AI80" s="94" cm="1">
        <f t="array" ref="AI80">SUM(SUMIFS('caseload data'!S:S,'caseload data'!$D:$D,"PO",'caseload data'!$C:$C,'community caseload'!$T$78,'caseload data'!$B:$B,{"licence","community"}))</f>
        <v>0</v>
      </c>
      <c r="AJ80" s="94" cm="1">
        <f t="array" ref="AJ80">SUM(SUMIFS('caseload data'!T:T,'caseload data'!$D:$D,"PO",'caseload data'!$C:$C,'community caseload'!$T$78,'caseload data'!$B:$B,{"licence","community"}))</f>
        <v>0</v>
      </c>
    </row>
    <row r="81" spans="2:36" x14ac:dyDescent="0.15">
      <c r="B81" s="97" t="s">
        <v>952</v>
      </c>
      <c r="C81" s="94" cm="1">
        <f t="array" ref="C81">SUM(SUMIFS('caseload data'!E:E,'caseload data'!$D:$D,"PSO",'caseload data'!$C:$C,'community caseload'!$B$78,'caseload data'!$B:$B,{"licence","community"}))</f>
        <v>0</v>
      </c>
      <c r="D81" s="94" cm="1">
        <f t="array" ref="D81">SUM(SUMIFS('caseload data'!F:F,'caseload data'!$D:$D,"PSO",'caseload data'!$C:$C,'community caseload'!$B$78,'caseload data'!$B:$B,{"licence","community"}))</f>
        <v>0</v>
      </c>
      <c r="E81" s="94" cm="1">
        <f t="array" ref="E81">SUM(SUMIFS('caseload data'!G:G,'caseload data'!$D:$D,"PSO",'caseload data'!$C:$C,'community caseload'!$B$78,'caseload data'!$B:$B,{"licence","community"}))</f>
        <v>0</v>
      </c>
      <c r="F81" s="94" cm="1">
        <f t="array" ref="F81">SUM(SUMIFS('caseload data'!H:H,'caseload data'!$D:$D,"PSO",'caseload data'!$C:$C,'community caseload'!$B$78,'caseload data'!$B:$B,{"licence","community"}))</f>
        <v>0</v>
      </c>
      <c r="G81" s="94" cm="1">
        <f t="array" ref="G81">SUM(SUMIFS('caseload data'!I:I,'caseload data'!$D:$D,"PSO",'caseload data'!$C:$C,'community caseload'!$B$78,'caseload data'!$B:$B,{"licence","community"}))</f>
        <v>0</v>
      </c>
      <c r="H81" s="94" cm="1">
        <f t="array" ref="H81">SUM(SUMIFS('caseload data'!J:J,'caseload data'!$D:$D,"PSO",'caseload data'!$C:$C,'community caseload'!$B$78,'caseload data'!$B:$B,{"licence","community"}))</f>
        <v>0</v>
      </c>
      <c r="I81" s="94" cm="1">
        <f t="array" ref="I81">SUM(SUMIFS('caseload data'!K:K,'caseload data'!$D:$D,"PSO",'caseload data'!$C:$C,'community caseload'!$B$78,'caseload data'!$B:$B,{"licence","community"}))</f>
        <v>0</v>
      </c>
      <c r="J81" s="94" cm="1">
        <f t="array" ref="J81">SUM(SUMIFS('caseload data'!L:L,'caseload data'!$D:$D,"PSO",'caseload data'!$C:$C,'community caseload'!$B$78,'caseload data'!$B:$B,{"licence","community"}))</f>
        <v>0</v>
      </c>
      <c r="K81" s="94" cm="1">
        <f t="array" ref="K81">SUM(SUMIFS('caseload data'!M:M,'caseload data'!$D:$D,"PSO",'caseload data'!$C:$C,'community caseload'!$B$78,'caseload data'!$B:$B,{"licence","community"}))</f>
        <v>0</v>
      </c>
      <c r="L81" s="94" cm="1">
        <f t="array" ref="L81">SUM(SUMIFS('caseload data'!N:N,'caseload data'!$D:$D,"PSO",'caseload data'!$C:$C,'community caseload'!$B$78,'caseload data'!$B:$B,{"licence","community"}))</f>
        <v>0</v>
      </c>
      <c r="M81" s="94" cm="1">
        <f t="array" ref="M81">SUM(SUMIFS('caseload data'!O:O,'caseload data'!$D:$D,"PSO",'caseload data'!$C:$C,'community caseload'!$B$78,'caseload data'!$B:$B,{"licence","community"}))</f>
        <v>0</v>
      </c>
      <c r="N81" s="94" cm="1">
        <f t="array" ref="N81">SUM(SUMIFS('caseload data'!P:P,'caseload data'!$D:$D,"PSO",'caseload data'!$C:$C,'community caseload'!$B$78,'caseload data'!$B:$B,{"licence","community"}))</f>
        <v>0</v>
      </c>
      <c r="O81" s="94" cm="1">
        <f t="array" ref="O81">SUM(SUMIFS('caseload data'!Q:Q,'caseload data'!$D:$D,"PSO",'caseload data'!$C:$C,'community caseload'!$B$78,'caseload data'!$B:$B,{"licence","community"}))</f>
        <v>0</v>
      </c>
      <c r="P81" s="94" cm="1">
        <f t="array" ref="P81">SUM(SUMIFS('caseload data'!R:R,'caseload data'!$D:$D,"PSO",'caseload data'!$C:$C,'community caseload'!$B$78,'caseload data'!$B:$B,{"licence","community"}))</f>
        <v>0</v>
      </c>
      <c r="Q81" s="94" cm="1">
        <f t="array" ref="Q81">SUM(SUMIFS('caseload data'!S:S,'caseload data'!$D:$D,"PSO",'caseload data'!$C:$C,'community caseload'!$B$78,'caseload data'!$B:$B,{"licence","community"}))</f>
        <v>0</v>
      </c>
      <c r="R81" s="94" cm="1">
        <f t="array" ref="R81">SUM(SUMIFS('caseload data'!T:T,'caseload data'!$D:$D,"PSO",'caseload data'!$C:$C,'community caseload'!$B$78,'caseload data'!$B:$B,{"licence","community"}))</f>
        <v>0</v>
      </c>
      <c r="T81" s="97" t="s">
        <v>952</v>
      </c>
      <c r="U81" s="94" cm="1">
        <f t="array" ref="U81">SUM(SUMIFS('caseload data'!E:E,'caseload data'!$D:$D,"PSO",'caseload data'!$C:$C,'community caseload'!$T$78,'caseload data'!$B:$B,{"licence","community"}))</f>
        <v>0</v>
      </c>
      <c r="V81" s="94" cm="1">
        <f t="array" ref="V81">SUM(SUMIFS('caseload data'!F:F,'caseload data'!$D:$D,"PSO",'caseload data'!$C:$C,'community caseload'!$T$78,'caseload data'!$B:$B,{"licence","community"}))</f>
        <v>0</v>
      </c>
      <c r="W81" s="94" cm="1">
        <f t="array" ref="W81">SUM(SUMIFS('caseload data'!G:G,'caseload data'!$D:$D,"PSO",'caseload data'!$C:$C,'community caseload'!$T$78,'caseload data'!$B:$B,{"licence","community"}))</f>
        <v>0</v>
      </c>
      <c r="X81" s="94" cm="1">
        <f t="array" ref="X81">SUM(SUMIFS('caseload data'!H:H,'caseload data'!$D:$D,"PSO",'caseload data'!$C:$C,'community caseload'!$T$78,'caseload data'!$B:$B,{"licence","community"}))</f>
        <v>0</v>
      </c>
      <c r="Y81" s="94" cm="1">
        <f t="array" ref="Y81">SUM(SUMIFS('caseload data'!I:I,'caseload data'!$D:$D,"PSO",'caseload data'!$C:$C,'community caseload'!$T$78,'caseload data'!$B:$B,{"licence","community"}))</f>
        <v>0</v>
      </c>
      <c r="Z81" s="94" cm="1">
        <f t="array" ref="Z81">SUM(SUMIFS('caseload data'!J:J,'caseload data'!$D:$D,"PSO",'caseload data'!$C:$C,'community caseload'!$T$78,'caseload data'!$B:$B,{"licence","community"}))</f>
        <v>0</v>
      </c>
      <c r="AA81" s="94" cm="1">
        <f t="array" ref="AA81">SUM(SUMIFS('caseload data'!K:K,'caseload data'!$D:$D,"PSO",'caseload data'!$C:$C,'community caseload'!$T$78,'caseload data'!$B:$B,{"licence","community"}))</f>
        <v>0</v>
      </c>
      <c r="AB81" s="94" cm="1">
        <f t="array" ref="AB81">SUM(SUMIFS('caseload data'!L:L,'caseload data'!$D:$D,"PSO",'caseload data'!$C:$C,'community caseload'!$T$78,'caseload data'!$B:$B,{"licence","community"}))</f>
        <v>0</v>
      </c>
      <c r="AC81" s="94" cm="1">
        <f t="array" ref="AC81">SUM(SUMIFS('caseload data'!M:M,'caseload data'!$D:$D,"PSO",'caseload data'!$C:$C,'community caseload'!$T$78,'caseload data'!$B:$B,{"licence","community"}))</f>
        <v>0</v>
      </c>
      <c r="AD81" s="94" cm="1">
        <f t="array" ref="AD81">SUM(SUMIFS('caseload data'!N:N,'caseload data'!$D:$D,"PSO",'caseload data'!$C:$C,'community caseload'!$T$78,'caseload data'!$B:$B,{"licence","community"}))</f>
        <v>0</v>
      </c>
      <c r="AE81" s="94" cm="1">
        <f t="array" ref="AE81">SUM(SUMIFS('caseload data'!O:O,'caseload data'!$D:$D,"PSO",'caseload data'!$C:$C,'community caseload'!$T$78,'caseload data'!$B:$B,{"licence","community"}))</f>
        <v>0</v>
      </c>
      <c r="AF81" s="94" cm="1">
        <f t="array" ref="AF81">SUM(SUMIFS('caseload data'!P:P,'caseload data'!$D:$D,"PSO",'caseload data'!$C:$C,'community caseload'!$T$78,'caseload data'!$B:$B,{"licence","community"}))</f>
        <v>0</v>
      </c>
      <c r="AG81" s="94" cm="1">
        <f t="array" ref="AG81">SUM(SUMIFS('caseload data'!Q:Q,'caseload data'!$D:$D,"PSO",'caseload data'!$C:$C,'community caseload'!$T$78,'caseload data'!$B:$B,{"licence","community"}))</f>
        <v>0</v>
      </c>
      <c r="AH81" s="94" cm="1">
        <f t="array" ref="AH81">SUM(SUMIFS('caseload data'!R:R,'caseload data'!$D:$D,"PSO",'caseload data'!$C:$C,'community caseload'!$T$78,'caseload data'!$B:$B,{"licence","community"}))</f>
        <v>0</v>
      </c>
      <c r="AI81" s="94" cm="1">
        <f t="array" ref="AI81">SUM(SUMIFS('caseload data'!S:S,'caseload data'!$D:$D,"PSO",'caseload data'!$C:$C,'community caseload'!$T$78,'caseload data'!$B:$B,{"licence","community"}))</f>
        <v>0</v>
      </c>
      <c r="AJ81" s="94" cm="1">
        <f t="array" ref="AJ81">SUM(SUMIFS('caseload data'!T:T,'caseload data'!$D:$D,"PSO",'caseload data'!$C:$C,'community caseload'!$T$78,'caseload data'!$B:$B,{"licence","community"}))</f>
        <v>0</v>
      </c>
    </row>
    <row r="82" spans="2:36" x14ac:dyDescent="0.15">
      <c r="B82" s="97" t="s">
        <v>953</v>
      </c>
      <c r="C82" s="94" cm="1">
        <f t="array" ref="C82">SUM(SUMIFS('caseload data'!E:E,'caseload data'!$D:$D,"TPO",'caseload data'!$C:$C,'community caseload'!$B$78,'caseload data'!$B:$B,{"licence","community"}))</f>
        <v>0</v>
      </c>
      <c r="D82" s="94" cm="1">
        <f t="array" ref="D82">SUM(SUMIFS('caseload data'!F:F,'caseload data'!$D:$D,"TPO",'caseload data'!$C:$C,'community caseload'!$B$78,'caseload data'!$B:$B,{"licence","community"}))</f>
        <v>0</v>
      </c>
      <c r="E82" s="94" cm="1">
        <f t="array" ref="E82">SUM(SUMIFS('caseload data'!G:G,'caseload data'!$D:$D,"TPO",'caseload data'!$C:$C,'community caseload'!$B$78,'caseload data'!$B:$B,{"licence","community"}))</f>
        <v>0</v>
      </c>
      <c r="F82" s="94" cm="1">
        <f t="array" ref="F82">SUM(SUMIFS('caseload data'!H:H,'caseload data'!$D:$D,"TPO",'caseload data'!$C:$C,'community caseload'!$B$78,'caseload data'!$B:$B,{"licence","community"}))</f>
        <v>0</v>
      </c>
      <c r="G82" s="94" cm="1">
        <f t="array" ref="G82">SUM(SUMIFS('caseload data'!I:I,'caseload data'!$D:$D,"TPO",'caseload data'!$C:$C,'community caseload'!$B$78,'caseload data'!$B:$B,{"licence","community"}))</f>
        <v>0</v>
      </c>
      <c r="H82" s="94" cm="1">
        <f t="array" ref="H82">SUM(SUMIFS('caseload data'!J:J,'caseload data'!$D:$D,"TPO",'caseload data'!$C:$C,'community caseload'!$B$78,'caseload data'!$B:$B,{"licence","community"}))</f>
        <v>0</v>
      </c>
      <c r="I82" s="94" cm="1">
        <f t="array" ref="I82">SUM(SUMIFS('caseload data'!K:K,'caseload data'!$D:$D,"TPO",'caseload data'!$C:$C,'community caseload'!$B$78,'caseload data'!$B:$B,{"licence","community"}))</f>
        <v>0</v>
      </c>
      <c r="J82" s="94" cm="1">
        <f t="array" ref="J82">SUM(SUMIFS('caseload data'!L:L,'caseload data'!$D:$D,"TPO",'caseload data'!$C:$C,'community caseload'!$B$78,'caseload data'!$B:$B,{"licence","community"}))</f>
        <v>0</v>
      </c>
      <c r="K82" s="94" cm="1">
        <f t="array" ref="K82">SUM(SUMIFS('caseload data'!M:M,'caseload data'!$D:$D,"TPO",'caseload data'!$C:$C,'community caseload'!$B$78,'caseload data'!$B:$B,{"licence","community"}))</f>
        <v>0</v>
      </c>
      <c r="L82" s="94" cm="1">
        <f t="array" ref="L82">SUM(SUMIFS('caseload data'!N:N,'caseload data'!$D:$D,"TPO",'caseload data'!$C:$C,'community caseload'!$B$78,'caseload data'!$B:$B,{"licence","community"}))</f>
        <v>0</v>
      </c>
      <c r="M82" s="94" cm="1">
        <f t="array" ref="M82">SUM(SUMIFS('caseload data'!O:O,'caseload data'!$D:$D,"TPO",'caseload data'!$C:$C,'community caseload'!$B$78,'caseload data'!$B:$B,{"licence","community"}))</f>
        <v>0</v>
      </c>
      <c r="N82" s="94" cm="1">
        <f t="array" ref="N82">SUM(SUMIFS('caseload data'!P:P,'caseload data'!$D:$D,"TPO",'caseload data'!$C:$C,'community caseload'!$B$78,'caseload data'!$B:$B,{"licence","community"}))</f>
        <v>0</v>
      </c>
      <c r="O82" s="94" cm="1">
        <f t="array" ref="O82">SUM(SUMIFS('caseload data'!Q:Q,'caseload data'!$D:$D,"TPO",'caseload data'!$C:$C,'community caseload'!$B$78,'caseload data'!$B:$B,{"licence","community"}))</f>
        <v>0</v>
      </c>
      <c r="P82" s="94" cm="1">
        <f t="array" ref="P82">SUM(SUMIFS('caseload data'!R:R,'caseload data'!$D:$D,"TPO",'caseload data'!$C:$C,'community caseload'!$B$78,'caseload data'!$B:$B,{"licence","community"}))</f>
        <v>0</v>
      </c>
      <c r="Q82" s="94" cm="1">
        <f t="array" ref="Q82">SUM(SUMIFS('caseload data'!S:S,'caseload data'!$D:$D,"TPO",'caseload data'!$C:$C,'community caseload'!$B$78,'caseload data'!$B:$B,{"licence","community"}))</f>
        <v>0</v>
      </c>
      <c r="R82" s="94" cm="1">
        <f t="array" ref="R82">SUM(SUMIFS('caseload data'!T:T,'caseload data'!$D:$D,"TPO",'caseload data'!$C:$C,'community caseload'!$B$78,'caseload data'!$B:$B,{"licence","community"}))</f>
        <v>0</v>
      </c>
      <c r="T82" s="97" t="s">
        <v>953</v>
      </c>
      <c r="U82" s="94" cm="1">
        <f t="array" ref="U82">SUM(SUMIFS('caseload data'!E:E,'caseload data'!$D:$D,"TPO",'caseload data'!$C:$C,'community caseload'!$T$78,'caseload data'!$B:$B,{"licence","community"}))</f>
        <v>0</v>
      </c>
      <c r="V82" s="94" cm="1">
        <f t="array" ref="V82">SUM(SUMIFS('caseload data'!F:F,'caseload data'!$D:$D,"TPO",'caseload data'!$C:$C,'community caseload'!$T$78,'caseload data'!$B:$B,{"licence","community"}))</f>
        <v>0</v>
      </c>
      <c r="W82" s="94" cm="1">
        <f t="array" ref="W82">SUM(SUMIFS('caseload data'!G:G,'caseload data'!$D:$D,"TPO",'caseload data'!$C:$C,'community caseload'!$T$78,'caseload data'!$B:$B,{"licence","community"}))</f>
        <v>0</v>
      </c>
      <c r="X82" s="94" cm="1">
        <f t="array" ref="X82">SUM(SUMIFS('caseload data'!H:H,'caseload data'!$D:$D,"TPO",'caseload data'!$C:$C,'community caseload'!$T$78,'caseload data'!$B:$B,{"licence","community"}))</f>
        <v>0</v>
      </c>
      <c r="Y82" s="94" cm="1">
        <f t="array" ref="Y82">SUM(SUMIFS('caseload data'!I:I,'caseload data'!$D:$D,"TPO",'caseload data'!$C:$C,'community caseload'!$T$78,'caseload data'!$B:$B,{"licence","community"}))</f>
        <v>0</v>
      </c>
      <c r="Z82" s="94" cm="1">
        <f t="array" ref="Z82">SUM(SUMIFS('caseload data'!J:J,'caseload data'!$D:$D,"TPO",'caseload data'!$C:$C,'community caseload'!$T$78,'caseload data'!$B:$B,{"licence","community"}))</f>
        <v>0</v>
      </c>
      <c r="AA82" s="94" cm="1">
        <f t="array" ref="AA82">SUM(SUMIFS('caseload data'!K:K,'caseload data'!$D:$D,"TPO",'caseload data'!$C:$C,'community caseload'!$T$78,'caseload data'!$B:$B,{"licence","community"}))</f>
        <v>0</v>
      </c>
      <c r="AB82" s="94" cm="1">
        <f t="array" ref="AB82">SUM(SUMIFS('caseload data'!L:L,'caseload data'!$D:$D,"TPO",'caseload data'!$C:$C,'community caseload'!$T$78,'caseload data'!$B:$B,{"licence","community"}))</f>
        <v>0</v>
      </c>
      <c r="AC82" s="94" cm="1">
        <f t="array" ref="AC82">SUM(SUMIFS('caseload data'!M:M,'caseload data'!$D:$D,"TPO",'caseload data'!$C:$C,'community caseload'!$T$78,'caseload data'!$B:$B,{"licence","community"}))</f>
        <v>0</v>
      </c>
      <c r="AD82" s="94" cm="1">
        <f t="array" ref="AD82">SUM(SUMIFS('caseload data'!N:N,'caseload data'!$D:$D,"TPO",'caseload data'!$C:$C,'community caseload'!$T$78,'caseload data'!$B:$B,{"licence","community"}))</f>
        <v>0</v>
      </c>
      <c r="AE82" s="94" cm="1">
        <f t="array" ref="AE82">SUM(SUMIFS('caseload data'!O:O,'caseload data'!$D:$D,"TPO",'caseload data'!$C:$C,'community caseload'!$T$78,'caseload data'!$B:$B,{"licence","community"}))</f>
        <v>0</v>
      </c>
      <c r="AF82" s="94" cm="1">
        <f t="array" ref="AF82">SUM(SUMIFS('caseload data'!P:P,'caseload data'!$D:$D,"TPO",'caseload data'!$C:$C,'community caseload'!$T$78,'caseload data'!$B:$B,{"licence","community"}))</f>
        <v>0</v>
      </c>
      <c r="AG82" s="94" cm="1">
        <f t="array" ref="AG82">SUM(SUMIFS('caseload data'!Q:Q,'caseload data'!$D:$D,"TPO",'caseload data'!$C:$C,'community caseload'!$T$78,'caseload data'!$B:$B,{"licence","community"}))</f>
        <v>0</v>
      </c>
      <c r="AH82" s="94" cm="1">
        <f t="array" ref="AH82">SUM(SUMIFS('caseload data'!R:R,'caseload data'!$D:$D,"TPO",'caseload data'!$C:$C,'community caseload'!$T$78,'caseload data'!$B:$B,{"licence","community"}))</f>
        <v>0</v>
      </c>
      <c r="AI82" s="94" cm="1">
        <f t="array" ref="AI82">SUM(SUMIFS('caseload data'!S:S,'caseload data'!$D:$D,"TPO",'caseload data'!$C:$C,'community caseload'!$T$78,'caseload data'!$B:$B,{"licence","community"}))</f>
        <v>0</v>
      </c>
      <c r="AJ82" s="94" cm="1">
        <f t="array" ref="AJ82">SUM(SUMIFS('caseload data'!T:T,'caseload data'!$D:$D,"TPO",'caseload data'!$C:$C,'community caseload'!$T$78,'caseload data'!$B:$B,{"licence","community"}))</f>
        <v>0</v>
      </c>
    </row>
    <row r="83" spans="2:36" x14ac:dyDescent="0.15">
      <c r="B83" s="98" t="s">
        <v>954</v>
      </c>
      <c r="C83" s="94" cm="1">
        <f t="array" ref="C83">SUM(SUMIFS('caseload data'!E:E,'caseload data'!$D:$D,"SPO",'caseload data'!$C:$C,'community caseload'!$B$78,'caseload data'!$B:$B,{"licence","community"}))</f>
        <v>0</v>
      </c>
      <c r="D83" s="94" cm="1">
        <f t="array" ref="D83">SUM(SUMIFS('caseload data'!F:F,'caseload data'!$D:$D,"SPO",'caseload data'!$C:$C,'community caseload'!$B$78,'caseload data'!$B:$B,{"licence","community"}))</f>
        <v>0</v>
      </c>
      <c r="E83" s="94" cm="1">
        <f t="array" ref="E83">SUM(SUMIFS('caseload data'!G:G,'caseload data'!$D:$D,"SPO",'caseload data'!$C:$C,'community caseload'!$B$78,'caseload data'!$B:$B,{"licence","community"}))</f>
        <v>0</v>
      </c>
      <c r="F83" s="94" cm="1">
        <f t="array" ref="F83">SUM(SUMIFS('caseload data'!H:H,'caseload data'!$D:$D,"SPO",'caseload data'!$C:$C,'community caseload'!$B$78,'caseload data'!$B:$B,{"licence","community"}))</f>
        <v>0</v>
      </c>
      <c r="G83" s="94" cm="1">
        <f t="array" ref="G83">SUM(SUMIFS('caseload data'!I:I,'caseload data'!$D:$D,"SPO",'caseload data'!$C:$C,'community caseload'!$B$78,'caseload data'!$B:$B,{"licence","community"}))</f>
        <v>0</v>
      </c>
      <c r="H83" s="94" cm="1">
        <f t="array" ref="H83">SUM(SUMIFS('caseload data'!J:J,'caseload data'!$D:$D,"SPO",'caseload data'!$C:$C,'community caseload'!$B$78,'caseload data'!$B:$B,{"licence","community"}))</f>
        <v>0</v>
      </c>
      <c r="I83" s="94" cm="1">
        <f t="array" ref="I83">SUM(SUMIFS('caseload data'!K:K,'caseload data'!$D:$D,"SPO",'caseload data'!$C:$C,'community caseload'!$B$78,'caseload data'!$B:$B,{"licence","community"}))</f>
        <v>0</v>
      </c>
      <c r="J83" s="94" cm="1">
        <f t="array" ref="J83">SUM(SUMIFS('caseload data'!L:L,'caseload data'!$D:$D,"SPO",'caseload data'!$C:$C,'community caseload'!$B$78,'caseload data'!$B:$B,{"licence","community"}))</f>
        <v>0</v>
      </c>
      <c r="K83" s="94" cm="1">
        <f t="array" ref="K83">SUM(SUMIFS('caseload data'!M:M,'caseload data'!$D:$D,"SPO",'caseload data'!$C:$C,'community caseload'!$B$78,'caseload data'!$B:$B,{"licence","community"}))</f>
        <v>0</v>
      </c>
      <c r="L83" s="94" cm="1">
        <f t="array" ref="L83">SUM(SUMIFS('caseload data'!N:N,'caseload data'!$D:$D,"SPO",'caseload data'!$C:$C,'community caseload'!$B$78,'caseload data'!$B:$B,{"licence","community"}))</f>
        <v>0</v>
      </c>
      <c r="M83" s="94" cm="1">
        <f t="array" ref="M83">SUM(SUMIFS('caseload data'!O:O,'caseload data'!$D:$D,"SPO",'caseload data'!$C:$C,'community caseload'!$B$78,'caseload data'!$B:$B,{"licence","community"}))</f>
        <v>0</v>
      </c>
      <c r="N83" s="94" cm="1">
        <f t="array" ref="N83">SUM(SUMIFS('caseload data'!P:P,'caseload data'!$D:$D,"SPO",'caseload data'!$C:$C,'community caseload'!$B$78,'caseload data'!$B:$B,{"licence","community"}))</f>
        <v>0</v>
      </c>
      <c r="O83" s="94" cm="1">
        <f t="array" ref="O83">SUM(SUMIFS('caseload data'!Q:Q,'caseload data'!$D:$D,"SPO",'caseload data'!$C:$C,'community caseload'!$B$78,'caseload data'!$B:$B,{"licence","community"}))</f>
        <v>0</v>
      </c>
      <c r="P83" s="94" cm="1">
        <f t="array" ref="P83">SUM(SUMIFS('caseload data'!R:R,'caseload data'!$D:$D,"SPO",'caseload data'!$C:$C,'community caseload'!$B$78,'caseload data'!$B:$B,{"licence","community"}))</f>
        <v>0</v>
      </c>
      <c r="Q83" s="94" cm="1">
        <f t="array" ref="Q83">SUM(SUMIFS('caseload data'!S:S,'caseload data'!$D:$D,"SPO",'caseload data'!$C:$C,'community caseload'!$B$78,'caseload data'!$B:$B,{"licence","community"}))</f>
        <v>0</v>
      </c>
      <c r="R83" s="94" cm="1">
        <f t="array" ref="R83">SUM(SUMIFS('caseload data'!T:T,'caseload data'!$D:$D,"SPO",'caseload data'!$C:$C,'community caseload'!$B$78,'caseload data'!$B:$B,{"licence","community"}))</f>
        <v>0</v>
      </c>
      <c r="T83" s="98" t="s">
        <v>954</v>
      </c>
      <c r="U83" s="94" cm="1">
        <f t="array" ref="U83">SUM(SUMIFS('caseload data'!E:E,'caseload data'!$D:$D,"SPO",'caseload data'!$C:$C,'community caseload'!$T$78,'caseload data'!$B:$B,{"licence","community"}))</f>
        <v>0</v>
      </c>
      <c r="V83" s="94" cm="1">
        <f t="array" ref="V83">SUM(SUMIFS('caseload data'!F:F,'caseload data'!$D:$D,"SPO",'caseload data'!$C:$C,'community caseload'!$T$78,'caseload data'!$B:$B,{"licence","community"}))</f>
        <v>0</v>
      </c>
      <c r="W83" s="94" cm="1">
        <f t="array" ref="W83">SUM(SUMIFS('caseload data'!G:G,'caseload data'!$D:$D,"SPO",'caseload data'!$C:$C,'community caseload'!$T$78,'caseload data'!$B:$B,{"licence","community"}))</f>
        <v>0</v>
      </c>
      <c r="X83" s="94" cm="1">
        <f t="array" ref="X83">SUM(SUMIFS('caseload data'!H:H,'caseload data'!$D:$D,"SPO",'caseload data'!$C:$C,'community caseload'!$T$78,'caseload data'!$B:$B,{"licence","community"}))</f>
        <v>0</v>
      </c>
      <c r="Y83" s="94" cm="1">
        <f t="array" ref="Y83">SUM(SUMIFS('caseload data'!I:I,'caseload data'!$D:$D,"SPO",'caseload data'!$C:$C,'community caseload'!$T$78,'caseload data'!$B:$B,{"licence","community"}))</f>
        <v>0</v>
      </c>
      <c r="Z83" s="94" cm="1">
        <f t="array" ref="Z83">SUM(SUMIFS('caseload data'!J:J,'caseload data'!$D:$D,"SPO",'caseload data'!$C:$C,'community caseload'!$T$78,'caseload data'!$B:$B,{"licence","community"}))</f>
        <v>0</v>
      </c>
      <c r="AA83" s="94" cm="1">
        <f t="array" ref="AA83">SUM(SUMIFS('caseload data'!K:K,'caseload data'!$D:$D,"SPO",'caseload data'!$C:$C,'community caseload'!$T$78,'caseload data'!$B:$B,{"licence","community"}))</f>
        <v>0</v>
      </c>
      <c r="AB83" s="94" cm="1">
        <f t="array" ref="AB83">SUM(SUMIFS('caseload data'!L:L,'caseload data'!$D:$D,"SPO",'caseload data'!$C:$C,'community caseload'!$T$78,'caseload data'!$B:$B,{"licence","community"}))</f>
        <v>0</v>
      </c>
      <c r="AC83" s="94" cm="1">
        <f t="array" ref="AC83">SUM(SUMIFS('caseload data'!M:M,'caseload data'!$D:$D,"SPO",'caseload data'!$C:$C,'community caseload'!$T$78,'caseload data'!$B:$B,{"licence","community"}))</f>
        <v>0</v>
      </c>
      <c r="AD83" s="94" cm="1">
        <f t="array" ref="AD83">SUM(SUMIFS('caseload data'!N:N,'caseload data'!$D:$D,"SPO",'caseload data'!$C:$C,'community caseload'!$T$78,'caseload data'!$B:$B,{"licence","community"}))</f>
        <v>0</v>
      </c>
      <c r="AE83" s="94" cm="1">
        <f t="array" ref="AE83">SUM(SUMIFS('caseload data'!O:O,'caseload data'!$D:$D,"SPO",'caseload data'!$C:$C,'community caseload'!$T$78,'caseload data'!$B:$B,{"licence","community"}))</f>
        <v>0</v>
      </c>
      <c r="AF83" s="94" cm="1">
        <f t="array" ref="AF83">SUM(SUMIFS('caseload data'!P:P,'caseload data'!$D:$D,"SPO",'caseload data'!$C:$C,'community caseload'!$T$78,'caseload data'!$B:$B,{"licence","community"}))</f>
        <v>0</v>
      </c>
      <c r="AG83" s="94" cm="1">
        <f t="array" ref="AG83">SUM(SUMIFS('caseload data'!Q:Q,'caseload data'!$D:$D,"SPO",'caseload data'!$C:$C,'community caseload'!$T$78,'caseload data'!$B:$B,{"licence","community"}))</f>
        <v>0</v>
      </c>
      <c r="AH83" s="94" cm="1">
        <f t="array" ref="AH83">SUM(SUMIFS('caseload data'!R:R,'caseload data'!$D:$D,"SPO",'caseload data'!$C:$C,'community caseload'!$T$78,'caseload data'!$B:$B,{"licence","community"}))</f>
        <v>0</v>
      </c>
      <c r="AI83" s="94" cm="1">
        <f t="array" ref="AI83">SUM(SUMIFS('caseload data'!S:S,'caseload data'!$D:$D,"SPO",'caseload data'!$C:$C,'community caseload'!$T$78,'caseload data'!$B:$B,{"licence","community"}))</f>
        <v>0</v>
      </c>
      <c r="AJ83" s="94" cm="1">
        <f t="array" ref="AJ83">SUM(SUMIFS('caseload data'!T:T,'caseload data'!$D:$D,"SPO",'caseload data'!$C:$C,'community caseload'!$T$78,'caseload data'!$B:$B,{"licence","community"}))</f>
        <v>0</v>
      </c>
    </row>
    <row r="85" spans="2:36" ht="33.75" customHeight="1" x14ac:dyDescent="0.15">
      <c r="B85" s="288">
        <f>HLOOKUP($B$5,Region_Table,24,0)</f>
        <v>0</v>
      </c>
      <c r="C85" s="540" t="s">
        <v>1077</v>
      </c>
      <c r="D85" s="541"/>
      <c r="E85" s="541"/>
      <c r="F85" s="541"/>
      <c r="G85" s="541"/>
      <c r="H85" s="541"/>
      <c r="I85" s="541"/>
      <c r="J85" s="541"/>
      <c r="K85" s="541"/>
      <c r="L85" s="541"/>
      <c r="M85" s="570"/>
      <c r="N85" s="570"/>
      <c r="O85" s="571"/>
      <c r="P85" s="543" cm="1">
        <f t="array" ref="P85">SUM(SUMIFS('caseload data'!V:V,'caseload data'!B:B,{"licence","community"},'caseload data'!$C:$C,'community caseload'!B85))</f>
        <v>0</v>
      </c>
      <c r="Q85" s="560"/>
      <c r="R85" s="561"/>
      <c r="S85" s="290"/>
      <c r="T85" s="288">
        <f>HLOOKUP($B$5,Region_Table,25,0)</f>
        <v>0</v>
      </c>
      <c r="U85" s="540" t="s">
        <v>1077</v>
      </c>
      <c r="V85" s="541"/>
      <c r="W85" s="541"/>
      <c r="X85" s="541"/>
      <c r="Y85" s="541"/>
      <c r="Z85" s="541"/>
      <c r="AA85" s="541"/>
      <c r="AB85" s="541"/>
      <c r="AC85" s="541"/>
      <c r="AD85" s="541"/>
      <c r="AE85" s="570"/>
      <c r="AF85" s="570"/>
      <c r="AG85" s="571"/>
      <c r="AH85" s="543" cm="1">
        <f t="array" ref="AH85">SUM(SUMIFS('caseload data'!V:V,'caseload data'!B:B,{"licence","community"},'caseload data'!$C:$C,'community caseload'!T85))</f>
        <v>0</v>
      </c>
      <c r="AI85" s="560"/>
      <c r="AJ85" s="561"/>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94" cm="1">
        <f t="array" ref="C87">SUM(SUMIFS('caseload data'!E:E,'caseload data'!$D:$D,"PO",'caseload data'!$C:$C,'community caseload'!$B$85,'caseload data'!$B:$B,{"licence","community"}))</f>
        <v>0</v>
      </c>
      <c r="D87" s="94" cm="1">
        <f t="array" ref="D87">SUM(SUMIFS('caseload data'!F:F,'caseload data'!$D:$D,"PO",'caseload data'!$C:$C,'community caseload'!$B$85,'caseload data'!$B:$B,{"licence","community"}))</f>
        <v>0</v>
      </c>
      <c r="E87" s="94" cm="1">
        <f t="array" ref="E87">SUM(SUMIFS('caseload data'!G:G,'caseload data'!$D:$D,"PO",'caseload data'!$C:$C,'community caseload'!$B$85,'caseload data'!$B:$B,{"licence","community"}))</f>
        <v>0</v>
      </c>
      <c r="F87" s="94" cm="1">
        <f t="array" ref="F87">SUM(SUMIFS('caseload data'!H:H,'caseload data'!$D:$D,"PO",'caseload data'!$C:$C,'community caseload'!$B$85,'caseload data'!$B:$B,{"licence","community"}))</f>
        <v>0</v>
      </c>
      <c r="G87" s="94" cm="1">
        <f t="array" ref="G87">SUM(SUMIFS('caseload data'!I:I,'caseload data'!$D:$D,"PO",'caseload data'!$C:$C,'community caseload'!$B$85,'caseload data'!$B:$B,{"licence","community"}))</f>
        <v>0</v>
      </c>
      <c r="H87" s="94" cm="1">
        <f t="array" ref="H87">SUM(SUMIFS('caseload data'!J:J,'caseload data'!$D:$D,"PO",'caseload data'!$C:$C,'community caseload'!$B$85,'caseload data'!$B:$B,{"licence","community"}))</f>
        <v>0</v>
      </c>
      <c r="I87" s="94" cm="1">
        <f t="array" ref="I87">SUM(SUMIFS('caseload data'!K:K,'caseload data'!$D:$D,"PO",'caseload data'!$C:$C,'community caseload'!$B$85,'caseload data'!$B:$B,{"licence","community"}))</f>
        <v>0</v>
      </c>
      <c r="J87" s="94" cm="1">
        <f t="array" ref="J87">SUM(SUMIFS('caseload data'!L:L,'caseload data'!$D:$D,"PO",'caseload data'!$C:$C,'community caseload'!$B$85,'caseload data'!$B:$B,{"licence","community"}))</f>
        <v>0</v>
      </c>
      <c r="K87" s="94" cm="1">
        <f t="array" ref="K87">SUM(SUMIFS('caseload data'!M:M,'caseload data'!$D:$D,"PO",'caseload data'!$C:$C,'community caseload'!$B$85,'caseload data'!$B:$B,{"licence","community"}))</f>
        <v>0</v>
      </c>
      <c r="L87" s="94" cm="1">
        <f t="array" ref="L87">SUM(SUMIFS('caseload data'!N:N,'caseload data'!$D:$D,"PO",'caseload data'!$C:$C,'community caseload'!$B$85,'caseload data'!$B:$B,{"licence","community"}))</f>
        <v>0</v>
      </c>
      <c r="M87" s="94" cm="1">
        <f t="array" ref="M87">SUM(SUMIFS('caseload data'!O:O,'caseload data'!$D:$D,"PO",'caseload data'!$C:$C,'community caseload'!$B$85,'caseload data'!$B:$B,{"licence","community"}))</f>
        <v>0</v>
      </c>
      <c r="N87" s="94" cm="1">
        <f t="array" ref="N87">SUM(SUMIFS('caseload data'!P:P,'caseload data'!$D:$D,"PO",'caseload data'!$C:$C,'community caseload'!$B$85,'caseload data'!$B:$B,{"licence","community"}))</f>
        <v>0</v>
      </c>
      <c r="O87" s="94" cm="1">
        <f t="array" ref="O87">SUM(SUMIFS('caseload data'!Q:Q,'caseload data'!$D:$D,"PO",'caseload data'!$C:$C,'community caseload'!$B$85,'caseload data'!$B:$B,{"licence","community"}))</f>
        <v>0</v>
      </c>
      <c r="P87" s="94" cm="1">
        <f t="array" ref="P87">SUM(SUMIFS('caseload data'!R:R,'caseload data'!$D:$D,"PO",'caseload data'!$C:$C,'community caseload'!$B$85,'caseload data'!$B:$B,{"licence","community"}))</f>
        <v>0</v>
      </c>
      <c r="Q87" s="94" cm="1">
        <f t="array" ref="Q87">SUM(SUMIFS('caseload data'!S:S,'caseload data'!$D:$D,"PO",'caseload data'!$C:$C,'community caseload'!$B$85,'caseload data'!$B:$B,{"licence","community"}))</f>
        <v>0</v>
      </c>
      <c r="R87" s="94" cm="1">
        <f t="array" ref="R87">SUM(SUMIFS('caseload data'!T:T,'caseload data'!$D:$D,"PO",'caseload data'!$C:$C,'community caseload'!$B$85,'caseload data'!$B:$B,{"licence","community"}))</f>
        <v>0</v>
      </c>
      <c r="T87" s="96" t="s">
        <v>947</v>
      </c>
      <c r="U87" s="94" cm="1">
        <f t="array" ref="U87">SUM(SUMIFS('caseload data'!E:E,'caseload data'!$D:$D,"PO",'caseload data'!$C:$C,'community caseload'!$T$85,'caseload data'!$B:$B,{"licence","community"}))</f>
        <v>0</v>
      </c>
      <c r="V87" s="94" cm="1">
        <f t="array" ref="V87">SUM(SUMIFS('caseload data'!F:F,'caseload data'!$D:$D,"PO",'caseload data'!$C:$C,'community caseload'!$T$85,'caseload data'!$B:$B,{"licence","community"}))</f>
        <v>0</v>
      </c>
      <c r="W87" s="94" cm="1">
        <f t="array" ref="W87">SUM(SUMIFS('caseload data'!G:G,'caseload data'!$D:$D,"PO",'caseload data'!$C:$C,'community caseload'!$T$85,'caseload data'!$B:$B,{"licence","community"}))</f>
        <v>0</v>
      </c>
      <c r="X87" s="94" cm="1">
        <f t="array" ref="X87">SUM(SUMIFS('caseload data'!H:H,'caseload data'!$D:$D,"PO",'caseload data'!$C:$C,'community caseload'!$T$85,'caseload data'!$B:$B,{"licence","community"}))</f>
        <v>0</v>
      </c>
      <c r="Y87" s="94" cm="1">
        <f t="array" ref="Y87">SUM(SUMIFS('caseload data'!I:I,'caseload data'!$D:$D,"PO",'caseload data'!$C:$C,'community caseload'!$T$85,'caseload data'!$B:$B,{"licence","community"}))</f>
        <v>0</v>
      </c>
      <c r="Z87" s="94" cm="1">
        <f t="array" ref="Z87">SUM(SUMIFS('caseload data'!J:J,'caseload data'!$D:$D,"PO",'caseload data'!$C:$C,'community caseload'!$T$85,'caseload data'!$B:$B,{"licence","community"}))</f>
        <v>0</v>
      </c>
      <c r="AA87" s="94" cm="1">
        <f t="array" ref="AA87">SUM(SUMIFS('caseload data'!K:K,'caseload data'!$D:$D,"PO",'caseload data'!$C:$C,'community caseload'!$T$85,'caseload data'!$B:$B,{"licence","community"}))</f>
        <v>0</v>
      </c>
      <c r="AB87" s="94" cm="1">
        <f t="array" ref="AB87">SUM(SUMIFS('caseload data'!L:L,'caseload data'!$D:$D,"PO",'caseload data'!$C:$C,'community caseload'!$T$85,'caseload data'!$B:$B,{"licence","community"}))</f>
        <v>0</v>
      </c>
      <c r="AC87" s="94" cm="1">
        <f t="array" ref="AC87">SUM(SUMIFS('caseload data'!M:M,'caseload data'!$D:$D,"PO",'caseload data'!$C:$C,'community caseload'!$T$85,'caseload data'!$B:$B,{"licence","community"}))</f>
        <v>0</v>
      </c>
      <c r="AD87" s="94" cm="1">
        <f t="array" ref="AD87">SUM(SUMIFS('caseload data'!N:N,'caseload data'!$D:$D,"PO",'caseload data'!$C:$C,'community caseload'!$T$85,'caseload data'!$B:$B,{"licence","community"}))</f>
        <v>0</v>
      </c>
      <c r="AE87" s="94" cm="1">
        <f t="array" ref="AE87">SUM(SUMIFS('caseload data'!O:O,'caseload data'!$D:$D,"PO",'caseload data'!$C:$C,'community caseload'!$T$85,'caseload data'!$B:$B,{"licence","community"}))</f>
        <v>0</v>
      </c>
      <c r="AF87" s="94" cm="1">
        <f t="array" ref="AF87">SUM(SUMIFS('caseload data'!P:P,'caseload data'!$D:$D,"PO",'caseload data'!$C:$C,'community caseload'!$T$85,'caseload data'!$B:$B,{"licence","community"}))</f>
        <v>0</v>
      </c>
      <c r="AG87" s="94" cm="1">
        <f t="array" ref="AG87">SUM(SUMIFS('caseload data'!Q:Q,'caseload data'!$D:$D,"PO",'caseload data'!$C:$C,'community caseload'!$T$85,'caseload data'!$B:$B,{"licence","community"}))</f>
        <v>0</v>
      </c>
      <c r="AH87" s="94" cm="1">
        <f t="array" ref="AH87">SUM(SUMIFS('caseload data'!R:R,'caseload data'!$D:$D,"PO",'caseload data'!$C:$C,'community caseload'!$T$85,'caseload data'!$B:$B,{"licence","community"}))</f>
        <v>0</v>
      </c>
      <c r="AI87" s="94" cm="1">
        <f t="array" ref="AI87">SUM(SUMIFS('caseload data'!S:S,'caseload data'!$D:$D,"PO",'caseload data'!$C:$C,'community caseload'!$T$85,'caseload data'!$B:$B,{"licence","community"}))</f>
        <v>0</v>
      </c>
      <c r="AJ87" s="94" cm="1">
        <f t="array" ref="AJ87">SUM(SUMIFS('caseload data'!T:T,'caseload data'!$D:$D,"PO",'caseload data'!$C:$C,'community caseload'!$T$85,'caseload data'!$B:$B,{"licence","community"}))</f>
        <v>0</v>
      </c>
    </row>
    <row r="88" spans="2:36" x14ac:dyDescent="0.15">
      <c r="B88" s="97" t="s">
        <v>952</v>
      </c>
      <c r="C88" s="94" cm="1">
        <f t="array" ref="C88">SUM(SUMIFS('caseload data'!E:E,'caseload data'!$D:$D,"PSO",'caseload data'!$C:$C,'community caseload'!$B$85,'caseload data'!$B:$B,{"licence","community"}))</f>
        <v>0</v>
      </c>
      <c r="D88" s="94" cm="1">
        <f t="array" ref="D88">SUM(SUMIFS('caseload data'!F:F,'caseload data'!$D:$D,"PSO",'caseload data'!$C:$C,'community caseload'!$B$85,'caseload data'!$B:$B,{"licence","community"}))</f>
        <v>0</v>
      </c>
      <c r="E88" s="94" cm="1">
        <f t="array" ref="E88">SUM(SUMIFS('caseload data'!G:G,'caseload data'!$D:$D,"PSO",'caseload data'!$C:$C,'community caseload'!$B$85,'caseload data'!$B:$B,{"licence","community"}))</f>
        <v>0</v>
      </c>
      <c r="F88" s="94" cm="1">
        <f t="array" ref="F88">SUM(SUMIFS('caseload data'!H:H,'caseload data'!$D:$D,"PSO",'caseload data'!$C:$C,'community caseload'!$B$85,'caseload data'!$B:$B,{"licence","community"}))</f>
        <v>0</v>
      </c>
      <c r="G88" s="94" cm="1">
        <f t="array" ref="G88">SUM(SUMIFS('caseload data'!I:I,'caseload data'!$D:$D,"PSO",'caseload data'!$C:$C,'community caseload'!$B$85,'caseload data'!$B:$B,{"licence","community"}))</f>
        <v>0</v>
      </c>
      <c r="H88" s="94" cm="1">
        <f t="array" ref="H88">SUM(SUMIFS('caseload data'!J:J,'caseload data'!$D:$D,"PSO",'caseload data'!$C:$C,'community caseload'!$B$85,'caseload data'!$B:$B,{"licence","community"}))</f>
        <v>0</v>
      </c>
      <c r="I88" s="94" cm="1">
        <f t="array" ref="I88">SUM(SUMIFS('caseload data'!K:K,'caseload data'!$D:$D,"PSO",'caseload data'!$C:$C,'community caseload'!$B$85,'caseload data'!$B:$B,{"licence","community"}))</f>
        <v>0</v>
      </c>
      <c r="J88" s="94" cm="1">
        <f t="array" ref="J88">SUM(SUMIFS('caseload data'!L:L,'caseload data'!$D:$D,"PSO",'caseload data'!$C:$C,'community caseload'!$B$85,'caseload data'!$B:$B,{"licence","community"}))</f>
        <v>0</v>
      </c>
      <c r="K88" s="94" cm="1">
        <f t="array" ref="K88">SUM(SUMIFS('caseload data'!M:M,'caseload data'!$D:$D,"PSO",'caseload data'!$C:$C,'community caseload'!$B$85,'caseload data'!$B:$B,{"licence","community"}))</f>
        <v>0</v>
      </c>
      <c r="L88" s="94" cm="1">
        <f t="array" ref="L88">SUM(SUMIFS('caseload data'!N:N,'caseload data'!$D:$D,"PSO",'caseload data'!$C:$C,'community caseload'!$B$85,'caseload data'!$B:$B,{"licence","community"}))</f>
        <v>0</v>
      </c>
      <c r="M88" s="94" cm="1">
        <f t="array" ref="M88">SUM(SUMIFS('caseload data'!O:O,'caseload data'!$D:$D,"PSO",'caseload data'!$C:$C,'community caseload'!$B$85,'caseload data'!$B:$B,{"licence","community"}))</f>
        <v>0</v>
      </c>
      <c r="N88" s="94" cm="1">
        <f t="array" ref="N88">SUM(SUMIFS('caseload data'!P:P,'caseload data'!$D:$D,"PSO",'caseload data'!$C:$C,'community caseload'!$B$85,'caseload data'!$B:$B,{"licence","community"}))</f>
        <v>0</v>
      </c>
      <c r="O88" s="94" cm="1">
        <f t="array" ref="O88">SUM(SUMIFS('caseload data'!Q:Q,'caseload data'!$D:$D,"PSO",'caseload data'!$C:$C,'community caseload'!$B$85,'caseload data'!$B:$B,{"licence","community"}))</f>
        <v>0</v>
      </c>
      <c r="P88" s="94" cm="1">
        <f t="array" ref="P88">SUM(SUMIFS('caseload data'!R:R,'caseload data'!$D:$D,"PSO",'caseload data'!$C:$C,'community caseload'!$B$85,'caseload data'!$B:$B,{"licence","community"}))</f>
        <v>0</v>
      </c>
      <c r="Q88" s="94" cm="1">
        <f t="array" ref="Q88">SUM(SUMIFS('caseload data'!S:S,'caseload data'!$D:$D,"PSO",'caseload data'!$C:$C,'community caseload'!$B$85,'caseload data'!$B:$B,{"licence","community"}))</f>
        <v>0</v>
      </c>
      <c r="R88" s="94" cm="1">
        <f t="array" ref="R88">SUM(SUMIFS('caseload data'!T:T,'caseload data'!$D:$D,"PSO",'caseload data'!$C:$C,'community caseload'!$B$85,'caseload data'!$B:$B,{"licence","community"}))</f>
        <v>0</v>
      </c>
      <c r="T88" s="97" t="s">
        <v>952</v>
      </c>
      <c r="U88" s="94" cm="1">
        <f t="array" ref="U88">SUM(SUMIFS('caseload data'!E:E,'caseload data'!$D:$D,"PSO",'caseload data'!$C:$C,'community caseload'!$T$85,'caseload data'!$B:$B,{"licence","community"}))</f>
        <v>0</v>
      </c>
      <c r="V88" s="94" cm="1">
        <f t="array" ref="V88">SUM(SUMIFS('caseload data'!F:F,'caseload data'!$D:$D,"PSO",'caseload data'!$C:$C,'community caseload'!$T$85,'caseload data'!$B:$B,{"licence","community"}))</f>
        <v>0</v>
      </c>
      <c r="W88" s="94" cm="1">
        <f t="array" ref="W88">SUM(SUMIFS('caseload data'!G:G,'caseload data'!$D:$D,"PSO",'caseload data'!$C:$C,'community caseload'!$T$85,'caseload data'!$B:$B,{"licence","community"}))</f>
        <v>0</v>
      </c>
      <c r="X88" s="94" cm="1">
        <f t="array" ref="X88">SUM(SUMIFS('caseload data'!H:H,'caseload data'!$D:$D,"PSO",'caseload data'!$C:$C,'community caseload'!$T$85,'caseload data'!$B:$B,{"licence","community"}))</f>
        <v>0</v>
      </c>
      <c r="Y88" s="94" cm="1">
        <f t="array" ref="Y88">SUM(SUMIFS('caseload data'!I:I,'caseload data'!$D:$D,"PSO",'caseload data'!$C:$C,'community caseload'!$T$85,'caseload data'!$B:$B,{"licence","community"}))</f>
        <v>0</v>
      </c>
      <c r="Z88" s="94" cm="1">
        <f t="array" ref="Z88">SUM(SUMIFS('caseload data'!J:J,'caseload data'!$D:$D,"PSO",'caseload data'!$C:$C,'community caseload'!$T$85,'caseload data'!$B:$B,{"licence","community"}))</f>
        <v>0</v>
      </c>
      <c r="AA88" s="94" cm="1">
        <f t="array" ref="AA88">SUM(SUMIFS('caseload data'!K:K,'caseload data'!$D:$D,"PSO",'caseload data'!$C:$C,'community caseload'!$T$85,'caseload data'!$B:$B,{"licence","community"}))</f>
        <v>0</v>
      </c>
      <c r="AB88" s="94" cm="1">
        <f t="array" ref="AB88">SUM(SUMIFS('caseload data'!L:L,'caseload data'!$D:$D,"PSO",'caseload data'!$C:$C,'community caseload'!$T$85,'caseload data'!$B:$B,{"licence","community"}))</f>
        <v>0</v>
      </c>
      <c r="AC88" s="94" cm="1">
        <f t="array" ref="AC88">SUM(SUMIFS('caseload data'!M:M,'caseload data'!$D:$D,"PSO",'caseload data'!$C:$C,'community caseload'!$T$85,'caseload data'!$B:$B,{"licence","community"}))</f>
        <v>0</v>
      </c>
      <c r="AD88" s="94" cm="1">
        <f t="array" ref="AD88">SUM(SUMIFS('caseload data'!N:N,'caseload data'!$D:$D,"PSO",'caseload data'!$C:$C,'community caseload'!$T$85,'caseload data'!$B:$B,{"licence","community"}))</f>
        <v>0</v>
      </c>
      <c r="AE88" s="94" cm="1">
        <f t="array" ref="AE88">SUM(SUMIFS('caseload data'!O:O,'caseload data'!$D:$D,"PSO",'caseload data'!$C:$C,'community caseload'!$T$85,'caseload data'!$B:$B,{"licence","community"}))</f>
        <v>0</v>
      </c>
      <c r="AF88" s="94" cm="1">
        <f t="array" ref="AF88">SUM(SUMIFS('caseload data'!P:P,'caseload data'!$D:$D,"PSO",'caseload data'!$C:$C,'community caseload'!$T$85,'caseload data'!$B:$B,{"licence","community"}))</f>
        <v>0</v>
      </c>
      <c r="AG88" s="94" cm="1">
        <f t="array" ref="AG88">SUM(SUMIFS('caseload data'!Q:Q,'caseload data'!$D:$D,"PSO",'caseload data'!$C:$C,'community caseload'!$T$85,'caseload data'!$B:$B,{"licence","community"}))</f>
        <v>0</v>
      </c>
      <c r="AH88" s="94" cm="1">
        <f t="array" ref="AH88">SUM(SUMIFS('caseload data'!R:R,'caseload data'!$D:$D,"PSO",'caseload data'!$C:$C,'community caseload'!$T$85,'caseload data'!$B:$B,{"licence","community"}))</f>
        <v>0</v>
      </c>
      <c r="AI88" s="94" cm="1">
        <f t="array" ref="AI88">SUM(SUMIFS('caseload data'!S:S,'caseload data'!$D:$D,"PSO",'caseload data'!$C:$C,'community caseload'!$T$85,'caseload data'!$B:$B,{"licence","community"}))</f>
        <v>0</v>
      </c>
      <c r="AJ88" s="94" cm="1">
        <f t="array" ref="AJ88">SUM(SUMIFS('caseload data'!T:T,'caseload data'!$D:$D,"PSO",'caseload data'!$C:$C,'community caseload'!$T$85,'caseload data'!$B:$B,{"licence","community"}))</f>
        <v>0</v>
      </c>
    </row>
    <row r="89" spans="2:36" x14ac:dyDescent="0.15">
      <c r="B89" s="97" t="s">
        <v>953</v>
      </c>
      <c r="C89" s="94" cm="1">
        <f t="array" ref="C89">SUM(SUMIFS('caseload data'!E:E,'caseload data'!$D:$D,"TPO",'caseload data'!$C:$C,'community caseload'!$B$85,'caseload data'!$B:$B,{"licence","community"}))</f>
        <v>0</v>
      </c>
      <c r="D89" s="94" cm="1">
        <f t="array" ref="D89">SUM(SUMIFS('caseload data'!F:F,'caseload data'!$D:$D,"TPO",'caseload data'!$C:$C,'community caseload'!$B$85,'caseload data'!$B:$B,{"licence","community"}))</f>
        <v>0</v>
      </c>
      <c r="E89" s="94" cm="1">
        <f t="array" ref="E89">SUM(SUMIFS('caseload data'!G:G,'caseload data'!$D:$D,"TPO",'caseload data'!$C:$C,'community caseload'!$B$85,'caseload data'!$B:$B,{"licence","community"}))</f>
        <v>0</v>
      </c>
      <c r="F89" s="94" cm="1">
        <f t="array" ref="F89">SUM(SUMIFS('caseload data'!H:H,'caseload data'!$D:$D,"TPO",'caseload data'!$C:$C,'community caseload'!$B$85,'caseload data'!$B:$B,{"licence","community"}))</f>
        <v>0</v>
      </c>
      <c r="G89" s="94" cm="1">
        <f t="array" ref="G89">SUM(SUMIFS('caseload data'!I:I,'caseload data'!$D:$D,"TPO",'caseload data'!$C:$C,'community caseload'!$B$85,'caseload data'!$B:$B,{"licence","community"}))</f>
        <v>0</v>
      </c>
      <c r="H89" s="94" cm="1">
        <f t="array" ref="H89">SUM(SUMIFS('caseload data'!J:J,'caseload data'!$D:$D,"TPO",'caseload data'!$C:$C,'community caseload'!$B$85,'caseload data'!$B:$B,{"licence","community"}))</f>
        <v>0</v>
      </c>
      <c r="I89" s="94" cm="1">
        <f t="array" ref="I89">SUM(SUMIFS('caseload data'!K:K,'caseload data'!$D:$D,"TPO",'caseload data'!$C:$C,'community caseload'!$B$85,'caseload data'!$B:$B,{"licence","community"}))</f>
        <v>0</v>
      </c>
      <c r="J89" s="94" cm="1">
        <f t="array" ref="J89">SUM(SUMIFS('caseload data'!L:L,'caseload data'!$D:$D,"TPO",'caseload data'!$C:$C,'community caseload'!$B$85,'caseload data'!$B:$B,{"licence","community"}))</f>
        <v>0</v>
      </c>
      <c r="K89" s="94" cm="1">
        <f t="array" ref="K89">SUM(SUMIFS('caseload data'!M:M,'caseload data'!$D:$D,"TPO",'caseload data'!$C:$C,'community caseload'!$B$85,'caseload data'!$B:$B,{"licence","community"}))</f>
        <v>0</v>
      </c>
      <c r="L89" s="94" cm="1">
        <f t="array" ref="L89">SUM(SUMIFS('caseload data'!N:N,'caseload data'!$D:$D,"TPO",'caseload data'!$C:$C,'community caseload'!$B$85,'caseload data'!$B:$B,{"licence","community"}))</f>
        <v>0</v>
      </c>
      <c r="M89" s="94" cm="1">
        <f t="array" ref="M89">SUM(SUMIFS('caseload data'!O:O,'caseload data'!$D:$D,"TPO",'caseload data'!$C:$C,'community caseload'!$B$85,'caseload data'!$B:$B,{"licence","community"}))</f>
        <v>0</v>
      </c>
      <c r="N89" s="94" cm="1">
        <f t="array" ref="N89">SUM(SUMIFS('caseload data'!P:P,'caseload data'!$D:$D,"TPO",'caseload data'!$C:$C,'community caseload'!$B$85,'caseload data'!$B:$B,{"licence","community"}))</f>
        <v>0</v>
      </c>
      <c r="O89" s="94" cm="1">
        <f t="array" ref="O89">SUM(SUMIFS('caseload data'!Q:Q,'caseload data'!$D:$D,"TPO",'caseload data'!$C:$C,'community caseload'!$B$85,'caseload data'!$B:$B,{"licence","community"}))</f>
        <v>0</v>
      </c>
      <c r="P89" s="94" cm="1">
        <f t="array" ref="P89">SUM(SUMIFS('caseload data'!R:R,'caseload data'!$D:$D,"TPO",'caseload data'!$C:$C,'community caseload'!$B$85,'caseload data'!$B:$B,{"licence","community"}))</f>
        <v>0</v>
      </c>
      <c r="Q89" s="94" cm="1">
        <f t="array" ref="Q89">SUM(SUMIFS('caseload data'!S:S,'caseload data'!$D:$D,"TPO",'caseload data'!$C:$C,'community caseload'!$B$85,'caseload data'!$B:$B,{"licence","community"}))</f>
        <v>0</v>
      </c>
      <c r="R89" s="94" cm="1">
        <f t="array" ref="R89">SUM(SUMIFS('caseload data'!T:T,'caseload data'!$D:$D,"TPO",'caseload data'!$C:$C,'community caseload'!$B$85,'caseload data'!$B:$B,{"licence","community"}))</f>
        <v>0</v>
      </c>
      <c r="T89" s="97" t="s">
        <v>953</v>
      </c>
      <c r="U89" s="94" cm="1">
        <f t="array" ref="U89">SUM(SUMIFS('caseload data'!E:E,'caseload data'!$D:$D,"TPO",'caseload data'!$C:$C,'community caseload'!$T$85,'caseload data'!$B:$B,{"licence","community"}))</f>
        <v>0</v>
      </c>
      <c r="V89" s="94" cm="1">
        <f t="array" ref="V89">SUM(SUMIFS('caseload data'!F:F,'caseload data'!$D:$D,"TPO",'caseload data'!$C:$C,'community caseload'!$T$85,'caseload data'!$B:$B,{"licence","community"}))</f>
        <v>0</v>
      </c>
      <c r="W89" s="94" cm="1">
        <f t="array" ref="W89">SUM(SUMIFS('caseload data'!G:G,'caseload data'!$D:$D,"TPO",'caseload data'!$C:$C,'community caseload'!$T$85,'caseload data'!$B:$B,{"licence","community"}))</f>
        <v>0</v>
      </c>
      <c r="X89" s="94" cm="1">
        <f t="array" ref="X89">SUM(SUMIFS('caseload data'!H:H,'caseload data'!$D:$D,"TPO",'caseload data'!$C:$C,'community caseload'!$T$85,'caseload data'!$B:$B,{"licence","community"}))</f>
        <v>0</v>
      </c>
      <c r="Y89" s="94" cm="1">
        <f t="array" ref="Y89">SUM(SUMIFS('caseload data'!I:I,'caseload data'!$D:$D,"TPO",'caseload data'!$C:$C,'community caseload'!$T$85,'caseload data'!$B:$B,{"licence","community"}))</f>
        <v>0</v>
      </c>
      <c r="Z89" s="94" cm="1">
        <f t="array" ref="Z89">SUM(SUMIFS('caseload data'!J:J,'caseload data'!$D:$D,"TPO",'caseload data'!$C:$C,'community caseload'!$T$85,'caseload data'!$B:$B,{"licence","community"}))</f>
        <v>0</v>
      </c>
      <c r="AA89" s="94" cm="1">
        <f t="array" ref="AA89">SUM(SUMIFS('caseload data'!K:K,'caseload data'!$D:$D,"TPO",'caseload data'!$C:$C,'community caseload'!$T$85,'caseload data'!$B:$B,{"licence","community"}))</f>
        <v>0</v>
      </c>
      <c r="AB89" s="94" cm="1">
        <f t="array" ref="AB89">SUM(SUMIFS('caseload data'!L:L,'caseload data'!$D:$D,"TPO",'caseload data'!$C:$C,'community caseload'!$T$85,'caseload data'!$B:$B,{"licence","community"}))</f>
        <v>0</v>
      </c>
      <c r="AC89" s="94" cm="1">
        <f t="array" ref="AC89">SUM(SUMIFS('caseload data'!M:M,'caseload data'!$D:$D,"TPO",'caseload data'!$C:$C,'community caseload'!$T$85,'caseload data'!$B:$B,{"licence","community"}))</f>
        <v>0</v>
      </c>
      <c r="AD89" s="94" cm="1">
        <f t="array" ref="AD89">SUM(SUMIFS('caseload data'!N:N,'caseload data'!$D:$D,"TPO",'caseload data'!$C:$C,'community caseload'!$T$85,'caseload data'!$B:$B,{"licence","community"}))</f>
        <v>0</v>
      </c>
      <c r="AE89" s="94" cm="1">
        <f t="array" ref="AE89">SUM(SUMIFS('caseload data'!O:O,'caseload data'!$D:$D,"TPO",'caseload data'!$C:$C,'community caseload'!$T$85,'caseload data'!$B:$B,{"licence","community"}))</f>
        <v>0</v>
      </c>
      <c r="AF89" s="94" cm="1">
        <f t="array" ref="AF89">SUM(SUMIFS('caseload data'!P:P,'caseload data'!$D:$D,"TPO",'caseload data'!$C:$C,'community caseload'!$T$85,'caseload data'!$B:$B,{"licence","community"}))</f>
        <v>0</v>
      </c>
      <c r="AG89" s="94" cm="1">
        <f t="array" ref="AG89">SUM(SUMIFS('caseload data'!Q:Q,'caseload data'!$D:$D,"TPO",'caseload data'!$C:$C,'community caseload'!$T$85,'caseload data'!$B:$B,{"licence","community"}))</f>
        <v>0</v>
      </c>
      <c r="AH89" s="94" cm="1">
        <f t="array" ref="AH89">SUM(SUMIFS('caseload data'!R:R,'caseload data'!$D:$D,"TPO",'caseload data'!$C:$C,'community caseload'!$T$85,'caseload data'!$B:$B,{"licence","community"}))</f>
        <v>0</v>
      </c>
      <c r="AI89" s="94" cm="1">
        <f t="array" ref="AI89">SUM(SUMIFS('caseload data'!S:S,'caseload data'!$D:$D,"TPO",'caseload data'!$C:$C,'community caseload'!$T$85,'caseload data'!$B:$B,{"licence","community"}))</f>
        <v>0</v>
      </c>
      <c r="AJ89" s="94" cm="1">
        <f t="array" ref="AJ89">SUM(SUMIFS('caseload data'!T:T,'caseload data'!$D:$D,"TPO",'caseload data'!$C:$C,'community caseload'!$T$85,'caseload data'!$B:$B,{"licence","community"}))</f>
        <v>0</v>
      </c>
    </row>
    <row r="90" spans="2:36" x14ac:dyDescent="0.15">
      <c r="B90" s="98" t="s">
        <v>954</v>
      </c>
      <c r="C90" s="94" cm="1">
        <f t="array" ref="C90">SUM(SUMIFS('caseload data'!E:E,'caseload data'!$D:$D,"SPO",'caseload data'!$C:$C,'community caseload'!$B$85,'caseload data'!$B:$B,{"licence","community"}))</f>
        <v>0</v>
      </c>
      <c r="D90" s="94" cm="1">
        <f t="array" ref="D90">SUM(SUMIFS('caseload data'!F:F,'caseload data'!$D:$D,"SPO",'caseload data'!$C:$C,'community caseload'!$B$85,'caseload data'!$B:$B,{"licence","community"}))</f>
        <v>0</v>
      </c>
      <c r="E90" s="94" cm="1">
        <f t="array" ref="E90">SUM(SUMIFS('caseload data'!G:G,'caseload data'!$D:$D,"SPO",'caseload data'!$C:$C,'community caseload'!$B$85,'caseload data'!$B:$B,{"licence","community"}))</f>
        <v>0</v>
      </c>
      <c r="F90" s="94" cm="1">
        <f t="array" ref="F90">SUM(SUMIFS('caseload data'!H:H,'caseload data'!$D:$D,"SPO",'caseload data'!$C:$C,'community caseload'!$B$85,'caseload data'!$B:$B,{"licence","community"}))</f>
        <v>0</v>
      </c>
      <c r="G90" s="94" cm="1">
        <f t="array" ref="G90">SUM(SUMIFS('caseload data'!I:I,'caseload data'!$D:$D,"SPO",'caseload data'!$C:$C,'community caseload'!$B$85,'caseload data'!$B:$B,{"licence","community"}))</f>
        <v>0</v>
      </c>
      <c r="H90" s="94" cm="1">
        <f t="array" ref="H90">SUM(SUMIFS('caseload data'!J:J,'caseload data'!$D:$D,"SPO",'caseload data'!$C:$C,'community caseload'!$B$85,'caseload data'!$B:$B,{"licence","community"}))</f>
        <v>0</v>
      </c>
      <c r="I90" s="94" cm="1">
        <f t="array" ref="I90">SUM(SUMIFS('caseload data'!K:K,'caseload data'!$D:$D,"SPO",'caseload data'!$C:$C,'community caseload'!$B$85,'caseload data'!$B:$B,{"licence","community"}))</f>
        <v>0</v>
      </c>
      <c r="J90" s="94" cm="1">
        <f t="array" ref="J90">SUM(SUMIFS('caseload data'!L:L,'caseload data'!$D:$D,"SPO",'caseload data'!$C:$C,'community caseload'!$B$85,'caseload data'!$B:$B,{"licence","community"}))</f>
        <v>0</v>
      </c>
      <c r="K90" s="94" cm="1">
        <f t="array" ref="K90">SUM(SUMIFS('caseload data'!M:M,'caseload data'!$D:$D,"SPO",'caseload data'!$C:$C,'community caseload'!$B$85,'caseload data'!$B:$B,{"licence","community"}))</f>
        <v>0</v>
      </c>
      <c r="L90" s="94" cm="1">
        <f t="array" ref="L90">SUM(SUMIFS('caseload data'!N:N,'caseload data'!$D:$D,"SPO",'caseload data'!$C:$C,'community caseload'!$B$85,'caseload data'!$B:$B,{"licence","community"}))</f>
        <v>0</v>
      </c>
      <c r="M90" s="94" cm="1">
        <f t="array" ref="M90">SUM(SUMIFS('caseload data'!O:O,'caseload data'!$D:$D,"SPO",'caseload data'!$C:$C,'community caseload'!$B$85,'caseload data'!$B:$B,{"licence","community"}))</f>
        <v>0</v>
      </c>
      <c r="N90" s="94" cm="1">
        <f t="array" ref="N90">SUM(SUMIFS('caseload data'!P:P,'caseload data'!$D:$D,"SPO",'caseload data'!$C:$C,'community caseload'!$B$85,'caseload data'!$B:$B,{"licence","community"}))</f>
        <v>0</v>
      </c>
      <c r="O90" s="94" cm="1">
        <f t="array" ref="O90">SUM(SUMIFS('caseload data'!Q:Q,'caseload data'!$D:$D,"SPO",'caseload data'!$C:$C,'community caseload'!$B$85,'caseload data'!$B:$B,{"licence","community"}))</f>
        <v>0</v>
      </c>
      <c r="P90" s="94" cm="1">
        <f t="array" ref="P90">SUM(SUMIFS('caseload data'!R:R,'caseload data'!$D:$D,"SPO",'caseload data'!$C:$C,'community caseload'!$B$85,'caseload data'!$B:$B,{"licence","community"}))</f>
        <v>0</v>
      </c>
      <c r="Q90" s="94" cm="1">
        <f t="array" ref="Q90">SUM(SUMIFS('caseload data'!S:S,'caseload data'!$D:$D,"SPO",'caseload data'!$C:$C,'community caseload'!$B$85,'caseload data'!$B:$B,{"licence","community"}))</f>
        <v>0</v>
      </c>
      <c r="R90" s="94" cm="1">
        <f t="array" ref="R90">SUM(SUMIFS('caseload data'!T:T,'caseload data'!$D:$D,"SPO",'caseload data'!$C:$C,'community caseload'!$B$85,'caseload data'!$B:$B,{"licence","community"}))</f>
        <v>0</v>
      </c>
      <c r="T90" s="98" t="s">
        <v>954</v>
      </c>
      <c r="U90" s="94" cm="1">
        <f t="array" ref="U90">SUM(SUMIFS('caseload data'!E:E,'caseload data'!$D:$D,"SPO",'caseload data'!$C:$C,'community caseload'!$T$85,'caseload data'!$B:$B,{"licence","community"}))</f>
        <v>0</v>
      </c>
      <c r="V90" s="94" cm="1">
        <f t="array" ref="V90">SUM(SUMIFS('caseload data'!F:F,'caseload data'!$D:$D,"SPO",'caseload data'!$C:$C,'community caseload'!$T$85,'caseload data'!$B:$B,{"licence","community"}))</f>
        <v>0</v>
      </c>
      <c r="W90" s="94" cm="1">
        <f t="array" ref="W90">SUM(SUMIFS('caseload data'!G:G,'caseload data'!$D:$D,"SPO",'caseload data'!$C:$C,'community caseload'!$T$85,'caseload data'!$B:$B,{"licence","community"}))</f>
        <v>0</v>
      </c>
      <c r="X90" s="94" cm="1">
        <f t="array" ref="X90">SUM(SUMIFS('caseload data'!H:H,'caseload data'!$D:$D,"SPO",'caseload data'!$C:$C,'community caseload'!$T$85,'caseload data'!$B:$B,{"licence","community"}))</f>
        <v>0</v>
      </c>
      <c r="Y90" s="94" cm="1">
        <f t="array" ref="Y90">SUM(SUMIFS('caseload data'!I:I,'caseload data'!$D:$D,"SPO",'caseload data'!$C:$C,'community caseload'!$T$85,'caseload data'!$B:$B,{"licence","community"}))</f>
        <v>0</v>
      </c>
      <c r="Z90" s="94" cm="1">
        <f t="array" ref="Z90">SUM(SUMIFS('caseload data'!J:J,'caseload data'!$D:$D,"SPO",'caseload data'!$C:$C,'community caseload'!$T$85,'caseload data'!$B:$B,{"licence","community"}))</f>
        <v>0</v>
      </c>
      <c r="AA90" s="94" cm="1">
        <f t="array" ref="AA90">SUM(SUMIFS('caseload data'!K:K,'caseload data'!$D:$D,"SPO",'caseload data'!$C:$C,'community caseload'!$T$85,'caseload data'!$B:$B,{"licence","community"}))</f>
        <v>0</v>
      </c>
      <c r="AB90" s="94" cm="1">
        <f t="array" ref="AB90">SUM(SUMIFS('caseload data'!L:L,'caseload data'!$D:$D,"SPO",'caseload data'!$C:$C,'community caseload'!$T$85,'caseload data'!$B:$B,{"licence","community"}))</f>
        <v>0</v>
      </c>
      <c r="AC90" s="94" cm="1">
        <f t="array" ref="AC90">SUM(SUMIFS('caseload data'!M:M,'caseload data'!$D:$D,"SPO",'caseload data'!$C:$C,'community caseload'!$T$85,'caseload data'!$B:$B,{"licence","community"}))</f>
        <v>0</v>
      </c>
      <c r="AD90" s="94" cm="1">
        <f t="array" ref="AD90">SUM(SUMIFS('caseload data'!N:N,'caseload data'!$D:$D,"SPO",'caseload data'!$C:$C,'community caseload'!$T$85,'caseload data'!$B:$B,{"licence","community"}))</f>
        <v>0</v>
      </c>
      <c r="AE90" s="94" cm="1">
        <f t="array" ref="AE90">SUM(SUMIFS('caseload data'!O:O,'caseload data'!$D:$D,"SPO",'caseload data'!$C:$C,'community caseload'!$T$85,'caseload data'!$B:$B,{"licence","community"}))</f>
        <v>0</v>
      </c>
      <c r="AF90" s="94" cm="1">
        <f t="array" ref="AF90">SUM(SUMIFS('caseload data'!P:P,'caseload data'!$D:$D,"SPO",'caseload data'!$C:$C,'community caseload'!$T$85,'caseload data'!$B:$B,{"licence","community"}))</f>
        <v>0</v>
      </c>
      <c r="AG90" s="94" cm="1">
        <f t="array" ref="AG90">SUM(SUMIFS('caseload data'!Q:Q,'caseload data'!$D:$D,"SPO",'caseload data'!$C:$C,'community caseload'!$T$85,'caseload data'!$B:$B,{"licence","community"}))</f>
        <v>0</v>
      </c>
      <c r="AH90" s="94" cm="1">
        <f t="array" ref="AH90">SUM(SUMIFS('caseload data'!R:R,'caseload data'!$D:$D,"SPO",'caseload data'!$C:$C,'community caseload'!$T$85,'caseload data'!$B:$B,{"licence","community"}))</f>
        <v>0</v>
      </c>
      <c r="AI90" s="94" cm="1">
        <f t="array" ref="AI90">SUM(SUMIFS('caseload data'!S:S,'caseload data'!$D:$D,"SPO",'caseload data'!$C:$C,'community caseload'!$T$85,'caseload data'!$B:$B,{"licence","community"}))</f>
        <v>0</v>
      </c>
      <c r="AJ90" s="94" cm="1">
        <f t="array" ref="AJ90">SUM(SUMIFS('caseload data'!T:T,'caseload data'!$D:$D,"SPO",'caseload data'!$C:$C,'community caseload'!$T$85,'caseload data'!$B:$B,{"licence","community"}))</f>
        <v>0</v>
      </c>
    </row>
    <row r="92" spans="2:36" ht="27.75" customHeight="1" x14ac:dyDescent="0.15">
      <c r="B92" s="288">
        <f>HLOOKUP($B$5,Region_Table,26,0)</f>
        <v>0</v>
      </c>
      <c r="C92" s="540" t="s">
        <v>1077</v>
      </c>
      <c r="D92" s="541"/>
      <c r="E92" s="541"/>
      <c r="F92" s="541"/>
      <c r="G92" s="541"/>
      <c r="H92" s="541"/>
      <c r="I92" s="541"/>
      <c r="J92" s="541"/>
      <c r="K92" s="541"/>
      <c r="L92" s="541"/>
      <c r="M92" s="570"/>
      <c r="N92" s="570"/>
      <c r="O92" s="571"/>
      <c r="P92" s="543" cm="1">
        <f t="array" ref="P92">SUM(SUMIFS('caseload data'!V:V,'caseload data'!B:B,{"licence","community"},'caseload data'!$C:$C,'community caseload'!B92))</f>
        <v>0</v>
      </c>
      <c r="Q92" s="560"/>
      <c r="R92" s="561"/>
      <c r="T92" s="288">
        <f>HLOOKUP($B$5,Region_Table,27,0)</f>
        <v>0</v>
      </c>
      <c r="U92" s="540" t="s">
        <v>1077</v>
      </c>
      <c r="V92" s="541"/>
      <c r="W92" s="541"/>
      <c r="X92" s="541"/>
      <c r="Y92" s="541"/>
      <c r="Z92" s="541"/>
      <c r="AA92" s="541"/>
      <c r="AB92" s="541"/>
      <c r="AC92" s="541"/>
      <c r="AD92" s="541"/>
      <c r="AE92" s="570"/>
      <c r="AF92" s="570"/>
      <c r="AG92" s="571"/>
      <c r="AH92" s="543" cm="1">
        <f t="array" ref="AH92">SUM(SUMIFS('caseload data'!V:V,'caseload data'!B:B,{"licence","community"},'caseload data'!$C:$C,'community caseload'!T92))</f>
        <v>0</v>
      </c>
      <c r="AI92" s="560"/>
      <c r="AJ92" s="561"/>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94" cm="1">
        <f t="array" ref="C94">SUM(SUMIFS('caseload data'!E:E,'caseload data'!$D:$D,"PO",'caseload data'!$C:$C,'community caseload'!$B$92,'caseload data'!$B:$B,{"licence","community"}))</f>
        <v>0</v>
      </c>
      <c r="D94" s="94" cm="1">
        <f t="array" ref="D94">SUM(SUMIFS('caseload data'!F:F,'caseload data'!$D:$D,"PO",'caseload data'!$C:$C,'community caseload'!$B$92,'caseload data'!$B:$B,{"licence","community"}))</f>
        <v>0</v>
      </c>
      <c r="E94" s="94" cm="1">
        <f t="array" ref="E94">SUM(SUMIFS('caseload data'!G:G,'caseload data'!$D:$D,"PO",'caseload data'!$C:$C,'community caseload'!$B$92,'caseload data'!$B:$B,{"licence","community"}))</f>
        <v>0</v>
      </c>
      <c r="F94" s="94" cm="1">
        <f t="array" ref="F94">SUM(SUMIFS('caseload data'!H:H,'caseload data'!$D:$D,"PO",'caseload data'!$C:$C,'community caseload'!$B$92,'caseload data'!$B:$B,{"licence","community"}))</f>
        <v>0</v>
      </c>
      <c r="G94" s="94" cm="1">
        <f t="array" ref="G94">SUM(SUMIFS('caseload data'!I:I,'caseload data'!$D:$D,"PO",'caseload data'!$C:$C,'community caseload'!$B$92,'caseload data'!$B:$B,{"licence","community"}))</f>
        <v>0</v>
      </c>
      <c r="H94" s="94" cm="1">
        <f t="array" ref="H94">SUM(SUMIFS('caseload data'!J:J,'caseload data'!$D:$D,"PO",'caseload data'!$C:$C,'community caseload'!$B$92,'caseload data'!$B:$B,{"licence","community"}))</f>
        <v>0</v>
      </c>
      <c r="I94" s="94" cm="1">
        <f t="array" ref="I94">SUM(SUMIFS('caseload data'!K:K,'caseload data'!$D:$D,"PO",'caseload data'!$C:$C,'community caseload'!$B$92,'caseload data'!$B:$B,{"licence","community"}))</f>
        <v>0</v>
      </c>
      <c r="J94" s="94" cm="1">
        <f t="array" ref="J94">SUM(SUMIFS('caseload data'!L:L,'caseload data'!$D:$D,"PO",'caseload data'!$C:$C,'community caseload'!$B$92,'caseload data'!$B:$B,{"licence","community"}))</f>
        <v>0</v>
      </c>
      <c r="K94" s="94" cm="1">
        <f t="array" ref="K94">SUM(SUMIFS('caseload data'!M:M,'caseload data'!$D:$D,"PO",'caseload data'!$C:$C,'community caseload'!$B$92,'caseload data'!$B:$B,{"licence","community"}))</f>
        <v>0</v>
      </c>
      <c r="L94" s="94" cm="1">
        <f t="array" ref="L94">SUM(SUMIFS('caseload data'!N:N,'caseload data'!$D:$D,"PO",'caseload data'!$C:$C,'community caseload'!$B$92,'caseload data'!$B:$B,{"licence","community"}))</f>
        <v>0</v>
      </c>
      <c r="M94" s="94" cm="1">
        <f t="array" ref="M94">SUM(SUMIFS('caseload data'!O:O,'caseload data'!$D:$D,"PO",'caseload data'!$C:$C,'community caseload'!$B$92,'caseload data'!$B:$B,{"licence","community"}))</f>
        <v>0</v>
      </c>
      <c r="N94" s="94" cm="1">
        <f t="array" ref="N94">SUM(SUMIFS('caseload data'!P:P,'caseload data'!$D:$D,"PO",'caseload data'!$C:$C,'community caseload'!$B$92,'caseload data'!$B:$B,{"licence","community"}))</f>
        <v>0</v>
      </c>
      <c r="O94" s="94" cm="1">
        <f t="array" ref="O94">SUM(SUMIFS('caseload data'!Q:Q,'caseload data'!$D:$D,"PO",'caseload data'!$C:$C,'community caseload'!$B$92,'caseload data'!$B:$B,{"licence","community"}))</f>
        <v>0</v>
      </c>
      <c r="P94" s="94" cm="1">
        <f t="array" ref="P94">SUM(SUMIFS('caseload data'!R:R,'caseload data'!$D:$D,"PO",'caseload data'!$C:$C,'community caseload'!$B$92,'caseload data'!$B:$B,{"licence","community"}))</f>
        <v>0</v>
      </c>
      <c r="Q94" s="94" cm="1">
        <f t="array" ref="Q94">SUM(SUMIFS('caseload data'!S:S,'caseload data'!$D:$D,"PO",'caseload data'!$C:$C,'community caseload'!$B$92,'caseload data'!$B:$B,{"licence","community"}))</f>
        <v>0</v>
      </c>
      <c r="R94" s="94" cm="1">
        <f t="array" ref="R94">SUM(SUMIFS('caseload data'!T:T,'caseload data'!$D:$D,"PO",'caseload data'!$C:$C,'community caseload'!$B$92,'caseload data'!$B:$B,{"licence","community"}))</f>
        <v>0</v>
      </c>
      <c r="T94" s="96" t="s">
        <v>947</v>
      </c>
      <c r="U94" s="94" cm="1">
        <f t="array" ref="U94">SUM(SUMIFS('caseload data'!E:E,'caseload data'!$D:$D,"PO",'caseload data'!$C:$C,'community caseload'!$T$92,'caseload data'!$B:$B,{"licence","community"}))</f>
        <v>0</v>
      </c>
      <c r="V94" s="94" cm="1">
        <f t="array" ref="V94">SUM(SUMIFS('caseload data'!F:F,'caseload data'!$D:$D,"PO",'caseload data'!$C:$C,'community caseload'!$T$92,'caseload data'!$B:$B,{"licence","community"}))</f>
        <v>0</v>
      </c>
      <c r="W94" s="94" cm="1">
        <f t="array" ref="W94">SUM(SUMIFS('caseload data'!G:G,'caseload data'!$D:$D,"PO",'caseload data'!$C:$C,'community caseload'!$T$92,'caseload data'!$B:$B,{"licence","community"}))</f>
        <v>0</v>
      </c>
      <c r="X94" s="94" cm="1">
        <f t="array" ref="X94">SUM(SUMIFS('caseload data'!H:H,'caseload data'!$D:$D,"PO",'caseload data'!$C:$C,'community caseload'!$T$92,'caseload data'!$B:$B,{"licence","community"}))</f>
        <v>0</v>
      </c>
      <c r="Y94" s="94" cm="1">
        <f t="array" ref="Y94">SUM(SUMIFS('caseload data'!I:I,'caseload data'!$D:$D,"PO",'caseload data'!$C:$C,'community caseload'!$T$92,'caseload data'!$B:$B,{"licence","community"}))</f>
        <v>0</v>
      </c>
      <c r="Z94" s="94" cm="1">
        <f t="array" ref="Z94">SUM(SUMIFS('caseload data'!J:J,'caseload data'!$D:$D,"PO",'caseload data'!$C:$C,'community caseload'!$T$92,'caseload data'!$B:$B,{"licence","community"}))</f>
        <v>0</v>
      </c>
      <c r="AA94" s="94" cm="1">
        <f t="array" ref="AA94">SUM(SUMIFS('caseload data'!K:K,'caseload data'!$D:$D,"PO",'caseload data'!$C:$C,'community caseload'!$T$92,'caseload data'!$B:$B,{"licence","community"}))</f>
        <v>0</v>
      </c>
      <c r="AB94" s="94" cm="1">
        <f t="array" ref="AB94">SUM(SUMIFS('caseload data'!L:L,'caseload data'!$D:$D,"PO",'caseload data'!$C:$C,'community caseload'!$T$92,'caseload data'!$B:$B,{"licence","community"}))</f>
        <v>0</v>
      </c>
      <c r="AC94" s="94" cm="1">
        <f t="array" ref="AC94">SUM(SUMIFS('caseload data'!M:M,'caseload data'!$D:$D,"PO",'caseload data'!$C:$C,'community caseload'!$T$92,'caseload data'!$B:$B,{"licence","community"}))</f>
        <v>0</v>
      </c>
      <c r="AD94" s="94" cm="1">
        <f t="array" ref="AD94">SUM(SUMIFS('caseload data'!N:N,'caseload data'!$D:$D,"PO",'caseload data'!$C:$C,'community caseload'!$T$92,'caseload data'!$B:$B,{"licence","community"}))</f>
        <v>0</v>
      </c>
      <c r="AE94" s="94" cm="1">
        <f t="array" ref="AE94">SUM(SUMIFS('caseload data'!O:O,'caseload data'!$D:$D,"PO",'caseload data'!$C:$C,'community caseload'!$T$92,'caseload data'!$B:$B,{"licence","community"}))</f>
        <v>0</v>
      </c>
      <c r="AF94" s="94" cm="1">
        <f t="array" ref="AF94">SUM(SUMIFS('caseload data'!P:P,'caseload data'!$D:$D,"PO",'caseload data'!$C:$C,'community caseload'!$T$92,'caseload data'!$B:$B,{"licence","community"}))</f>
        <v>0</v>
      </c>
      <c r="AG94" s="94" cm="1">
        <f t="array" ref="AG94">SUM(SUMIFS('caseload data'!Q:Q,'caseload data'!$D:$D,"PO",'caseload data'!$C:$C,'community caseload'!$T$92,'caseload data'!$B:$B,{"licence","community"}))</f>
        <v>0</v>
      </c>
      <c r="AH94" s="94" cm="1">
        <f t="array" ref="AH94">SUM(SUMIFS('caseload data'!R:R,'caseload data'!$D:$D,"PO",'caseload data'!$C:$C,'community caseload'!$T$92,'caseload data'!$B:$B,{"licence","community"}))</f>
        <v>0</v>
      </c>
      <c r="AI94" s="94" cm="1">
        <f t="array" ref="AI94">SUM(SUMIFS('caseload data'!S:S,'caseload data'!$D:$D,"PO",'caseload data'!$C:$C,'community caseload'!$T$92,'caseload data'!$B:$B,{"licence","community"}))</f>
        <v>0</v>
      </c>
      <c r="AJ94" s="94" cm="1">
        <f t="array" ref="AJ94">SUM(SUMIFS('caseload data'!T:T,'caseload data'!$D:$D,"PO",'caseload data'!$C:$C,'community caseload'!$T$92,'caseload data'!$B:$B,{"licence","community"}))</f>
        <v>0</v>
      </c>
    </row>
    <row r="95" spans="2:36" x14ac:dyDescent="0.15">
      <c r="B95" s="97" t="s">
        <v>952</v>
      </c>
      <c r="C95" s="94" cm="1">
        <f t="array" ref="C95">SUM(SUMIFS('caseload data'!E:E,'caseload data'!$D:$D,"PSO",'caseload data'!$C:$C,'community caseload'!$B$92,'caseload data'!$B:$B,{"licence","community"}))</f>
        <v>0</v>
      </c>
      <c r="D95" s="94" cm="1">
        <f t="array" ref="D95">SUM(SUMIFS('caseload data'!F:F,'caseload data'!$D:$D,"PSO",'caseload data'!$C:$C,'community caseload'!$B$92,'caseload data'!$B:$B,{"licence","community"}))</f>
        <v>0</v>
      </c>
      <c r="E95" s="94" cm="1">
        <f t="array" ref="E95">SUM(SUMIFS('caseload data'!G:G,'caseload data'!$D:$D,"PSO",'caseload data'!$C:$C,'community caseload'!$B$92,'caseload data'!$B:$B,{"licence","community"}))</f>
        <v>0</v>
      </c>
      <c r="F95" s="94" cm="1">
        <f t="array" ref="F95">SUM(SUMIFS('caseload data'!H:H,'caseload data'!$D:$D,"PSO",'caseload data'!$C:$C,'community caseload'!$B$92,'caseload data'!$B:$B,{"licence","community"}))</f>
        <v>0</v>
      </c>
      <c r="G95" s="94" cm="1">
        <f t="array" ref="G95">SUM(SUMIFS('caseload data'!I:I,'caseload data'!$D:$D,"PSO",'caseload data'!$C:$C,'community caseload'!$B$92,'caseload data'!$B:$B,{"licence","community"}))</f>
        <v>0</v>
      </c>
      <c r="H95" s="94" cm="1">
        <f t="array" ref="H95">SUM(SUMIFS('caseload data'!J:J,'caseload data'!$D:$D,"PSO",'caseload data'!$C:$C,'community caseload'!$B$92,'caseload data'!$B:$B,{"licence","community"}))</f>
        <v>0</v>
      </c>
      <c r="I95" s="94" cm="1">
        <f t="array" ref="I95">SUM(SUMIFS('caseload data'!K:K,'caseload data'!$D:$D,"PSO",'caseload data'!$C:$C,'community caseload'!$B$92,'caseload data'!$B:$B,{"licence","community"}))</f>
        <v>0</v>
      </c>
      <c r="J95" s="94" cm="1">
        <f t="array" ref="J95">SUM(SUMIFS('caseload data'!L:L,'caseload data'!$D:$D,"PSO",'caseload data'!$C:$C,'community caseload'!$B$92,'caseload data'!$B:$B,{"licence","community"}))</f>
        <v>0</v>
      </c>
      <c r="K95" s="94" cm="1">
        <f t="array" ref="K95">SUM(SUMIFS('caseload data'!M:M,'caseload data'!$D:$D,"PSO",'caseload data'!$C:$C,'community caseload'!$B$92,'caseload data'!$B:$B,{"licence","community"}))</f>
        <v>0</v>
      </c>
      <c r="L95" s="94" cm="1">
        <f t="array" ref="L95">SUM(SUMIFS('caseload data'!N:N,'caseload data'!$D:$D,"PSO",'caseload data'!$C:$C,'community caseload'!$B$92,'caseload data'!$B:$B,{"licence","community"}))</f>
        <v>0</v>
      </c>
      <c r="M95" s="94" cm="1">
        <f t="array" ref="M95">SUM(SUMIFS('caseload data'!O:O,'caseload data'!$D:$D,"PSO",'caseload data'!$C:$C,'community caseload'!$B$92,'caseload data'!$B:$B,{"licence","community"}))</f>
        <v>0</v>
      </c>
      <c r="N95" s="94" cm="1">
        <f t="array" ref="N95">SUM(SUMIFS('caseload data'!P:P,'caseload data'!$D:$D,"PSO",'caseload data'!$C:$C,'community caseload'!$B$92,'caseload data'!$B:$B,{"licence","community"}))</f>
        <v>0</v>
      </c>
      <c r="O95" s="94" cm="1">
        <f t="array" ref="O95">SUM(SUMIFS('caseload data'!Q:Q,'caseload data'!$D:$D,"PSO",'caseload data'!$C:$C,'community caseload'!$B$92,'caseload data'!$B:$B,{"licence","community"}))</f>
        <v>0</v>
      </c>
      <c r="P95" s="94" cm="1">
        <f t="array" ref="P95">SUM(SUMIFS('caseload data'!R:R,'caseload data'!$D:$D,"PSO",'caseload data'!$C:$C,'community caseload'!$B$92,'caseload data'!$B:$B,{"licence","community"}))</f>
        <v>0</v>
      </c>
      <c r="Q95" s="94" cm="1">
        <f t="array" ref="Q95">SUM(SUMIFS('caseload data'!S:S,'caseload data'!$D:$D,"PSO",'caseload data'!$C:$C,'community caseload'!$B$92,'caseload data'!$B:$B,{"licence","community"}))</f>
        <v>0</v>
      </c>
      <c r="R95" s="94" cm="1">
        <f t="array" ref="R95">SUM(SUMIFS('caseload data'!T:T,'caseload data'!$D:$D,"PSO",'caseload data'!$C:$C,'community caseload'!$B$92,'caseload data'!$B:$B,{"licence","community"}))</f>
        <v>0</v>
      </c>
      <c r="T95" s="97" t="s">
        <v>952</v>
      </c>
      <c r="U95" s="94" cm="1">
        <f t="array" ref="U95">SUM(SUMIFS('caseload data'!E:E,'caseload data'!$D:$D,"PSO",'caseload data'!$C:$C,'community caseload'!$T$92,'caseload data'!$B:$B,{"licence","community"}))</f>
        <v>0</v>
      </c>
      <c r="V95" s="94" cm="1">
        <f t="array" ref="V95">SUM(SUMIFS('caseload data'!F:F,'caseload data'!$D:$D,"PSO",'caseload data'!$C:$C,'community caseload'!$T$92,'caseload data'!$B:$B,{"licence","community"}))</f>
        <v>0</v>
      </c>
      <c r="W95" s="94" cm="1">
        <f t="array" ref="W95">SUM(SUMIFS('caseload data'!G:G,'caseload data'!$D:$D,"PSO",'caseload data'!$C:$C,'community caseload'!$T$92,'caseload data'!$B:$B,{"licence","community"}))</f>
        <v>0</v>
      </c>
      <c r="X95" s="94" cm="1">
        <f t="array" ref="X95">SUM(SUMIFS('caseload data'!H:H,'caseload data'!$D:$D,"PSO",'caseload data'!$C:$C,'community caseload'!$T$92,'caseload data'!$B:$B,{"licence","community"}))</f>
        <v>0</v>
      </c>
      <c r="Y95" s="94" cm="1">
        <f t="array" ref="Y95">SUM(SUMIFS('caseload data'!I:I,'caseload data'!$D:$D,"PSO",'caseload data'!$C:$C,'community caseload'!$T$92,'caseload data'!$B:$B,{"licence","community"}))</f>
        <v>0</v>
      </c>
      <c r="Z95" s="94" cm="1">
        <f t="array" ref="Z95">SUM(SUMIFS('caseload data'!J:J,'caseload data'!$D:$D,"PSO",'caseload data'!$C:$C,'community caseload'!$T$92,'caseload data'!$B:$B,{"licence","community"}))</f>
        <v>0</v>
      </c>
      <c r="AA95" s="94" cm="1">
        <f t="array" ref="AA95">SUM(SUMIFS('caseload data'!K:K,'caseload data'!$D:$D,"PSO",'caseload data'!$C:$C,'community caseload'!$T$92,'caseload data'!$B:$B,{"licence","community"}))</f>
        <v>0</v>
      </c>
      <c r="AB95" s="94" cm="1">
        <f t="array" ref="AB95">SUM(SUMIFS('caseload data'!L:L,'caseload data'!$D:$D,"PSO",'caseload data'!$C:$C,'community caseload'!$T$92,'caseload data'!$B:$B,{"licence","community"}))</f>
        <v>0</v>
      </c>
      <c r="AC95" s="94" cm="1">
        <f t="array" ref="AC95">SUM(SUMIFS('caseload data'!M:M,'caseload data'!$D:$D,"PSO",'caseload data'!$C:$C,'community caseload'!$T$92,'caseload data'!$B:$B,{"licence","community"}))</f>
        <v>0</v>
      </c>
      <c r="AD95" s="94" cm="1">
        <f t="array" ref="AD95">SUM(SUMIFS('caseload data'!N:N,'caseload data'!$D:$D,"PSO",'caseload data'!$C:$C,'community caseload'!$T$92,'caseload data'!$B:$B,{"licence","community"}))</f>
        <v>0</v>
      </c>
      <c r="AE95" s="94" cm="1">
        <f t="array" ref="AE95">SUM(SUMIFS('caseload data'!O:O,'caseload data'!$D:$D,"PSO",'caseload data'!$C:$C,'community caseload'!$T$92,'caseload data'!$B:$B,{"licence","community"}))</f>
        <v>0</v>
      </c>
      <c r="AF95" s="94" cm="1">
        <f t="array" ref="AF95">SUM(SUMIFS('caseload data'!P:P,'caseload data'!$D:$D,"PSO",'caseload data'!$C:$C,'community caseload'!$T$92,'caseload data'!$B:$B,{"licence","community"}))</f>
        <v>0</v>
      </c>
      <c r="AG95" s="94" cm="1">
        <f t="array" ref="AG95">SUM(SUMIFS('caseload data'!Q:Q,'caseload data'!$D:$D,"PSO",'caseload data'!$C:$C,'community caseload'!$T$92,'caseload data'!$B:$B,{"licence","community"}))</f>
        <v>0</v>
      </c>
      <c r="AH95" s="94" cm="1">
        <f t="array" ref="AH95">SUM(SUMIFS('caseload data'!R:R,'caseload data'!$D:$D,"PSO",'caseload data'!$C:$C,'community caseload'!$T$92,'caseload data'!$B:$B,{"licence","community"}))</f>
        <v>0</v>
      </c>
      <c r="AI95" s="94" cm="1">
        <f t="array" ref="AI95">SUM(SUMIFS('caseload data'!S:S,'caseload data'!$D:$D,"PSO",'caseload data'!$C:$C,'community caseload'!$T$92,'caseload data'!$B:$B,{"licence","community"}))</f>
        <v>0</v>
      </c>
      <c r="AJ95" s="94" cm="1">
        <f t="array" ref="AJ95">SUM(SUMIFS('caseload data'!T:T,'caseload data'!$D:$D,"PSO",'caseload data'!$C:$C,'community caseload'!$T$92,'caseload data'!$B:$B,{"licence","community"}))</f>
        <v>0</v>
      </c>
    </row>
    <row r="96" spans="2:36" x14ac:dyDescent="0.15">
      <c r="B96" s="97" t="s">
        <v>953</v>
      </c>
      <c r="C96" s="94" cm="1">
        <f t="array" ref="C96">SUM(SUMIFS('caseload data'!E:E,'caseload data'!$D:$D,"TPO",'caseload data'!$C:$C,'community caseload'!$B$92,'caseload data'!$B:$B,{"licence","community"}))</f>
        <v>0</v>
      </c>
      <c r="D96" s="94" cm="1">
        <f t="array" ref="D96">SUM(SUMIFS('caseload data'!F:F,'caseload data'!$D:$D,"TPO",'caseload data'!$C:$C,'community caseload'!$B$92,'caseload data'!$B:$B,{"licence","community"}))</f>
        <v>0</v>
      </c>
      <c r="E96" s="94" cm="1">
        <f t="array" ref="E96">SUM(SUMIFS('caseload data'!G:G,'caseload data'!$D:$D,"TPO",'caseload data'!$C:$C,'community caseload'!$B$92,'caseload data'!$B:$B,{"licence","community"}))</f>
        <v>0</v>
      </c>
      <c r="F96" s="94" cm="1">
        <f t="array" ref="F96">SUM(SUMIFS('caseload data'!H:H,'caseload data'!$D:$D,"TPO",'caseload data'!$C:$C,'community caseload'!$B$92,'caseload data'!$B:$B,{"licence","community"}))</f>
        <v>0</v>
      </c>
      <c r="G96" s="94" cm="1">
        <f t="array" ref="G96">SUM(SUMIFS('caseload data'!I:I,'caseload data'!$D:$D,"TPO",'caseload data'!$C:$C,'community caseload'!$B$92,'caseload data'!$B:$B,{"licence","community"}))</f>
        <v>0</v>
      </c>
      <c r="H96" s="94" cm="1">
        <f t="array" ref="H96">SUM(SUMIFS('caseload data'!J:J,'caseload data'!$D:$D,"TPO",'caseload data'!$C:$C,'community caseload'!$B$92,'caseload data'!$B:$B,{"licence","community"}))</f>
        <v>0</v>
      </c>
      <c r="I96" s="94" cm="1">
        <f t="array" ref="I96">SUM(SUMIFS('caseload data'!K:K,'caseload data'!$D:$D,"TPO",'caseload data'!$C:$C,'community caseload'!$B$92,'caseload data'!$B:$B,{"licence","community"}))</f>
        <v>0</v>
      </c>
      <c r="J96" s="94" cm="1">
        <f t="array" ref="J96">SUM(SUMIFS('caseload data'!L:L,'caseload data'!$D:$D,"TPO",'caseload data'!$C:$C,'community caseload'!$B$92,'caseload data'!$B:$B,{"licence","community"}))</f>
        <v>0</v>
      </c>
      <c r="K96" s="94" cm="1">
        <f t="array" ref="K96">SUM(SUMIFS('caseload data'!M:M,'caseload data'!$D:$D,"TPO",'caseload data'!$C:$C,'community caseload'!$B$92,'caseload data'!$B:$B,{"licence","community"}))</f>
        <v>0</v>
      </c>
      <c r="L96" s="94" cm="1">
        <f t="array" ref="L96">SUM(SUMIFS('caseload data'!N:N,'caseload data'!$D:$D,"TPO",'caseload data'!$C:$C,'community caseload'!$B$92,'caseload data'!$B:$B,{"licence","community"}))</f>
        <v>0</v>
      </c>
      <c r="M96" s="94" cm="1">
        <f t="array" ref="M96">SUM(SUMIFS('caseload data'!O:O,'caseload data'!$D:$D,"TPO",'caseload data'!$C:$C,'community caseload'!$B$92,'caseload data'!$B:$B,{"licence","community"}))</f>
        <v>0</v>
      </c>
      <c r="N96" s="94" cm="1">
        <f t="array" ref="N96">SUM(SUMIFS('caseload data'!P:P,'caseload data'!$D:$D,"TPO",'caseload data'!$C:$C,'community caseload'!$B$92,'caseload data'!$B:$B,{"licence","community"}))</f>
        <v>0</v>
      </c>
      <c r="O96" s="94" cm="1">
        <f t="array" ref="O96">SUM(SUMIFS('caseload data'!Q:Q,'caseload data'!$D:$D,"TPO",'caseload data'!$C:$C,'community caseload'!$B$92,'caseload data'!$B:$B,{"licence","community"}))</f>
        <v>0</v>
      </c>
      <c r="P96" s="94" cm="1">
        <f t="array" ref="P96">SUM(SUMIFS('caseload data'!R:R,'caseload data'!$D:$D,"TPO",'caseload data'!$C:$C,'community caseload'!$B$92,'caseload data'!$B:$B,{"licence","community"}))</f>
        <v>0</v>
      </c>
      <c r="Q96" s="94" cm="1">
        <f t="array" ref="Q96">SUM(SUMIFS('caseload data'!S:S,'caseload data'!$D:$D,"TPO",'caseload data'!$C:$C,'community caseload'!$B$92,'caseload data'!$B:$B,{"licence","community"}))</f>
        <v>0</v>
      </c>
      <c r="R96" s="94" cm="1">
        <f t="array" ref="R96">SUM(SUMIFS('caseload data'!T:T,'caseload data'!$D:$D,"TPO",'caseload data'!$C:$C,'community caseload'!$B$92,'caseload data'!$B:$B,{"licence","community"}))</f>
        <v>0</v>
      </c>
      <c r="T96" s="97" t="s">
        <v>953</v>
      </c>
      <c r="U96" s="94" cm="1">
        <f t="array" ref="U96">SUM(SUMIFS('caseload data'!E:E,'caseload data'!$D:$D,"TPO",'caseload data'!$C:$C,'community caseload'!$T$92,'caseload data'!$B:$B,{"licence","community"}))</f>
        <v>0</v>
      </c>
      <c r="V96" s="94" cm="1">
        <f t="array" ref="V96">SUM(SUMIFS('caseload data'!F:F,'caseload data'!$D:$D,"TPO",'caseload data'!$C:$C,'community caseload'!$T$92,'caseload data'!$B:$B,{"licence","community"}))</f>
        <v>0</v>
      </c>
      <c r="W96" s="94" cm="1">
        <f t="array" ref="W96">SUM(SUMIFS('caseload data'!G:G,'caseload data'!$D:$D,"TPO",'caseload data'!$C:$C,'community caseload'!$T$92,'caseload data'!$B:$B,{"licence","community"}))</f>
        <v>0</v>
      </c>
      <c r="X96" s="94" cm="1">
        <f t="array" ref="X96">SUM(SUMIFS('caseload data'!H:H,'caseload data'!$D:$D,"TPO",'caseload data'!$C:$C,'community caseload'!$T$92,'caseload data'!$B:$B,{"licence","community"}))</f>
        <v>0</v>
      </c>
      <c r="Y96" s="94" cm="1">
        <f t="array" ref="Y96">SUM(SUMIFS('caseload data'!I:I,'caseload data'!$D:$D,"TPO",'caseload data'!$C:$C,'community caseload'!$T$92,'caseload data'!$B:$B,{"licence","community"}))</f>
        <v>0</v>
      </c>
      <c r="Z96" s="94" cm="1">
        <f t="array" ref="Z96">SUM(SUMIFS('caseload data'!J:J,'caseload data'!$D:$D,"TPO",'caseload data'!$C:$C,'community caseload'!$T$92,'caseload data'!$B:$B,{"licence","community"}))</f>
        <v>0</v>
      </c>
      <c r="AA96" s="94" cm="1">
        <f t="array" ref="AA96">SUM(SUMIFS('caseload data'!K:K,'caseload data'!$D:$D,"TPO",'caseload data'!$C:$C,'community caseload'!$T$92,'caseload data'!$B:$B,{"licence","community"}))</f>
        <v>0</v>
      </c>
      <c r="AB96" s="94" cm="1">
        <f t="array" ref="AB96">SUM(SUMIFS('caseload data'!L:L,'caseload data'!$D:$D,"TPO",'caseload data'!$C:$C,'community caseload'!$T$92,'caseload data'!$B:$B,{"licence","community"}))</f>
        <v>0</v>
      </c>
      <c r="AC96" s="94" cm="1">
        <f t="array" ref="AC96">SUM(SUMIFS('caseload data'!M:M,'caseload data'!$D:$D,"TPO",'caseload data'!$C:$C,'community caseload'!$T$92,'caseload data'!$B:$B,{"licence","community"}))</f>
        <v>0</v>
      </c>
      <c r="AD96" s="94" cm="1">
        <f t="array" ref="AD96">SUM(SUMIFS('caseload data'!N:N,'caseload data'!$D:$D,"TPO",'caseload data'!$C:$C,'community caseload'!$T$92,'caseload data'!$B:$B,{"licence","community"}))</f>
        <v>0</v>
      </c>
      <c r="AE96" s="94" cm="1">
        <f t="array" ref="AE96">SUM(SUMIFS('caseload data'!O:O,'caseload data'!$D:$D,"TPO",'caseload data'!$C:$C,'community caseload'!$T$92,'caseload data'!$B:$B,{"licence","community"}))</f>
        <v>0</v>
      </c>
      <c r="AF96" s="94" cm="1">
        <f t="array" ref="AF96">SUM(SUMIFS('caseload data'!P:P,'caseload data'!$D:$D,"TPO",'caseload data'!$C:$C,'community caseload'!$T$92,'caseload data'!$B:$B,{"licence","community"}))</f>
        <v>0</v>
      </c>
      <c r="AG96" s="94" cm="1">
        <f t="array" ref="AG96">SUM(SUMIFS('caseload data'!Q:Q,'caseload data'!$D:$D,"TPO",'caseload data'!$C:$C,'community caseload'!$T$92,'caseload data'!$B:$B,{"licence","community"}))</f>
        <v>0</v>
      </c>
      <c r="AH96" s="94" cm="1">
        <f t="array" ref="AH96">SUM(SUMIFS('caseload data'!R:R,'caseload data'!$D:$D,"TPO",'caseload data'!$C:$C,'community caseload'!$T$92,'caseload data'!$B:$B,{"licence","community"}))</f>
        <v>0</v>
      </c>
      <c r="AI96" s="94" cm="1">
        <f t="array" ref="AI96">SUM(SUMIFS('caseload data'!S:S,'caseload data'!$D:$D,"TPO",'caseload data'!$C:$C,'community caseload'!$T$92,'caseload data'!$B:$B,{"licence","community"}))</f>
        <v>0</v>
      </c>
      <c r="AJ96" s="94" cm="1">
        <f t="array" ref="AJ96">SUM(SUMIFS('caseload data'!T:T,'caseload data'!$D:$D,"TPO",'caseload data'!$C:$C,'community caseload'!$T$92,'caseload data'!$B:$B,{"licence","community"}))</f>
        <v>0</v>
      </c>
    </row>
    <row r="97" spans="2:36" x14ac:dyDescent="0.15">
      <c r="B97" s="98" t="s">
        <v>954</v>
      </c>
      <c r="C97" s="94" cm="1">
        <f t="array" ref="C97">SUM(SUMIFS('caseload data'!E:E,'caseload data'!$D:$D,"SPO",'caseload data'!$C:$C,'community caseload'!$B$92,'caseload data'!$B:$B,{"licence","community"}))</f>
        <v>0</v>
      </c>
      <c r="D97" s="94" cm="1">
        <f t="array" ref="D97">SUM(SUMIFS('caseload data'!F:F,'caseload data'!$D:$D,"SPO",'caseload data'!$C:$C,'community caseload'!$B$92,'caseload data'!$B:$B,{"licence","community"}))</f>
        <v>0</v>
      </c>
      <c r="E97" s="94" cm="1">
        <f t="array" ref="E97">SUM(SUMIFS('caseload data'!G:G,'caseload data'!$D:$D,"SPO",'caseload data'!$C:$C,'community caseload'!$B$92,'caseload data'!$B:$B,{"licence","community"}))</f>
        <v>0</v>
      </c>
      <c r="F97" s="94" cm="1">
        <f t="array" ref="F97">SUM(SUMIFS('caseload data'!H:H,'caseload data'!$D:$D,"SPO",'caseload data'!$C:$C,'community caseload'!$B$92,'caseload data'!$B:$B,{"licence","community"}))</f>
        <v>0</v>
      </c>
      <c r="G97" s="94" cm="1">
        <f t="array" ref="G97">SUM(SUMIFS('caseload data'!I:I,'caseload data'!$D:$D,"SPO",'caseload data'!$C:$C,'community caseload'!$B$92,'caseload data'!$B:$B,{"licence","community"}))</f>
        <v>0</v>
      </c>
      <c r="H97" s="94" cm="1">
        <f t="array" ref="H97">SUM(SUMIFS('caseload data'!J:J,'caseload data'!$D:$D,"SPO",'caseload data'!$C:$C,'community caseload'!$B$92,'caseload data'!$B:$B,{"licence","community"}))</f>
        <v>0</v>
      </c>
      <c r="I97" s="94" cm="1">
        <f t="array" ref="I97">SUM(SUMIFS('caseload data'!K:K,'caseload data'!$D:$D,"SPO",'caseload data'!$C:$C,'community caseload'!$B$92,'caseload data'!$B:$B,{"licence","community"}))</f>
        <v>0</v>
      </c>
      <c r="J97" s="94" cm="1">
        <f t="array" ref="J97">SUM(SUMIFS('caseload data'!L:L,'caseload data'!$D:$D,"SPO",'caseload data'!$C:$C,'community caseload'!$B$92,'caseload data'!$B:$B,{"licence","community"}))</f>
        <v>0</v>
      </c>
      <c r="K97" s="94" cm="1">
        <f t="array" ref="K97">SUM(SUMIFS('caseload data'!M:M,'caseload data'!$D:$D,"SPO",'caseload data'!$C:$C,'community caseload'!$B$92,'caseload data'!$B:$B,{"licence","community"}))</f>
        <v>0</v>
      </c>
      <c r="L97" s="94" cm="1">
        <f t="array" ref="L97">SUM(SUMIFS('caseload data'!N:N,'caseload data'!$D:$D,"SPO",'caseload data'!$C:$C,'community caseload'!$B$92,'caseload data'!$B:$B,{"licence","community"}))</f>
        <v>0</v>
      </c>
      <c r="M97" s="94" cm="1">
        <f t="array" ref="M97">SUM(SUMIFS('caseload data'!O:O,'caseload data'!$D:$D,"SPO",'caseload data'!$C:$C,'community caseload'!$B$92,'caseload data'!$B:$B,{"licence","community"}))</f>
        <v>0</v>
      </c>
      <c r="N97" s="94" cm="1">
        <f t="array" ref="N97">SUM(SUMIFS('caseload data'!P:P,'caseload data'!$D:$D,"SPO",'caseload data'!$C:$C,'community caseload'!$B$92,'caseload data'!$B:$B,{"licence","community"}))</f>
        <v>0</v>
      </c>
      <c r="O97" s="94" cm="1">
        <f t="array" ref="O97">SUM(SUMIFS('caseload data'!Q:Q,'caseload data'!$D:$D,"SPO",'caseload data'!$C:$C,'community caseload'!$B$92,'caseload data'!$B:$B,{"licence","community"}))</f>
        <v>0</v>
      </c>
      <c r="P97" s="94" cm="1">
        <f t="array" ref="P97">SUM(SUMIFS('caseload data'!R:R,'caseload data'!$D:$D,"SPO",'caseload data'!$C:$C,'community caseload'!$B$92,'caseload data'!$B:$B,{"licence","community"}))</f>
        <v>0</v>
      </c>
      <c r="Q97" s="94" cm="1">
        <f t="array" ref="Q97">SUM(SUMIFS('caseload data'!S:S,'caseload data'!$D:$D,"SPO",'caseload data'!$C:$C,'community caseload'!$B$92,'caseload data'!$B:$B,{"licence","community"}))</f>
        <v>0</v>
      </c>
      <c r="R97" s="94" cm="1">
        <f t="array" ref="R97">SUM(SUMIFS('caseload data'!T:T,'caseload data'!$D:$D,"SPO",'caseload data'!$C:$C,'community caseload'!$B$92,'caseload data'!$B:$B,{"licence","community"}))</f>
        <v>0</v>
      </c>
      <c r="T97" s="98" t="s">
        <v>954</v>
      </c>
      <c r="U97" s="94" cm="1">
        <f t="array" ref="U97">SUM(SUMIFS('caseload data'!E:E,'caseload data'!$D:$D,"SPO",'caseload data'!$C:$C,'community caseload'!$T$92,'caseload data'!$B:$B,{"licence","community"}))</f>
        <v>0</v>
      </c>
      <c r="V97" s="94" cm="1">
        <f t="array" ref="V97">SUM(SUMIFS('caseload data'!F:F,'caseload data'!$D:$D,"SPO",'caseload data'!$C:$C,'community caseload'!$T$92,'caseload data'!$B:$B,{"licence","community"}))</f>
        <v>0</v>
      </c>
      <c r="W97" s="94" cm="1">
        <f t="array" ref="W97">SUM(SUMIFS('caseload data'!G:G,'caseload data'!$D:$D,"SPO",'caseload data'!$C:$C,'community caseload'!$T$92,'caseload data'!$B:$B,{"licence","community"}))</f>
        <v>0</v>
      </c>
      <c r="X97" s="94" cm="1">
        <f t="array" ref="X97">SUM(SUMIFS('caseload data'!H:H,'caseload data'!$D:$D,"SPO",'caseload data'!$C:$C,'community caseload'!$T$92,'caseload data'!$B:$B,{"licence","community"}))</f>
        <v>0</v>
      </c>
      <c r="Y97" s="94" cm="1">
        <f t="array" ref="Y97">SUM(SUMIFS('caseload data'!I:I,'caseload data'!$D:$D,"SPO",'caseload data'!$C:$C,'community caseload'!$T$92,'caseload data'!$B:$B,{"licence","community"}))</f>
        <v>0</v>
      </c>
      <c r="Z97" s="94" cm="1">
        <f t="array" ref="Z97">SUM(SUMIFS('caseload data'!J:J,'caseload data'!$D:$D,"SPO",'caseload data'!$C:$C,'community caseload'!$T$92,'caseload data'!$B:$B,{"licence","community"}))</f>
        <v>0</v>
      </c>
      <c r="AA97" s="94" cm="1">
        <f t="array" ref="AA97">SUM(SUMIFS('caseload data'!K:K,'caseload data'!$D:$D,"SPO",'caseload data'!$C:$C,'community caseload'!$T$92,'caseload data'!$B:$B,{"licence","community"}))</f>
        <v>0</v>
      </c>
      <c r="AB97" s="94" cm="1">
        <f t="array" ref="AB97">SUM(SUMIFS('caseload data'!L:L,'caseload data'!$D:$D,"SPO",'caseload data'!$C:$C,'community caseload'!$T$92,'caseload data'!$B:$B,{"licence","community"}))</f>
        <v>0</v>
      </c>
      <c r="AC97" s="94" cm="1">
        <f t="array" ref="AC97">SUM(SUMIFS('caseload data'!M:M,'caseload data'!$D:$D,"SPO",'caseload data'!$C:$C,'community caseload'!$T$92,'caseload data'!$B:$B,{"licence","community"}))</f>
        <v>0</v>
      </c>
      <c r="AD97" s="94" cm="1">
        <f t="array" ref="AD97">SUM(SUMIFS('caseload data'!N:N,'caseload data'!$D:$D,"SPO",'caseload data'!$C:$C,'community caseload'!$T$92,'caseload data'!$B:$B,{"licence","community"}))</f>
        <v>0</v>
      </c>
      <c r="AE97" s="94" cm="1">
        <f t="array" ref="AE97">SUM(SUMIFS('caseload data'!O:O,'caseload data'!$D:$D,"SPO",'caseload data'!$C:$C,'community caseload'!$T$92,'caseload data'!$B:$B,{"licence","community"}))</f>
        <v>0</v>
      </c>
      <c r="AF97" s="94" cm="1">
        <f t="array" ref="AF97">SUM(SUMIFS('caseload data'!P:P,'caseload data'!$D:$D,"SPO",'caseload data'!$C:$C,'community caseload'!$T$92,'caseload data'!$B:$B,{"licence","community"}))</f>
        <v>0</v>
      </c>
      <c r="AG97" s="94" cm="1">
        <f t="array" ref="AG97">SUM(SUMIFS('caseload data'!Q:Q,'caseload data'!$D:$D,"SPO",'caseload data'!$C:$C,'community caseload'!$T$92,'caseload data'!$B:$B,{"licence","community"}))</f>
        <v>0</v>
      </c>
      <c r="AH97" s="94" cm="1">
        <f t="array" ref="AH97">SUM(SUMIFS('caseload data'!R:R,'caseload data'!$D:$D,"SPO",'caseload data'!$C:$C,'community caseload'!$T$92,'caseload data'!$B:$B,{"licence","community"}))</f>
        <v>0</v>
      </c>
      <c r="AI97" s="94" cm="1">
        <f t="array" ref="AI97">SUM(SUMIFS('caseload data'!S:S,'caseload data'!$D:$D,"SPO",'caseload data'!$C:$C,'community caseload'!$T$92,'caseload data'!$B:$B,{"licence","community"}))</f>
        <v>0</v>
      </c>
      <c r="AJ97" s="94" cm="1">
        <f t="array" ref="AJ97">SUM(SUMIFS('caseload data'!T:T,'caseload data'!$D:$D,"SPO",'caseload data'!$C:$C,'community caseload'!$T$92,'caseload data'!$B:$B,{"licence","community"}))</f>
        <v>0</v>
      </c>
    </row>
    <row r="99" spans="2:36" ht="24.75" customHeight="1" x14ac:dyDescent="0.15">
      <c r="B99" s="288">
        <f>HLOOKUP($B$5,Region_Table,28,0)</f>
        <v>0</v>
      </c>
      <c r="C99" s="540" t="s">
        <v>1077</v>
      </c>
      <c r="D99" s="541"/>
      <c r="E99" s="541"/>
      <c r="F99" s="541"/>
      <c r="G99" s="541"/>
      <c r="H99" s="541"/>
      <c r="I99" s="541"/>
      <c r="J99" s="541"/>
      <c r="K99" s="541"/>
      <c r="L99" s="541"/>
      <c r="M99" s="570"/>
      <c r="N99" s="570"/>
      <c r="O99" s="571"/>
      <c r="P99" s="543" cm="1">
        <f t="array" ref="P99">SUM(SUMIFS('caseload data'!V:V,'caseload data'!B:B,{"licence","community"},'caseload data'!$C:$C,'community caseload'!B99))</f>
        <v>0</v>
      </c>
      <c r="Q99" s="560"/>
      <c r="R99" s="561"/>
    </row>
    <row r="100" spans="2:36" x14ac:dyDescent="0.15">
      <c r="B100" s="289"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row>
    <row r="101" spans="2:36" x14ac:dyDescent="0.15">
      <c r="B101" s="96" t="s">
        <v>947</v>
      </c>
      <c r="C101" s="94" cm="1">
        <f t="array" ref="C101">SUM(SUMIFS('caseload data'!E:E,'caseload data'!$D:$D,"PO",'caseload data'!$C:$C,'community caseload'!$B$99,'caseload data'!$B:$B,{"licence","community"}))</f>
        <v>0</v>
      </c>
      <c r="D101" s="94" cm="1">
        <f t="array" ref="D101">SUM(SUMIFS('caseload data'!F:F,'caseload data'!$D:$D,"PO",'caseload data'!$C:$C,'community caseload'!$B$99,'caseload data'!$B:$B,{"licence","community"}))</f>
        <v>0</v>
      </c>
      <c r="E101" s="94" cm="1">
        <f t="array" ref="E101">SUM(SUMIFS('caseload data'!G:G,'caseload data'!$D:$D,"PO",'caseload data'!$C:$C,'community caseload'!$B$99,'caseload data'!$B:$B,{"licence","community"}))</f>
        <v>0</v>
      </c>
      <c r="F101" s="94" cm="1">
        <f t="array" ref="F101">SUM(SUMIFS('caseload data'!H:H,'caseload data'!$D:$D,"PO",'caseload data'!$C:$C,'community caseload'!$B$99,'caseload data'!$B:$B,{"licence","community"}))</f>
        <v>0</v>
      </c>
      <c r="G101" s="94" cm="1">
        <f t="array" ref="G101">SUM(SUMIFS('caseload data'!I:I,'caseload data'!$D:$D,"PO",'caseload data'!$C:$C,'community caseload'!$B$99,'caseload data'!$B:$B,{"licence","community"}))</f>
        <v>0</v>
      </c>
      <c r="H101" s="94" cm="1">
        <f t="array" ref="H101">SUM(SUMIFS('caseload data'!J:J,'caseload data'!$D:$D,"PO",'caseload data'!$C:$C,'community caseload'!$B$99,'caseload data'!$B:$B,{"licence","community"}))</f>
        <v>0</v>
      </c>
      <c r="I101" s="94" cm="1">
        <f t="array" ref="I101">SUM(SUMIFS('caseload data'!K:K,'caseload data'!$D:$D,"PO",'caseload data'!$C:$C,'community caseload'!$B$99,'caseload data'!$B:$B,{"licence","community"}))</f>
        <v>0</v>
      </c>
      <c r="J101" s="94" cm="1">
        <f t="array" ref="J101">SUM(SUMIFS('caseload data'!L:L,'caseload data'!$D:$D,"PO",'caseload data'!$C:$C,'community caseload'!$B$99,'caseload data'!$B:$B,{"licence","community"}))</f>
        <v>0</v>
      </c>
      <c r="K101" s="94" cm="1">
        <f t="array" ref="K101">SUM(SUMIFS('caseload data'!M:M,'caseload data'!$D:$D,"PO",'caseload data'!$C:$C,'community caseload'!$B$99,'caseload data'!$B:$B,{"licence","community"}))</f>
        <v>0</v>
      </c>
      <c r="L101" s="94" cm="1">
        <f t="array" ref="L101">SUM(SUMIFS('caseload data'!N:N,'caseload data'!$D:$D,"PO",'caseload data'!$C:$C,'community caseload'!$B$99,'caseload data'!$B:$B,{"licence","community"}))</f>
        <v>0</v>
      </c>
      <c r="M101" s="94" cm="1">
        <f t="array" ref="M101">SUM(SUMIFS('caseload data'!O:O,'caseload data'!$D:$D,"PO",'caseload data'!$C:$C,'community caseload'!$B$99,'caseload data'!$B:$B,{"licence","community"}))</f>
        <v>0</v>
      </c>
      <c r="N101" s="94" cm="1">
        <f t="array" ref="N101">SUM(SUMIFS('caseload data'!P:P,'caseload data'!$D:$D,"PO",'caseload data'!$C:$C,'community caseload'!$B$99,'caseload data'!$B:$B,{"licence","community"}))</f>
        <v>0</v>
      </c>
      <c r="O101" s="94" cm="1">
        <f t="array" ref="O101">SUM(SUMIFS('caseload data'!Q:Q,'caseload data'!$D:$D,"PO",'caseload data'!$C:$C,'community caseload'!$B$99,'caseload data'!$B:$B,{"licence","community"}))</f>
        <v>0</v>
      </c>
      <c r="P101" s="94" cm="1">
        <f t="array" ref="P101">SUM(SUMIFS('caseload data'!R:R,'caseload data'!$D:$D,"PO",'caseload data'!$C:$C,'community caseload'!$B$99,'caseload data'!$B:$B,{"licence","community"}))</f>
        <v>0</v>
      </c>
      <c r="Q101" s="94" cm="1">
        <f t="array" ref="Q101">SUM(SUMIFS('caseload data'!S:S,'caseload data'!$D:$D,"PO",'caseload data'!$C:$C,'community caseload'!$B$99,'caseload data'!$B:$B,{"licence","community"}))</f>
        <v>0</v>
      </c>
      <c r="R101" s="94" cm="1">
        <f t="array" ref="R101">SUM(SUMIFS('caseload data'!T:T,'caseload data'!$D:$D,"PO",'caseload data'!$C:$C,'community caseload'!$B$99,'caseload data'!$B:$B,{"licence","community"}))</f>
        <v>0</v>
      </c>
    </row>
    <row r="102" spans="2:36" x14ac:dyDescent="0.15">
      <c r="B102" s="97" t="s">
        <v>952</v>
      </c>
      <c r="C102" s="94" cm="1">
        <f t="array" ref="C102">SUM(SUMIFS('caseload data'!E:E,'caseload data'!$D:$D,"PSO",'caseload data'!$C:$C,'community caseload'!$B$99,'caseload data'!$B:$B,{"licence","community"}))</f>
        <v>0</v>
      </c>
      <c r="D102" s="94" cm="1">
        <f t="array" ref="D102">SUM(SUMIFS('caseload data'!F:F,'caseload data'!$D:$D,"PSO",'caseload data'!$C:$C,'community caseload'!$B$99,'caseload data'!$B:$B,{"licence","community"}))</f>
        <v>0</v>
      </c>
      <c r="E102" s="94" cm="1">
        <f t="array" ref="E102">SUM(SUMIFS('caseload data'!G:G,'caseload data'!$D:$D,"PSO",'caseload data'!$C:$C,'community caseload'!$B$99,'caseload data'!$B:$B,{"licence","community"}))</f>
        <v>0</v>
      </c>
      <c r="F102" s="94" cm="1">
        <f t="array" ref="F102">SUM(SUMIFS('caseload data'!H:H,'caseload data'!$D:$D,"PSO",'caseload data'!$C:$C,'community caseload'!$B$99,'caseload data'!$B:$B,{"licence","community"}))</f>
        <v>0</v>
      </c>
      <c r="G102" s="94" cm="1">
        <f t="array" ref="G102">SUM(SUMIFS('caseload data'!I:I,'caseload data'!$D:$D,"PSO",'caseload data'!$C:$C,'community caseload'!$B$99,'caseload data'!$B:$B,{"licence","community"}))</f>
        <v>0</v>
      </c>
      <c r="H102" s="94" cm="1">
        <f t="array" ref="H102">SUM(SUMIFS('caseload data'!J:J,'caseload data'!$D:$D,"PSO",'caseload data'!$C:$C,'community caseload'!$B$99,'caseload data'!$B:$B,{"licence","community"}))</f>
        <v>0</v>
      </c>
      <c r="I102" s="94" cm="1">
        <f t="array" ref="I102">SUM(SUMIFS('caseload data'!K:K,'caseload data'!$D:$D,"PSO",'caseload data'!$C:$C,'community caseload'!$B$99,'caseload data'!$B:$B,{"licence","community"}))</f>
        <v>0</v>
      </c>
      <c r="J102" s="94" cm="1">
        <f t="array" ref="J102">SUM(SUMIFS('caseload data'!L:L,'caseload data'!$D:$D,"PSO",'caseload data'!$C:$C,'community caseload'!$B$99,'caseload data'!$B:$B,{"licence","community"}))</f>
        <v>0</v>
      </c>
      <c r="K102" s="94" cm="1">
        <f t="array" ref="K102">SUM(SUMIFS('caseload data'!M:M,'caseload data'!$D:$D,"PSO",'caseload data'!$C:$C,'community caseload'!$B$99,'caseload data'!$B:$B,{"licence","community"}))</f>
        <v>0</v>
      </c>
      <c r="L102" s="94" cm="1">
        <f t="array" ref="L102">SUM(SUMIFS('caseload data'!N:N,'caseload data'!$D:$D,"PSO",'caseload data'!$C:$C,'community caseload'!$B$99,'caseload data'!$B:$B,{"licence","community"}))</f>
        <v>0</v>
      </c>
      <c r="M102" s="94" cm="1">
        <f t="array" ref="M102">SUM(SUMIFS('caseload data'!O:O,'caseload data'!$D:$D,"PSO",'caseload data'!$C:$C,'community caseload'!$B$99,'caseload data'!$B:$B,{"licence","community"}))</f>
        <v>0</v>
      </c>
      <c r="N102" s="94" cm="1">
        <f t="array" ref="N102">SUM(SUMIFS('caseload data'!P:P,'caseload data'!$D:$D,"PSO",'caseload data'!$C:$C,'community caseload'!$B$99,'caseload data'!$B:$B,{"licence","community"}))</f>
        <v>0</v>
      </c>
      <c r="O102" s="94" cm="1">
        <f t="array" ref="O102">SUM(SUMIFS('caseload data'!Q:Q,'caseload data'!$D:$D,"PSO",'caseload data'!$C:$C,'community caseload'!$B$99,'caseload data'!$B:$B,{"licence","community"}))</f>
        <v>0</v>
      </c>
      <c r="P102" s="94" cm="1">
        <f t="array" ref="P102">SUM(SUMIFS('caseload data'!R:R,'caseload data'!$D:$D,"PSO",'caseload data'!$C:$C,'community caseload'!$B$99,'caseload data'!$B:$B,{"licence","community"}))</f>
        <v>0</v>
      </c>
      <c r="Q102" s="94" cm="1">
        <f t="array" ref="Q102">SUM(SUMIFS('caseload data'!S:S,'caseload data'!$D:$D,"PSO",'caseload data'!$C:$C,'community caseload'!$B$99,'caseload data'!$B:$B,{"licence","community"}))</f>
        <v>0</v>
      </c>
      <c r="R102" s="94" cm="1">
        <f t="array" ref="R102">SUM(SUMIFS('caseload data'!T:T,'caseload data'!$D:$D,"PSO",'caseload data'!$C:$C,'community caseload'!$B$99,'caseload data'!$B:$B,{"licence","community"}))</f>
        <v>0</v>
      </c>
    </row>
    <row r="103" spans="2:36" x14ac:dyDescent="0.15">
      <c r="B103" s="97" t="s">
        <v>953</v>
      </c>
      <c r="C103" s="94" cm="1">
        <f t="array" ref="C103">SUM(SUMIFS('caseload data'!E:E,'caseload data'!$D:$D,"TPO",'caseload data'!$C:$C,'community caseload'!$B$99,'caseload data'!$B:$B,{"licence","community"}))</f>
        <v>0</v>
      </c>
      <c r="D103" s="94" cm="1">
        <f t="array" ref="D103">SUM(SUMIFS('caseload data'!F:F,'caseload data'!$D:$D,"TPO",'caseload data'!$C:$C,'community caseload'!$B$99,'caseload data'!$B:$B,{"licence","community"}))</f>
        <v>0</v>
      </c>
      <c r="E103" s="94" cm="1">
        <f t="array" ref="E103">SUM(SUMIFS('caseload data'!G:G,'caseload data'!$D:$D,"TPO",'caseload data'!$C:$C,'community caseload'!$B$99,'caseload data'!$B:$B,{"licence","community"}))</f>
        <v>0</v>
      </c>
      <c r="F103" s="94" cm="1">
        <f t="array" ref="F103">SUM(SUMIFS('caseload data'!H:H,'caseload data'!$D:$D,"TPO",'caseload data'!$C:$C,'community caseload'!$B$99,'caseload data'!$B:$B,{"licence","community"}))</f>
        <v>0</v>
      </c>
      <c r="G103" s="94" cm="1">
        <f t="array" ref="G103">SUM(SUMIFS('caseload data'!I:I,'caseload data'!$D:$D,"TPO",'caseload data'!$C:$C,'community caseload'!$B$99,'caseload data'!$B:$B,{"licence","community"}))</f>
        <v>0</v>
      </c>
      <c r="H103" s="94" cm="1">
        <f t="array" ref="H103">SUM(SUMIFS('caseload data'!J:J,'caseload data'!$D:$D,"TPO",'caseload data'!$C:$C,'community caseload'!$B$99,'caseload data'!$B:$B,{"licence","community"}))</f>
        <v>0</v>
      </c>
      <c r="I103" s="94" cm="1">
        <f t="array" ref="I103">SUM(SUMIFS('caseload data'!K:K,'caseload data'!$D:$D,"TPO",'caseload data'!$C:$C,'community caseload'!$B$99,'caseload data'!$B:$B,{"licence","community"}))</f>
        <v>0</v>
      </c>
      <c r="J103" s="94" cm="1">
        <f t="array" ref="J103">SUM(SUMIFS('caseload data'!L:L,'caseload data'!$D:$D,"TPO",'caseload data'!$C:$C,'community caseload'!$B$99,'caseload data'!$B:$B,{"licence","community"}))</f>
        <v>0</v>
      </c>
      <c r="K103" s="94" cm="1">
        <f t="array" ref="K103">SUM(SUMIFS('caseload data'!M:M,'caseload data'!$D:$D,"TPO",'caseload data'!$C:$C,'community caseload'!$B$99,'caseload data'!$B:$B,{"licence","community"}))</f>
        <v>0</v>
      </c>
      <c r="L103" s="94" cm="1">
        <f t="array" ref="L103">SUM(SUMIFS('caseload data'!N:N,'caseload data'!$D:$D,"TPO",'caseload data'!$C:$C,'community caseload'!$B$99,'caseload data'!$B:$B,{"licence","community"}))</f>
        <v>0</v>
      </c>
      <c r="M103" s="94" cm="1">
        <f t="array" ref="M103">SUM(SUMIFS('caseload data'!O:O,'caseload data'!$D:$D,"TPO",'caseload data'!$C:$C,'community caseload'!$B$99,'caseload data'!$B:$B,{"licence","community"}))</f>
        <v>0</v>
      </c>
      <c r="N103" s="94" cm="1">
        <f t="array" ref="N103">SUM(SUMIFS('caseload data'!P:P,'caseload data'!$D:$D,"TPO",'caseload data'!$C:$C,'community caseload'!$B$99,'caseload data'!$B:$B,{"licence","community"}))</f>
        <v>0</v>
      </c>
      <c r="O103" s="94" cm="1">
        <f t="array" ref="O103">SUM(SUMIFS('caseload data'!Q:Q,'caseload data'!$D:$D,"TPO",'caseload data'!$C:$C,'community caseload'!$B$99,'caseload data'!$B:$B,{"licence","community"}))</f>
        <v>0</v>
      </c>
      <c r="P103" s="94" cm="1">
        <f t="array" ref="P103">SUM(SUMIFS('caseload data'!R:R,'caseload data'!$D:$D,"TPO",'caseload data'!$C:$C,'community caseload'!$B$99,'caseload data'!$B:$B,{"licence","community"}))</f>
        <v>0</v>
      </c>
      <c r="Q103" s="94" cm="1">
        <f t="array" ref="Q103">SUM(SUMIFS('caseload data'!S:S,'caseload data'!$D:$D,"TPO",'caseload data'!$C:$C,'community caseload'!$B$99,'caseload data'!$B:$B,{"licence","community"}))</f>
        <v>0</v>
      </c>
      <c r="R103" s="94" cm="1">
        <f t="array" ref="R103">SUM(SUMIFS('caseload data'!T:T,'caseload data'!$D:$D,"TPO",'caseload data'!$C:$C,'community caseload'!$B$99,'caseload data'!$B:$B,{"licence","community"}))</f>
        <v>0</v>
      </c>
    </row>
    <row r="104" spans="2:36" x14ac:dyDescent="0.15">
      <c r="B104" s="98" t="s">
        <v>954</v>
      </c>
      <c r="C104" s="94" cm="1">
        <f t="array" ref="C104">SUM(SUMIFS('caseload data'!E:E,'caseload data'!$D:$D,"SPO",'caseload data'!$C:$C,'community caseload'!$B$99,'caseload data'!$B:$B,{"licence","community"}))</f>
        <v>0</v>
      </c>
      <c r="D104" s="94" cm="1">
        <f t="array" ref="D104">SUM(SUMIFS('caseload data'!F:F,'caseload data'!$D:$D,"SPO",'caseload data'!$C:$C,'community caseload'!$B$99,'caseload data'!$B:$B,{"licence","community"}))</f>
        <v>0</v>
      </c>
      <c r="E104" s="94" cm="1">
        <f t="array" ref="E104">SUM(SUMIFS('caseload data'!G:G,'caseload data'!$D:$D,"SPO",'caseload data'!$C:$C,'community caseload'!$B$99,'caseload data'!$B:$B,{"licence","community"}))</f>
        <v>0</v>
      </c>
      <c r="F104" s="94" cm="1">
        <f t="array" ref="F104">SUM(SUMIFS('caseload data'!H:H,'caseload data'!$D:$D,"SPO",'caseload data'!$C:$C,'community caseload'!$B$99,'caseload data'!$B:$B,{"licence","community"}))</f>
        <v>0</v>
      </c>
      <c r="G104" s="94" cm="1">
        <f t="array" ref="G104">SUM(SUMIFS('caseload data'!I:I,'caseload data'!$D:$D,"SPO",'caseload data'!$C:$C,'community caseload'!$B$99,'caseload data'!$B:$B,{"licence","community"}))</f>
        <v>0</v>
      </c>
      <c r="H104" s="94" cm="1">
        <f t="array" ref="H104">SUM(SUMIFS('caseload data'!J:J,'caseload data'!$D:$D,"SPO",'caseload data'!$C:$C,'community caseload'!$B$99,'caseload data'!$B:$B,{"licence","community"}))</f>
        <v>0</v>
      </c>
      <c r="I104" s="94" cm="1">
        <f t="array" ref="I104">SUM(SUMIFS('caseload data'!K:K,'caseload data'!$D:$D,"SPO",'caseload data'!$C:$C,'community caseload'!$B$99,'caseload data'!$B:$B,{"licence","community"}))</f>
        <v>0</v>
      </c>
      <c r="J104" s="94" cm="1">
        <f t="array" ref="J104">SUM(SUMIFS('caseload data'!L:L,'caseload data'!$D:$D,"SPO",'caseload data'!$C:$C,'community caseload'!$B$99,'caseload data'!$B:$B,{"licence","community"}))</f>
        <v>0</v>
      </c>
      <c r="K104" s="94" cm="1">
        <f t="array" ref="K104">SUM(SUMIFS('caseload data'!M:M,'caseload data'!$D:$D,"SPO",'caseload data'!$C:$C,'community caseload'!$B$99,'caseload data'!$B:$B,{"licence","community"}))</f>
        <v>0</v>
      </c>
      <c r="L104" s="94" cm="1">
        <f t="array" ref="L104">SUM(SUMIFS('caseload data'!N:N,'caseload data'!$D:$D,"SPO",'caseload data'!$C:$C,'community caseload'!$B$99,'caseload data'!$B:$B,{"licence","community"}))</f>
        <v>0</v>
      </c>
      <c r="M104" s="94" cm="1">
        <f t="array" ref="M104">SUM(SUMIFS('caseload data'!O:O,'caseload data'!$D:$D,"SPO",'caseload data'!$C:$C,'community caseload'!$B$99,'caseload data'!$B:$B,{"licence","community"}))</f>
        <v>0</v>
      </c>
      <c r="N104" s="94" cm="1">
        <f t="array" ref="N104">SUM(SUMIFS('caseload data'!P:P,'caseload data'!$D:$D,"SPO",'caseload data'!$C:$C,'community caseload'!$B$99,'caseload data'!$B:$B,{"licence","community"}))</f>
        <v>0</v>
      </c>
      <c r="O104" s="94" cm="1">
        <f t="array" ref="O104">SUM(SUMIFS('caseload data'!Q:Q,'caseload data'!$D:$D,"SPO",'caseload data'!$C:$C,'community caseload'!$B$99,'caseload data'!$B:$B,{"licence","community"}))</f>
        <v>0</v>
      </c>
      <c r="P104" s="94" cm="1">
        <f t="array" ref="P104">SUM(SUMIFS('caseload data'!R:R,'caseload data'!$D:$D,"SPO",'caseload data'!$C:$C,'community caseload'!$B$99,'caseload data'!$B:$B,{"licence","community"}))</f>
        <v>0</v>
      </c>
      <c r="Q104" s="94" cm="1">
        <f t="array" ref="Q104">SUM(SUMIFS('caseload data'!S:S,'caseload data'!$D:$D,"SPO",'caseload data'!$C:$C,'community caseload'!$B$99,'caseload data'!$B:$B,{"licence","community"}))</f>
        <v>0</v>
      </c>
      <c r="R104" s="94"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P36:R36"/>
    <mergeCell ref="U36:AG36"/>
    <mergeCell ref="AH36:AJ36"/>
    <mergeCell ref="A1:AJ1"/>
    <mergeCell ref="A2:AJ2"/>
    <mergeCell ref="P29:R29"/>
    <mergeCell ref="U29:AG29"/>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zoomScale="70" zoomScaleNormal="70" workbookViewId="0">
      <selection activeCell="H5" sqref="H5"/>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564" t="s">
        <v>1079</v>
      </c>
      <c r="B1" s="564"/>
      <c r="C1" s="564"/>
      <c r="D1" s="564"/>
      <c r="E1" s="564"/>
      <c r="F1" s="564"/>
      <c r="G1" s="564"/>
      <c r="H1" s="564"/>
      <c r="I1" s="564"/>
      <c r="J1" s="564"/>
      <c r="K1" s="564"/>
      <c r="L1" s="564"/>
      <c r="M1" s="564"/>
      <c r="N1" s="564"/>
      <c r="O1" s="564"/>
      <c r="P1" s="564"/>
      <c r="Q1" s="564"/>
      <c r="R1" s="564"/>
      <c r="S1" s="564"/>
      <c r="T1" s="564"/>
      <c r="U1" s="564"/>
      <c r="V1" s="564"/>
      <c r="W1" s="564"/>
      <c r="X1" s="564"/>
      <c r="Y1" s="564"/>
      <c r="Z1" s="564"/>
      <c r="AA1" s="564"/>
      <c r="AB1" s="564"/>
      <c r="AC1" s="564"/>
      <c r="AD1" s="564"/>
      <c r="AE1" s="564"/>
      <c r="AF1" s="564"/>
      <c r="AG1" s="564"/>
      <c r="AH1" s="564"/>
      <c r="AI1" s="564"/>
      <c r="AJ1" s="564"/>
      <c r="AK1" s="260"/>
      <c r="AL1" s="260"/>
      <c r="AM1" s="260"/>
      <c r="AN1" s="260"/>
      <c r="AO1" s="260"/>
      <c r="AP1" s="260"/>
      <c r="AQ1" s="260"/>
      <c r="AR1" s="260"/>
      <c r="AS1" s="260"/>
      <c r="AT1" s="260"/>
      <c r="AU1" s="260"/>
      <c r="AV1" s="260"/>
      <c r="AW1" s="260"/>
      <c r="AX1" s="260"/>
    </row>
    <row r="2" spans="1:50" ht="66" customHeight="1" x14ac:dyDescent="0.15">
      <c r="A2" s="517" t="s">
        <v>1362</v>
      </c>
      <c r="B2" s="555"/>
      <c r="C2" s="555"/>
      <c r="D2" s="555"/>
      <c r="E2" s="555"/>
      <c r="F2" s="555"/>
      <c r="G2" s="555"/>
      <c r="H2" s="555"/>
      <c r="I2" s="555"/>
      <c r="J2" s="555"/>
      <c r="K2" s="555"/>
      <c r="L2" s="555"/>
      <c r="M2" s="555"/>
      <c r="N2" s="555"/>
      <c r="O2" s="555"/>
      <c r="P2" s="555"/>
      <c r="Q2" s="555"/>
      <c r="R2" s="555"/>
      <c r="S2" s="555"/>
      <c r="T2" s="555"/>
      <c r="U2" s="555"/>
      <c r="V2" s="555"/>
      <c r="W2" s="555"/>
      <c r="X2" s="555"/>
      <c r="Y2" s="555"/>
      <c r="Z2" s="555"/>
      <c r="AA2" s="555"/>
      <c r="AB2" s="555"/>
      <c r="AC2" s="555"/>
      <c r="AD2" s="555"/>
      <c r="AE2" s="555"/>
      <c r="AF2" s="555"/>
      <c r="AG2" s="555"/>
      <c r="AH2" s="555"/>
      <c r="AI2" s="555"/>
      <c r="AJ2" s="555"/>
      <c r="AK2" s="555"/>
      <c r="AL2" s="555"/>
      <c r="AM2" s="555"/>
      <c r="AN2" s="555"/>
      <c r="AO2" s="555"/>
      <c r="AP2" s="555"/>
      <c r="AQ2" s="555"/>
      <c r="AR2" s="555"/>
      <c r="AS2" s="555"/>
      <c r="AT2" s="555"/>
      <c r="AU2" s="555"/>
      <c r="AV2" s="555"/>
      <c r="AW2" s="555"/>
      <c r="AX2" s="555"/>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x14ac:dyDescent="0.15">
      <c r="B4" s="143" t="s">
        <v>1080</v>
      </c>
    </row>
    <row r="5" spans="1:50" ht="27.75" customHeight="1" x14ac:dyDescent="0.15">
      <c r="B5" s="242" t="s">
        <v>17</v>
      </c>
      <c r="P5" s="40"/>
    </row>
    <row r="6" spans="1:50" x14ac:dyDescent="0.15">
      <c r="B6" s="46"/>
    </row>
    <row r="8" spans="1:50" ht="25.5" customHeight="1" x14ac:dyDescent="0.15">
      <c r="B8" s="288" t="str">
        <f>HLOOKUP($B$5,Region_Table,2,0)</f>
        <v>All East Midlands Region</v>
      </c>
      <c r="C8" s="540" t="s">
        <v>1081</v>
      </c>
      <c r="D8" s="541"/>
      <c r="E8" s="541"/>
      <c r="F8" s="541"/>
      <c r="G8" s="541"/>
      <c r="H8" s="541"/>
      <c r="I8" s="541"/>
      <c r="J8" s="541"/>
      <c r="K8" s="541"/>
      <c r="L8" s="541"/>
      <c r="M8" s="570"/>
      <c r="N8" s="570"/>
      <c r="O8" s="571"/>
      <c r="P8" s="543">
        <f>SUM(SUMIFS('caseload data'!V:V,'caseload data'!B:B,{"licence","community"},'caseload data'!C:C,B8))</f>
        <v>0</v>
      </c>
      <c r="Q8" s="560"/>
      <c r="R8" s="561"/>
      <c r="S8" s="64"/>
      <c r="T8" s="288" t="str">
        <f>HLOOKUP($B$5,Region_Table,3,0)</f>
        <v>Derby City - N53</v>
      </c>
      <c r="U8" s="540" t="s">
        <v>1081</v>
      </c>
      <c r="V8" s="541"/>
      <c r="W8" s="541"/>
      <c r="X8" s="541"/>
      <c r="Y8" s="541"/>
      <c r="Z8" s="541"/>
      <c r="AA8" s="541"/>
      <c r="AB8" s="541"/>
      <c r="AC8" s="541"/>
      <c r="AD8" s="541"/>
      <c r="AE8" s="570"/>
      <c r="AF8" s="570"/>
      <c r="AG8" s="571"/>
      <c r="AH8" s="543">
        <f>SUM(SUMIFS('caseload data'!V:V,'caseload data'!B:B,{"licence","community"},'caseload data'!C:C,T8))</f>
        <v>0</v>
      </c>
      <c r="AI8" s="560"/>
      <c r="AJ8" s="561"/>
    </row>
    <row r="9" spans="1:50"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167" t="str">
        <f>IFERROR(SUM(SUMIFS('caseload data'!E:E,'caseload data'!$C:$C,'community %'!$B$8,'caseload data'!$D:$D,"PO",'caseload data'!$B:$B,{"licence","community"}))/SUM(SUMIFS('caseload data'!E:E,'caseload data'!$B:$B,{"licence","community"},'caseload data'!$C:$C,'community %'!$B$8)),"")</f>
        <v/>
      </c>
      <c r="D10" s="167" t="str">
        <f>IFERROR(SUM(SUMIFS('caseload data'!F:F,'caseload data'!$C:$C,'community %'!$B$8,'caseload data'!$D:$D,"PO",'caseload data'!$B:$B,{"licence","community"}))/SUM(SUMIFS('caseload data'!F:F,'caseload data'!$B:$B,{"licence","community"},'caseload data'!$C:$C,'community %'!$B$8)),"")</f>
        <v/>
      </c>
      <c r="E10" s="167" t="str">
        <f>IFERROR(SUM(SUMIFS('caseload data'!G:G,'caseload data'!$C:$C,'community %'!$B$8,'caseload data'!$D:$D,"PO",'caseload data'!$B:$B,{"licence","community"}))/SUM(SUMIFS('caseload data'!G:G,'caseload data'!$B:$B,{"licence","community"},'caseload data'!$C:$C,'community %'!$B$8)),"")</f>
        <v/>
      </c>
      <c r="F10" s="167" t="str">
        <f>IFERROR(SUM(SUMIFS('caseload data'!H:H,'caseload data'!$C:$C,'community %'!$B$8,'caseload data'!$D:$D,"PO",'caseload data'!$B:$B,{"licence","community"}))/SUM(SUMIFS('caseload data'!H:H,'caseload data'!$B:$B,{"licence","community"},'caseload data'!$C:$C,'community %'!$B$8)),"")</f>
        <v/>
      </c>
      <c r="G10" s="167" t="str">
        <f>IFERROR(SUM(SUMIFS('caseload data'!I:I,'caseload data'!$C:$C,'community %'!$B$8,'caseload data'!$D:$D,"PO",'caseload data'!$B:$B,{"licence","community"}))/SUM(SUMIFS('caseload data'!I:I,'caseload data'!$B:$B,{"licence","community"},'caseload data'!$C:$C,'community %'!$B$8)),"")</f>
        <v/>
      </c>
      <c r="H10" s="167" t="str">
        <f>IFERROR(SUM(SUMIFS('caseload data'!J:J,'caseload data'!$C:$C,'community %'!$B$8,'caseload data'!$D:$D,"PO",'caseload data'!$B:$B,{"licence","community"}))/SUM(SUMIFS('caseload data'!J:J,'caseload data'!$B:$B,{"licence","community"},'caseload data'!$C:$C,'community %'!$B$8)),"")</f>
        <v/>
      </c>
      <c r="I10" s="167" t="str">
        <f>IFERROR(SUM(SUMIFS('caseload data'!K:K,'caseload data'!$C:$C,'community %'!$B$8,'caseload data'!$D:$D,"PO",'caseload data'!$B:$B,{"licence","community"}))/SUM(SUMIFS('caseload data'!K:K,'caseload data'!$B:$B,{"licence","community"},'caseload data'!$C:$C,'community %'!$B$8)),"")</f>
        <v/>
      </c>
      <c r="J10" s="167" t="str">
        <f>IFERROR(SUM(SUMIFS('caseload data'!L:L,'caseload data'!$C:$C,'community %'!$B$8,'caseload data'!$D:$D,"PO",'caseload data'!$B:$B,{"licence","community"}))/SUM(SUMIFS('caseload data'!L:L,'caseload data'!$B:$B,{"licence","community"},'caseload data'!$C:$C,'community %'!$B$8)),"")</f>
        <v/>
      </c>
      <c r="K10" s="167" t="str">
        <f>IFERROR(SUM(SUMIFS('caseload data'!M:M,'caseload data'!$C:$C,'community %'!$B$8,'caseload data'!$D:$D,"PO",'caseload data'!$B:$B,{"licence","community"}))/SUM(SUMIFS('caseload data'!M:M,'caseload data'!$B:$B,{"licence","community"},'caseload data'!$C:$C,'community %'!$B$8)),"")</f>
        <v/>
      </c>
      <c r="L10" s="167" t="str">
        <f>IFERROR(SUM(SUMIFS('caseload data'!N:N,'caseload data'!$C:$C,'community %'!$B$8,'caseload data'!$D:$D,"PO",'caseload data'!$B:$B,{"licence","community"}))/SUM(SUMIFS('caseload data'!N:N,'caseload data'!$B:$B,{"licence","community"},'caseload data'!$C:$C,'community %'!$B$8)),"")</f>
        <v/>
      </c>
      <c r="M10" s="167" t="str">
        <f>IFERROR(SUM(SUMIFS('caseload data'!O:O,'caseload data'!$C:$C,'community %'!$B$8,'caseload data'!$D:$D,"PO",'caseload data'!$B:$B,{"licence","community"}))/SUM(SUMIFS('caseload data'!O:O,'caseload data'!$B:$B,{"licence","community"},'caseload data'!$C:$C,'community %'!$B$8)),"")</f>
        <v/>
      </c>
      <c r="N10" s="167" t="str">
        <f>IFERROR(SUM(SUMIFS('caseload data'!P:P,'caseload data'!$C:$C,'community %'!$B$8,'caseload data'!$D:$D,"PO",'caseload data'!$B:$B,{"licence","community"}))/SUM(SUMIFS('caseload data'!P:P,'caseload data'!$B:$B,{"licence","community"},'caseload data'!$C:$C,'community %'!$B$8)),"")</f>
        <v/>
      </c>
      <c r="O10" s="167" t="str">
        <f>IFERROR(SUM(SUMIFS('caseload data'!Q:Q,'caseload data'!$C:$C,'community %'!$B$8,'caseload data'!$D:$D,"PO",'caseload data'!$B:$B,{"licence","community"}))/SUM(SUMIFS('caseload data'!Q:Q,'caseload data'!$B:$B,{"licence","community"},'caseload data'!$C:$C,'community %'!$B$8)),"")</f>
        <v/>
      </c>
      <c r="P10" s="167" t="str">
        <f>IFERROR(SUM(SUMIFS('caseload data'!R:R,'caseload data'!$C:$C,'community %'!$B$8,'caseload data'!$D:$D,"PO",'caseload data'!$B:$B,{"licence","community"}))/SUM(SUMIFS('caseload data'!R:R,'caseload data'!$B:$B,{"licence","community"},'caseload data'!$C:$C,'community %'!$B$8)),"")</f>
        <v/>
      </c>
      <c r="Q10" s="167" t="str">
        <f>IFERROR(SUM(SUMIFS('caseload data'!S:S,'caseload data'!$C:$C,'community %'!$B$8,'caseload data'!$D:$D,"PO",'caseload data'!$B:$B,{"licence","community"}))/SUM(SUMIFS('caseload data'!S:S,'caseload data'!$B:$B,{"licence","community"},'caseload data'!$C:$C,'community %'!$B$8)),"")</f>
        <v/>
      </c>
      <c r="R10" s="167" t="str">
        <f>IFERROR(SUM(SUMIFS('caseload data'!T:T,'caseload data'!$C:$C,'community %'!$B$8,'caseload data'!$D:$D,"PO",'caseload data'!$B:$B,{"licence","community"}))/SUM(SUMIFS('caseload data'!T:T,'caseload data'!$B:$B,{"licence","community"},'caseload data'!$C:$C,'community %'!$B$8)),"")</f>
        <v/>
      </c>
      <c r="S10" s="64"/>
      <c r="T10" s="96" t="s">
        <v>947</v>
      </c>
      <c r="U10" s="167" t="str">
        <f>IFERROR(SUM(SUMIFS('caseload data'!E:E,'caseload data'!$C:$C,'community %'!$T$8,'caseload data'!$D:$D,"PO",'caseload data'!$B:$B,{"licence","community"}))/SUM(SUMIFS('caseload data'!E:E,'caseload data'!$B:$B,{"licence","community"},'caseload data'!$C:$C,'community %'!$T$8)),"")</f>
        <v/>
      </c>
      <c r="V10" s="167" t="str">
        <f>IFERROR(SUM(SUMIFS('caseload data'!F:F,'caseload data'!$C:$C,'community %'!$T$8,'caseload data'!$D:$D,"PO",'caseload data'!$B:$B,{"licence","community"}))/SUM(SUMIFS('caseload data'!F:F,'caseload data'!$B:$B,{"licence","community"},'caseload data'!$C:$C,'community %'!$T$8)),"")</f>
        <v/>
      </c>
      <c r="W10" s="167" t="str">
        <f>IFERROR(SUM(SUMIFS('caseload data'!G:G,'caseload data'!$C:$C,'community %'!$T$8,'caseload data'!$D:$D,"PO",'caseload data'!$B:$B,{"licence","community"}))/SUM(SUMIFS('caseload data'!G:G,'caseload data'!$B:$B,{"licence","community"},'caseload data'!$C:$C,'community %'!$T$8)),"")</f>
        <v/>
      </c>
      <c r="X10" s="167" t="str">
        <f>IFERROR(SUM(SUMIFS('caseload data'!H:H,'caseload data'!$C:$C,'community %'!$T$8,'caseload data'!$D:$D,"PO",'caseload data'!$B:$B,{"licence","community"}))/SUM(SUMIFS('caseload data'!H:H,'caseload data'!$B:$B,{"licence","community"},'caseload data'!$C:$C,'community %'!$T$8)),"")</f>
        <v/>
      </c>
      <c r="Y10" s="167" t="str">
        <f>IFERROR(SUM(SUMIFS('caseload data'!I:I,'caseload data'!$C:$C,'community %'!$T$8,'caseload data'!$D:$D,"PO",'caseload data'!$B:$B,{"licence","community"}))/SUM(SUMIFS('caseload data'!I:I,'caseload data'!$B:$B,{"licence","community"},'caseload data'!$C:$C,'community %'!$T$8)),"")</f>
        <v/>
      </c>
      <c r="Z10" s="167" t="str">
        <f>IFERROR(SUM(SUMIFS('caseload data'!J:J,'caseload data'!$C:$C,'community %'!$T$8,'caseload data'!$D:$D,"PO",'caseload data'!$B:$B,{"licence","community"}))/SUM(SUMIFS('caseload data'!J:J,'caseload data'!$B:$B,{"licence","community"},'caseload data'!$C:$C,'community %'!$T$8)),"")</f>
        <v/>
      </c>
      <c r="AA10" s="167" t="str">
        <f>IFERROR(SUM(SUMIFS('caseload data'!K:K,'caseload data'!$C:$C,'community %'!$T$8,'caseload data'!$D:$D,"PO",'caseload data'!$B:$B,{"licence","community"}))/SUM(SUMIFS('caseload data'!K:K,'caseload data'!$B:$B,{"licence","community"},'caseload data'!$C:$C,'community %'!$T$8)),"")</f>
        <v/>
      </c>
      <c r="AB10" s="167" t="str">
        <f>IFERROR(SUM(SUMIFS('caseload data'!L:L,'caseload data'!$C:$C,'community %'!$T$8,'caseload data'!$D:$D,"PO",'caseload data'!$B:$B,{"licence","community"}))/SUM(SUMIFS('caseload data'!L:L,'caseload data'!$B:$B,{"licence","community"},'caseload data'!$C:$C,'community %'!$T$8)),"")</f>
        <v/>
      </c>
      <c r="AC10" s="167" t="str">
        <f>IFERROR(SUM(SUMIFS('caseload data'!M:M,'caseload data'!$C:$C,'community %'!$T$8,'caseload data'!$D:$D,"PO",'caseload data'!$B:$B,{"licence","community"}))/SUM(SUMIFS('caseload data'!M:M,'caseload data'!$B:$B,{"licence","community"},'caseload data'!$C:$C,'community %'!$T$8)),"")</f>
        <v/>
      </c>
      <c r="AD10" s="167" t="str">
        <f>IFERROR(SUM(SUMIFS('caseload data'!N:N,'caseload data'!$C:$C,'community %'!$T$8,'caseload data'!$D:$D,"PO",'caseload data'!$B:$B,{"licence","community"}))/SUM(SUMIFS('caseload data'!N:N,'caseload data'!$B:$B,{"licence","community"},'caseload data'!$C:$C,'community %'!$T$8)),"")</f>
        <v/>
      </c>
      <c r="AE10" s="167" t="str">
        <f>IFERROR(SUM(SUMIFS('caseload data'!O:O,'caseload data'!$C:$C,'community %'!$T$8,'caseload data'!$D:$D,"PO",'caseload data'!$B:$B,{"licence","community"}))/SUM(SUMIFS('caseload data'!O:O,'caseload data'!$B:$B,{"licence","community"},'caseload data'!$C:$C,'community %'!$T$8)),"")</f>
        <v/>
      </c>
      <c r="AF10" s="167" t="str">
        <f>IFERROR(SUM(SUMIFS('caseload data'!P:P,'caseload data'!$C:$C,'community %'!$T$8,'caseload data'!$D:$D,"PO",'caseload data'!$B:$B,{"licence","community"}))/SUM(SUMIFS('caseload data'!P:P,'caseload data'!$B:$B,{"licence","community"},'caseload data'!$C:$C,'community %'!$T$8)),"")</f>
        <v/>
      </c>
      <c r="AG10" s="167" t="str">
        <f>IFERROR(SUM(SUMIFS('caseload data'!Q:Q,'caseload data'!$C:$C,'community %'!$T$8,'caseload data'!$D:$D,"PO",'caseload data'!$B:$B,{"licence","community"}))/SUM(SUMIFS('caseload data'!Q:Q,'caseload data'!$B:$B,{"licence","community"},'caseload data'!$C:$C,'community %'!$T$8)),"")</f>
        <v/>
      </c>
      <c r="AH10" s="167" t="str">
        <f>IFERROR(SUM(SUMIFS('caseload data'!R:R,'caseload data'!$C:$C,'community %'!$T$8,'caseload data'!$D:$D,"PO",'caseload data'!$B:$B,{"licence","community"}))/SUM(SUMIFS('caseload data'!R:R,'caseload data'!$B:$B,{"licence","community"},'caseload data'!$C:$C,'community %'!$T$8)),"")</f>
        <v/>
      </c>
      <c r="AI10" s="167" t="str">
        <f>IFERROR(SUM(SUMIFS('caseload data'!S:S,'caseload data'!$C:$C,'community %'!$T$8,'caseload data'!$D:$D,"PO",'caseload data'!$B:$B,{"licence","community"}))/SUM(SUMIFS('caseload data'!S:S,'caseload data'!$B:$B,{"licence","community"},'caseload data'!$C:$C,'community %'!$T$8)),"")</f>
        <v/>
      </c>
      <c r="AJ10" s="167" t="str">
        <f>IFERROR(SUM(SUMIFS('caseload data'!T:T,'caseload data'!$C:$C,'community %'!$T$8,'caseload data'!$D:$D,"PO",'caseload data'!$B:$B,{"licence","community"}))/SUM(SUMIFS('caseload data'!T:T,'caseload data'!$B:$B,{"licence","community"},'caseload data'!$C:$C,'community %'!$T$8)),"")</f>
        <v/>
      </c>
    </row>
    <row r="11" spans="1:50" x14ac:dyDescent="0.15">
      <c r="B11" s="97" t="s">
        <v>952</v>
      </c>
      <c r="C11" s="167" t="str">
        <f>IFERROR(SUM(SUMIFS('caseload data'!E:E,'caseload data'!$C:$C,'community %'!$B$8,'caseload data'!$D:$D,"PSO",'caseload data'!$B:$B,{"licence","community"}))/SUM(SUMIFS('caseload data'!E:E,'caseload data'!$B:$B,{"licence","community"},'caseload data'!$C:$C,'community %'!$B$8)),"")</f>
        <v/>
      </c>
      <c r="D11" s="167" t="str">
        <f>IFERROR(SUM(SUMIFS('caseload data'!F:F,'caseload data'!$C:$C,'community %'!$B$8,'caseload data'!$D:$D,"PSO",'caseload data'!$B:$B,{"licence","community"}))/SUM(SUMIFS('caseload data'!F:F,'caseload data'!$B:$B,{"licence","community"},'caseload data'!$C:$C,'community %'!$B$8)),"")</f>
        <v/>
      </c>
      <c r="E11" s="167" t="str">
        <f>IFERROR(SUM(SUMIFS('caseload data'!G:G,'caseload data'!$C:$C,'community %'!$B$8,'caseload data'!$D:$D,"PSO",'caseload data'!$B:$B,{"licence","community"}))/SUM(SUMIFS('caseload data'!G:G,'caseload data'!$B:$B,{"licence","community"},'caseload data'!$C:$C,'community %'!$B$8)),"")</f>
        <v/>
      </c>
      <c r="F11" s="167" t="str">
        <f>IFERROR(SUM(SUMIFS('caseload data'!H:H,'caseload data'!$C:$C,'community %'!$B$8,'caseload data'!$D:$D,"PSO",'caseload data'!$B:$B,{"licence","community"}))/SUM(SUMIFS('caseload data'!H:H,'caseload data'!$B:$B,{"licence","community"},'caseload data'!$C:$C,'community %'!$B$8)),"")</f>
        <v/>
      </c>
      <c r="G11" s="167" t="str">
        <f>IFERROR(SUM(SUMIFS('caseload data'!I:I,'caseload data'!$C:$C,'community %'!$B$8,'caseload data'!$D:$D,"PSO",'caseload data'!$B:$B,{"licence","community"}))/SUM(SUMIFS('caseload data'!I:I,'caseload data'!$B:$B,{"licence","community"},'caseload data'!$C:$C,'community %'!$B$8)),"")</f>
        <v/>
      </c>
      <c r="H11" s="167" t="str">
        <f>IFERROR(SUM(SUMIFS('caseload data'!J:J,'caseload data'!$C:$C,'community %'!$B$8,'caseload data'!$D:$D,"PSO",'caseload data'!$B:$B,{"licence","community"}))/SUM(SUMIFS('caseload data'!J:J,'caseload data'!$B:$B,{"licence","community"},'caseload data'!$C:$C,'community %'!$B$8)),"")</f>
        <v/>
      </c>
      <c r="I11" s="167" t="str">
        <f>IFERROR(SUM(SUMIFS('caseload data'!K:K,'caseload data'!$C:$C,'community %'!$B$8,'caseload data'!$D:$D,"PSO",'caseload data'!$B:$B,{"licence","community"}))/SUM(SUMIFS('caseload data'!K:K,'caseload data'!$B:$B,{"licence","community"},'caseload data'!$C:$C,'community %'!$B$8)),"")</f>
        <v/>
      </c>
      <c r="J11" s="167" t="str">
        <f>IFERROR(SUM(SUMIFS('caseload data'!L:L,'caseload data'!$C:$C,'community %'!$B$8,'caseload data'!$D:$D,"PSO",'caseload data'!$B:$B,{"licence","community"}))/SUM(SUMIFS('caseload data'!L:L,'caseload data'!$B:$B,{"licence","community"},'caseload data'!$C:$C,'community %'!$B$8)),"")</f>
        <v/>
      </c>
      <c r="K11" s="167" t="str">
        <f>IFERROR(SUM(SUMIFS('caseload data'!M:M,'caseload data'!$C:$C,'community %'!$B$8,'caseload data'!$D:$D,"PSO",'caseload data'!$B:$B,{"licence","community"}))/SUM(SUMIFS('caseload data'!M:M,'caseload data'!$B:$B,{"licence","community"},'caseload data'!$C:$C,'community %'!$B$8)),"")</f>
        <v/>
      </c>
      <c r="L11" s="167" t="str">
        <f>IFERROR(SUM(SUMIFS('caseload data'!N:N,'caseload data'!$C:$C,'community %'!$B$8,'caseload data'!$D:$D,"PSO",'caseload data'!$B:$B,{"licence","community"}))/SUM(SUMIFS('caseload data'!N:N,'caseload data'!$B:$B,{"licence","community"},'caseload data'!$C:$C,'community %'!$B$8)),"")</f>
        <v/>
      </c>
      <c r="M11" s="167" t="str">
        <f>IFERROR(SUM(SUMIFS('caseload data'!O:O,'caseload data'!$C:$C,'community %'!$B$8,'caseload data'!$D:$D,"PSO",'caseload data'!$B:$B,{"licence","community"}))/SUM(SUMIFS('caseload data'!O:O,'caseload data'!$B:$B,{"licence","community"},'caseload data'!$C:$C,'community %'!$B$8)),"")</f>
        <v/>
      </c>
      <c r="N11" s="167" t="str">
        <f>IFERROR(SUM(SUMIFS('caseload data'!P:P,'caseload data'!$C:$C,'community %'!$B$8,'caseload data'!$D:$D,"PSO",'caseload data'!$B:$B,{"licence","community"}))/SUM(SUMIFS('caseload data'!P:P,'caseload data'!$B:$B,{"licence","community"},'caseload data'!$C:$C,'community %'!$B$8)),"")</f>
        <v/>
      </c>
      <c r="O11" s="167" t="str">
        <f>IFERROR(SUM(SUMIFS('caseload data'!Q:Q,'caseload data'!$C:$C,'community %'!$B$8,'caseload data'!$D:$D,"PSO",'caseload data'!$B:$B,{"licence","community"}))/SUM(SUMIFS('caseload data'!Q:Q,'caseload data'!$B:$B,{"licence","community"},'caseload data'!$C:$C,'community %'!$B$8)),"")</f>
        <v/>
      </c>
      <c r="P11" s="167" t="str">
        <f>IFERROR(SUM(SUMIFS('caseload data'!R:R,'caseload data'!$C:$C,'community %'!$B$8,'caseload data'!$D:$D,"PSO",'caseload data'!$B:$B,{"licence","community"}))/SUM(SUMIFS('caseload data'!R:R,'caseload data'!$B:$B,{"licence","community"},'caseload data'!$C:$C,'community %'!$B$8)),"")</f>
        <v/>
      </c>
      <c r="Q11" s="167" t="str">
        <f>IFERROR(SUM(SUMIFS('caseload data'!S:S,'caseload data'!$C:$C,'community %'!$B$8,'caseload data'!$D:$D,"PSO",'caseload data'!$B:$B,{"licence","community"}))/SUM(SUMIFS('caseload data'!S:S,'caseload data'!$B:$B,{"licence","community"},'caseload data'!$C:$C,'community %'!$B$8)),"")</f>
        <v/>
      </c>
      <c r="R11" s="167" t="str">
        <f>IFERROR(SUM(SUMIFS('caseload data'!T:T,'caseload data'!$C:$C,'community %'!$B$8,'caseload data'!$D:$D,"PSO",'caseload data'!$B:$B,{"licence","community"}))/SUM(SUMIFS('caseload data'!T:T,'caseload data'!$B:$B,{"licence","community"},'caseload data'!$C:$C,'community %'!$B$8)),"")</f>
        <v/>
      </c>
      <c r="S11" s="64"/>
      <c r="T11" s="97" t="s">
        <v>952</v>
      </c>
      <c r="U11" s="167" t="str">
        <f>IFERROR(SUM(SUMIFS('caseload data'!E:E,'caseload data'!$C:$C,'community %'!$T$8,'caseload data'!$D:$D,"PSO",'caseload data'!$B:$B,{"licence","community"}))/SUM(SUMIFS('caseload data'!E:E,'caseload data'!$B:$B,{"licence","community"},'caseload data'!$C:$C,'community %'!$T$8)),"")</f>
        <v/>
      </c>
      <c r="V11" s="167" t="str">
        <f>IFERROR(SUM(SUMIFS('caseload data'!F:F,'caseload data'!$C:$C,'community %'!$T$8,'caseload data'!$D:$D,"PSO",'caseload data'!$B:$B,{"licence","community"}))/SUM(SUMIFS('caseload data'!F:F,'caseload data'!$B:$B,{"licence","community"},'caseload data'!$C:$C,'community %'!$T$8)),"")</f>
        <v/>
      </c>
      <c r="W11" s="167" t="str">
        <f>IFERROR(SUM(SUMIFS('caseload data'!G:G,'caseload data'!$C:$C,'community %'!$T$8,'caseload data'!$D:$D,"PSO",'caseload data'!$B:$B,{"licence","community"}))/SUM(SUMIFS('caseload data'!G:G,'caseload data'!$B:$B,{"licence","community"},'caseload data'!$C:$C,'community %'!$T$8)),"")</f>
        <v/>
      </c>
      <c r="X11" s="167" t="str">
        <f>IFERROR(SUM(SUMIFS('caseload data'!H:H,'caseload data'!$C:$C,'community %'!$T$8,'caseload data'!$D:$D,"PSO",'caseload data'!$B:$B,{"licence","community"}))/SUM(SUMIFS('caseload data'!H:H,'caseload data'!$B:$B,{"licence","community"},'caseload data'!$C:$C,'community %'!$T$8)),"")</f>
        <v/>
      </c>
      <c r="Y11" s="167" t="str">
        <f>IFERROR(SUM(SUMIFS('caseload data'!I:I,'caseload data'!$C:$C,'community %'!$T$8,'caseload data'!$D:$D,"PSO",'caseload data'!$B:$B,{"licence","community"}))/SUM(SUMIFS('caseload data'!I:I,'caseload data'!$B:$B,{"licence","community"},'caseload data'!$C:$C,'community %'!$T$8)),"")</f>
        <v/>
      </c>
      <c r="Z11" s="167" t="str">
        <f>IFERROR(SUM(SUMIFS('caseload data'!J:J,'caseload data'!$C:$C,'community %'!$T$8,'caseload data'!$D:$D,"PSO",'caseload data'!$B:$B,{"licence","community"}))/SUM(SUMIFS('caseload data'!J:J,'caseload data'!$B:$B,{"licence","community"},'caseload data'!$C:$C,'community %'!$T$8)),"")</f>
        <v/>
      </c>
      <c r="AA11" s="167" t="str">
        <f>IFERROR(SUM(SUMIFS('caseload data'!K:K,'caseload data'!$C:$C,'community %'!$T$8,'caseload data'!$D:$D,"PSO",'caseload data'!$B:$B,{"licence","community"}))/SUM(SUMIFS('caseload data'!K:K,'caseload data'!$B:$B,{"licence","community"},'caseload data'!$C:$C,'community %'!$T$8)),"")</f>
        <v/>
      </c>
      <c r="AB11" s="167" t="str">
        <f>IFERROR(SUM(SUMIFS('caseload data'!L:L,'caseload data'!$C:$C,'community %'!$T$8,'caseload data'!$D:$D,"PSO",'caseload data'!$B:$B,{"licence","community"}))/SUM(SUMIFS('caseload data'!L:L,'caseload data'!$B:$B,{"licence","community"},'caseload data'!$C:$C,'community %'!$T$8)),"")</f>
        <v/>
      </c>
      <c r="AC11" s="167" t="str">
        <f>IFERROR(SUM(SUMIFS('caseload data'!M:M,'caseload data'!$C:$C,'community %'!$T$8,'caseload data'!$D:$D,"PSO",'caseload data'!$B:$B,{"licence","community"}))/SUM(SUMIFS('caseload data'!M:M,'caseload data'!$B:$B,{"licence","community"},'caseload data'!$C:$C,'community %'!$T$8)),"")</f>
        <v/>
      </c>
      <c r="AD11" s="167" t="str">
        <f>IFERROR(SUM(SUMIFS('caseload data'!N:N,'caseload data'!$C:$C,'community %'!$T$8,'caseload data'!$D:$D,"PSO",'caseload data'!$B:$B,{"licence","community"}))/SUM(SUMIFS('caseload data'!N:N,'caseload data'!$B:$B,{"licence","community"},'caseload data'!$C:$C,'community %'!$T$8)),"")</f>
        <v/>
      </c>
      <c r="AE11" s="167" t="str">
        <f>IFERROR(SUM(SUMIFS('caseload data'!O:O,'caseload data'!$C:$C,'community %'!$T$8,'caseload data'!$D:$D,"PSO",'caseload data'!$B:$B,{"licence","community"}))/SUM(SUMIFS('caseload data'!O:O,'caseload data'!$B:$B,{"licence","community"},'caseload data'!$C:$C,'community %'!$T$8)),"")</f>
        <v/>
      </c>
      <c r="AF11" s="167" t="str">
        <f>IFERROR(SUM(SUMIFS('caseload data'!P:P,'caseload data'!$C:$C,'community %'!$T$8,'caseload data'!$D:$D,"PSO",'caseload data'!$B:$B,{"licence","community"}))/SUM(SUMIFS('caseload data'!P:P,'caseload data'!$B:$B,{"licence","community"},'caseload data'!$C:$C,'community %'!$T$8)),"")</f>
        <v/>
      </c>
      <c r="AG11" s="167" t="str">
        <f>IFERROR(SUM(SUMIFS('caseload data'!Q:Q,'caseload data'!$C:$C,'community %'!$T$8,'caseload data'!$D:$D,"PSO",'caseload data'!$B:$B,{"licence","community"}))/SUM(SUMIFS('caseload data'!Q:Q,'caseload data'!$B:$B,{"licence","community"},'caseload data'!$C:$C,'community %'!$T$8)),"")</f>
        <v/>
      </c>
      <c r="AH11" s="167" t="str">
        <f>IFERROR(SUM(SUMIFS('caseload data'!R:R,'caseload data'!$C:$C,'community %'!$T$8,'caseload data'!$D:$D,"PSO",'caseload data'!$B:$B,{"licence","community"}))/SUM(SUMIFS('caseload data'!R:R,'caseload data'!$B:$B,{"licence","community"},'caseload data'!$C:$C,'community %'!$T$8)),"")</f>
        <v/>
      </c>
      <c r="AI11" s="167" t="str">
        <f>IFERROR(SUM(SUMIFS('caseload data'!S:S,'caseload data'!$C:$C,'community %'!$T$8,'caseload data'!$D:$D,"PSO",'caseload data'!$B:$B,{"licence","community"}))/SUM(SUMIFS('caseload data'!S:S,'caseload data'!$B:$B,{"licence","community"},'caseload data'!$C:$C,'community %'!$T$8)),"")</f>
        <v/>
      </c>
      <c r="AJ11" s="167" t="str">
        <f>IFERROR(SUM(SUMIFS('caseload data'!T:T,'caseload data'!$C:$C,'community %'!$T$8,'caseload data'!$D:$D,"PSO",'caseload data'!$B:$B,{"licence","community"}))/SUM(SUMIFS('caseload data'!T:T,'caseload data'!$B:$B,{"licence","community"},'caseload data'!$C:$C,'community %'!$T$8)),"")</f>
        <v/>
      </c>
    </row>
    <row r="12" spans="1:50" x14ac:dyDescent="0.15">
      <c r="B12" s="97" t="s">
        <v>953</v>
      </c>
      <c r="C12" s="167" t="str">
        <f>IFERROR(SUM(SUMIFS('caseload data'!E:E,'caseload data'!$C:$C,'community %'!$B$8,'caseload data'!$D:$D,"TPO",'caseload data'!$B:$B,{"licence","community"}))/SUM(SUMIFS('caseload data'!E:E,'caseload data'!$B:$B,{"licence","community"},'caseload data'!$C:$C,'community %'!$B$8)),"")</f>
        <v/>
      </c>
      <c r="D12" s="167" t="str">
        <f>IFERROR(SUM(SUMIFS('caseload data'!F:F,'caseload data'!$C:$C,'community %'!$B$8,'caseload data'!$D:$D,"TPO",'caseload data'!$B:$B,{"licence","community"}))/SUM(SUMIFS('caseload data'!F:F,'caseload data'!$B:$B,{"licence","community"},'caseload data'!$C:$C,'community %'!$B$8)),"")</f>
        <v/>
      </c>
      <c r="E12" s="167" t="str">
        <f>IFERROR(SUM(SUMIFS('caseload data'!G:G,'caseload data'!$C:$C,'community %'!$B$8,'caseload data'!$D:$D,"TPO",'caseload data'!$B:$B,{"licence","community"}))/SUM(SUMIFS('caseload data'!G:G,'caseload data'!$B:$B,{"licence","community"},'caseload data'!$C:$C,'community %'!$B$8)),"")</f>
        <v/>
      </c>
      <c r="F12" s="167" t="str">
        <f>IFERROR(SUM(SUMIFS('caseload data'!H:H,'caseload data'!$C:$C,'community %'!$B$8,'caseload data'!$D:$D,"TPO",'caseload data'!$B:$B,{"licence","community"}))/SUM(SUMIFS('caseload data'!H:H,'caseload data'!$B:$B,{"licence","community"},'caseload data'!$C:$C,'community %'!$B$8)),"")</f>
        <v/>
      </c>
      <c r="G12" s="167" t="str">
        <f>IFERROR(SUM(SUMIFS('caseload data'!I:I,'caseload data'!$C:$C,'community %'!$B$8,'caseload data'!$D:$D,"TPO",'caseload data'!$B:$B,{"licence","community"}))/SUM(SUMIFS('caseload data'!I:I,'caseload data'!$B:$B,{"licence","community"},'caseload data'!$C:$C,'community %'!$B$8)),"")</f>
        <v/>
      </c>
      <c r="H12" s="167" t="str">
        <f>IFERROR(SUM(SUMIFS('caseload data'!J:J,'caseload data'!$C:$C,'community %'!$B$8,'caseload data'!$D:$D,"TPO",'caseload data'!$B:$B,{"licence","community"}))/SUM(SUMIFS('caseload data'!J:J,'caseload data'!$B:$B,{"licence","community"},'caseload data'!$C:$C,'community %'!$B$8)),"")</f>
        <v/>
      </c>
      <c r="I12" s="167" t="str">
        <f>IFERROR(SUM(SUMIFS('caseload data'!K:K,'caseload data'!$C:$C,'community %'!$B$8,'caseload data'!$D:$D,"TPO",'caseload data'!$B:$B,{"licence","community"}))/SUM(SUMIFS('caseload data'!K:K,'caseload data'!$B:$B,{"licence","community"},'caseload data'!$C:$C,'community %'!$B$8)),"")</f>
        <v/>
      </c>
      <c r="J12" s="167" t="str">
        <f>IFERROR(SUM(SUMIFS('caseload data'!L:L,'caseload data'!$C:$C,'community %'!$B$8,'caseload data'!$D:$D,"TPO",'caseload data'!$B:$B,{"licence","community"}))/SUM(SUMIFS('caseload data'!L:L,'caseload data'!$B:$B,{"licence","community"},'caseload data'!$C:$C,'community %'!$B$8)),"")</f>
        <v/>
      </c>
      <c r="K12" s="167" t="str">
        <f>IFERROR(SUM(SUMIFS('caseload data'!M:M,'caseload data'!$C:$C,'community %'!$B$8,'caseload data'!$D:$D,"TPO",'caseload data'!$B:$B,{"licence","community"}))/SUM(SUMIFS('caseload data'!M:M,'caseload data'!$B:$B,{"licence","community"},'caseload data'!$C:$C,'community %'!$B$8)),"")</f>
        <v/>
      </c>
      <c r="L12" s="167" t="str">
        <f>IFERROR(SUM(SUMIFS('caseload data'!N:N,'caseload data'!$C:$C,'community %'!$B$8,'caseload data'!$D:$D,"TPO",'caseload data'!$B:$B,{"licence","community"}))/SUM(SUMIFS('caseload data'!N:N,'caseload data'!$B:$B,{"licence","community"},'caseload data'!$C:$C,'community %'!$B$8)),"")</f>
        <v/>
      </c>
      <c r="M12" s="167" t="str">
        <f>IFERROR(SUM(SUMIFS('caseload data'!O:O,'caseload data'!$C:$C,'community %'!$B$8,'caseload data'!$D:$D,"TPO",'caseload data'!$B:$B,{"licence","community"}))/SUM(SUMIFS('caseload data'!O:O,'caseload data'!$B:$B,{"licence","community"},'caseload data'!$C:$C,'community %'!$B$8)),"")</f>
        <v/>
      </c>
      <c r="N12" s="167" t="str">
        <f>IFERROR(SUM(SUMIFS('caseload data'!P:P,'caseload data'!$C:$C,'community %'!$B$8,'caseload data'!$D:$D,"TPO",'caseload data'!$B:$B,{"licence","community"}))/SUM(SUMIFS('caseload data'!P:P,'caseload data'!$B:$B,{"licence","community"},'caseload data'!$C:$C,'community %'!$B$8)),"")</f>
        <v/>
      </c>
      <c r="O12" s="167" t="str">
        <f>IFERROR(SUM(SUMIFS('caseload data'!Q:Q,'caseload data'!$C:$C,'community %'!$B$8,'caseload data'!$D:$D,"TPO",'caseload data'!$B:$B,{"licence","community"}))/SUM(SUMIFS('caseload data'!Q:Q,'caseload data'!$B:$B,{"licence","community"},'caseload data'!$C:$C,'community %'!$B$8)),"")</f>
        <v/>
      </c>
      <c r="P12" s="167" t="str">
        <f>IFERROR(SUM(SUMIFS('caseload data'!R:R,'caseload data'!$C:$C,'community %'!$B$8,'caseload data'!$D:$D,"TPO",'caseload data'!$B:$B,{"licence","community"}))/SUM(SUMIFS('caseload data'!R:R,'caseload data'!$B:$B,{"licence","community"},'caseload data'!$C:$C,'community %'!$B$8)),"")</f>
        <v/>
      </c>
      <c r="Q12" s="167" t="str">
        <f>IFERROR(SUM(SUMIFS('caseload data'!S:S,'caseload data'!$C:$C,'community %'!$B$8,'caseload data'!$D:$D,"TPO",'caseload data'!$B:$B,{"licence","community"}))/SUM(SUMIFS('caseload data'!S:S,'caseload data'!$B:$B,{"licence","community"},'caseload data'!$C:$C,'community %'!$B$8)),"")</f>
        <v/>
      </c>
      <c r="R12" s="167" t="str">
        <f>IFERROR(SUM(SUMIFS('caseload data'!T:T,'caseload data'!$C:$C,'community %'!$B$8,'caseload data'!$D:$D,"TPO",'caseload data'!$B:$B,{"licence","community"}))/SUM(SUMIFS('caseload data'!T:T,'caseload data'!$B:$B,{"licence","community"},'caseload data'!$C:$C,'community %'!$B$8)),"")</f>
        <v/>
      </c>
      <c r="S12" s="64"/>
      <c r="T12" s="97" t="s">
        <v>953</v>
      </c>
      <c r="U12" s="167" t="str">
        <f>IFERROR(SUM(SUMIFS('caseload data'!E:E,'caseload data'!$C:$C,'community %'!$T$8,'caseload data'!$D:$D,"TPO",'caseload data'!$B:$B,{"licence","community"}))/SUM(SUMIFS('caseload data'!E:E,'caseload data'!$B:$B,{"licence","community"},'caseload data'!$C:$C,'community %'!$T$8)),"")</f>
        <v/>
      </c>
      <c r="V12" s="167" t="str">
        <f>IFERROR(SUM(SUMIFS('caseload data'!F:F,'caseload data'!$C:$C,'community %'!$T$8,'caseload data'!$D:$D,"TPO",'caseload data'!$B:$B,{"licence","community"}))/SUM(SUMIFS('caseload data'!F:F,'caseload data'!$B:$B,{"licence","community"},'caseload data'!$C:$C,'community %'!$T$8)),"")</f>
        <v/>
      </c>
      <c r="W12" s="167" t="str">
        <f>IFERROR(SUM(SUMIFS('caseload data'!G:G,'caseload data'!$C:$C,'community %'!$T$8,'caseload data'!$D:$D,"TPO",'caseload data'!$B:$B,{"licence","community"}))/SUM(SUMIFS('caseload data'!G:G,'caseload data'!$B:$B,{"licence","community"},'caseload data'!$C:$C,'community %'!$T$8)),"")</f>
        <v/>
      </c>
      <c r="X12" s="167" t="str">
        <f>IFERROR(SUM(SUMIFS('caseload data'!H:H,'caseload data'!$C:$C,'community %'!$T$8,'caseload data'!$D:$D,"TPO",'caseload data'!$B:$B,{"licence","community"}))/SUM(SUMIFS('caseload data'!H:H,'caseload data'!$B:$B,{"licence","community"},'caseload data'!$C:$C,'community %'!$T$8)),"")</f>
        <v/>
      </c>
      <c r="Y12" s="167" t="str">
        <f>IFERROR(SUM(SUMIFS('caseload data'!I:I,'caseload data'!$C:$C,'community %'!$T$8,'caseload data'!$D:$D,"TPO",'caseload data'!$B:$B,{"licence","community"}))/SUM(SUMIFS('caseload data'!I:I,'caseload data'!$B:$B,{"licence","community"},'caseload data'!$C:$C,'community %'!$T$8)),"")</f>
        <v/>
      </c>
      <c r="Z12" s="167" t="str">
        <f>IFERROR(SUM(SUMIFS('caseload data'!J:J,'caseload data'!$C:$C,'community %'!$T$8,'caseload data'!$D:$D,"TPO",'caseload data'!$B:$B,{"licence","community"}))/SUM(SUMIFS('caseload data'!J:J,'caseload data'!$B:$B,{"licence","community"},'caseload data'!$C:$C,'community %'!$T$8)),"")</f>
        <v/>
      </c>
      <c r="AA12" s="167" t="str">
        <f>IFERROR(SUM(SUMIFS('caseload data'!K:K,'caseload data'!$C:$C,'community %'!$T$8,'caseload data'!$D:$D,"TPO",'caseload data'!$B:$B,{"licence","community"}))/SUM(SUMIFS('caseload data'!K:K,'caseload data'!$B:$B,{"licence","community"},'caseload data'!$C:$C,'community %'!$T$8)),"")</f>
        <v/>
      </c>
      <c r="AB12" s="167" t="str">
        <f>IFERROR(SUM(SUMIFS('caseload data'!L:L,'caseload data'!$C:$C,'community %'!$T$8,'caseload data'!$D:$D,"TPO",'caseload data'!$B:$B,{"licence","community"}))/SUM(SUMIFS('caseload data'!L:L,'caseload data'!$B:$B,{"licence","community"},'caseload data'!$C:$C,'community %'!$T$8)),"")</f>
        <v/>
      </c>
      <c r="AC12" s="167" t="str">
        <f>IFERROR(SUM(SUMIFS('caseload data'!M:M,'caseload data'!$C:$C,'community %'!$T$8,'caseload data'!$D:$D,"TPO",'caseload data'!$B:$B,{"licence","community"}))/SUM(SUMIFS('caseload data'!M:M,'caseload data'!$B:$B,{"licence","community"},'caseload data'!$C:$C,'community %'!$T$8)),"")</f>
        <v/>
      </c>
      <c r="AD12" s="167" t="str">
        <f>IFERROR(SUM(SUMIFS('caseload data'!N:N,'caseload data'!$C:$C,'community %'!$T$8,'caseload data'!$D:$D,"TPO",'caseload data'!$B:$B,{"licence","community"}))/SUM(SUMIFS('caseload data'!N:N,'caseload data'!$B:$B,{"licence","community"},'caseload data'!$C:$C,'community %'!$T$8)),"")</f>
        <v/>
      </c>
      <c r="AE12" s="167" t="str">
        <f>IFERROR(SUM(SUMIFS('caseload data'!O:O,'caseload data'!$C:$C,'community %'!$T$8,'caseload data'!$D:$D,"TPO",'caseload data'!$B:$B,{"licence","community"}))/SUM(SUMIFS('caseload data'!O:O,'caseload data'!$B:$B,{"licence","community"},'caseload data'!$C:$C,'community %'!$T$8)),"")</f>
        <v/>
      </c>
      <c r="AF12" s="167" t="str">
        <f>IFERROR(SUM(SUMIFS('caseload data'!P:P,'caseload data'!$C:$C,'community %'!$T$8,'caseload data'!$D:$D,"TPO",'caseload data'!$B:$B,{"licence","community"}))/SUM(SUMIFS('caseload data'!P:P,'caseload data'!$B:$B,{"licence","community"},'caseload data'!$C:$C,'community %'!$T$8)),"")</f>
        <v/>
      </c>
      <c r="AG12" s="167" t="str">
        <f>IFERROR(SUM(SUMIFS('caseload data'!Q:Q,'caseload data'!$C:$C,'community %'!$T$8,'caseload data'!$D:$D,"TPO",'caseload data'!$B:$B,{"licence","community"}))/SUM(SUMIFS('caseload data'!Q:Q,'caseload data'!$B:$B,{"licence","community"},'caseload data'!$C:$C,'community %'!$T$8)),"")</f>
        <v/>
      </c>
      <c r="AH12" s="167" t="str">
        <f>IFERROR(SUM(SUMIFS('caseload data'!R:R,'caseload data'!$C:$C,'community %'!$T$8,'caseload data'!$D:$D,"TPO",'caseload data'!$B:$B,{"licence","community"}))/SUM(SUMIFS('caseload data'!R:R,'caseload data'!$B:$B,{"licence","community"},'caseload data'!$C:$C,'community %'!$T$8)),"")</f>
        <v/>
      </c>
      <c r="AI12" s="167" t="str">
        <f>IFERROR(SUM(SUMIFS('caseload data'!S:S,'caseload data'!$C:$C,'community %'!$T$8,'caseload data'!$D:$D,"TPO",'caseload data'!$B:$B,{"licence","community"}))/SUM(SUMIFS('caseload data'!S:S,'caseload data'!$B:$B,{"licence","community"},'caseload data'!$C:$C,'community %'!$T$8)),"")</f>
        <v/>
      </c>
      <c r="AJ12" s="167" t="str">
        <f>IFERROR(SUM(SUMIFS('caseload data'!T:T,'caseload data'!$C:$C,'community %'!$T$8,'caseload data'!$D:$D,"TPO",'caseload data'!$B:$B,{"licence","community"}))/SUM(SUMIFS('caseload data'!T:T,'caseload data'!$B:$B,{"licence","community"},'caseload data'!$C:$C,'community %'!$T$8)),"")</f>
        <v/>
      </c>
    </row>
    <row r="13" spans="1:50" x14ac:dyDescent="0.15">
      <c r="B13" s="98" t="s">
        <v>954</v>
      </c>
      <c r="C13" s="167" t="str">
        <f>IFERROR(SUM(SUMIFS('caseload data'!E:E,'caseload data'!$C:$C,'community %'!$B$8,'caseload data'!$D:$D,"SPO",'caseload data'!$B:$B,{"licence","community"}))/SUM(SUMIFS('caseload data'!E:E,'caseload data'!$B:$B,{"licence","community"},'caseload data'!$C:$C,'community %'!$B$8)),"")</f>
        <v/>
      </c>
      <c r="D13" s="167" t="str">
        <f>IFERROR(SUM(SUMIFS('caseload data'!F:F,'caseload data'!$C:$C,'community %'!$B$8,'caseload data'!$D:$D,"SPO",'caseload data'!$B:$B,{"licence","community"}))/SUM(SUMIFS('caseload data'!F:F,'caseload data'!$B:$B,{"licence","community"},'caseload data'!$C:$C,'community %'!$B$8)),"")</f>
        <v/>
      </c>
      <c r="E13" s="167" t="str">
        <f>IFERROR(SUM(SUMIFS('caseload data'!G:G,'caseload data'!$C:$C,'community %'!$B$8,'caseload data'!$D:$D,"SPO",'caseload data'!$B:$B,{"licence","community"}))/SUM(SUMIFS('caseload data'!G:G,'caseload data'!$B:$B,{"licence","community"},'caseload data'!$C:$C,'community %'!$B$8)),"")</f>
        <v/>
      </c>
      <c r="F13" s="167" t="str">
        <f>IFERROR(SUM(SUMIFS('caseload data'!H:H,'caseload data'!$C:$C,'community %'!$B$8,'caseload data'!$D:$D,"SPO",'caseload data'!$B:$B,{"licence","community"}))/SUM(SUMIFS('caseload data'!H:H,'caseload data'!$B:$B,{"licence","community"},'caseload data'!$C:$C,'community %'!$B$8)),"")</f>
        <v/>
      </c>
      <c r="G13" s="167" t="str">
        <f>IFERROR(SUM(SUMIFS('caseload data'!I:I,'caseload data'!$C:$C,'community %'!$B$8,'caseload data'!$D:$D,"SPO",'caseload data'!$B:$B,{"licence","community"}))/SUM(SUMIFS('caseload data'!I:I,'caseload data'!$B:$B,{"licence","community"},'caseload data'!$C:$C,'community %'!$B$8)),"")</f>
        <v/>
      </c>
      <c r="H13" s="167" t="str">
        <f>IFERROR(SUM(SUMIFS('caseload data'!J:J,'caseload data'!$C:$C,'community %'!$B$8,'caseload data'!$D:$D,"SPO",'caseload data'!$B:$B,{"licence","community"}))/SUM(SUMIFS('caseload data'!J:J,'caseload data'!$B:$B,{"licence","community"},'caseload data'!$C:$C,'community %'!$B$8)),"")</f>
        <v/>
      </c>
      <c r="I13" s="167" t="str">
        <f>IFERROR(SUM(SUMIFS('caseload data'!K:K,'caseload data'!$C:$C,'community %'!$B$8,'caseload data'!$D:$D,"SPO",'caseload data'!$B:$B,{"licence","community"}))/SUM(SUMIFS('caseload data'!K:K,'caseload data'!$B:$B,{"licence","community"},'caseload data'!$C:$C,'community %'!$B$8)),"")</f>
        <v/>
      </c>
      <c r="J13" s="167" t="str">
        <f>IFERROR(SUM(SUMIFS('caseload data'!L:L,'caseload data'!$C:$C,'community %'!$B$8,'caseload data'!$D:$D,"SPO",'caseload data'!$B:$B,{"licence","community"}))/SUM(SUMIFS('caseload data'!L:L,'caseload data'!$B:$B,{"licence","community"},'caseload data'!$C:$C,'community %'!$B$8)),"")</f>
        <v/>
      </c>
      <c r="K13" s="167" t="str">
        <f>IFERROR(SUM(SUMIFS('caseload data'!M:M,'caseload data'!$C:$C,'community %'!$B$8,'caseload data'!$D:$D,"SPO",'caseload data'!$B:$B,{"licence","community"}))/SUM(SUMIFS('caseload data'!M:M,'caseload data'!$B:$B,{"licence","community"},'caseload data'!$C:$C,'community %'!$B$8)),"")</f>
        <v/>
      </c>
      <c r="L13" s="167" t="str">
        <f>IFERROR(SUM(SUMIFS('caseload data'!N:N,'caseload data'!$C:$C,'community %'!$B$8,'caseload data'!$D:$D,"SPO",'caseload data'!$B:$B,{"licence","community"}))/SUM(SUMIFS('caseload data'!N:N,'caseload data'!$B:$B,{"licence","community"},'caseload data'!$C:$C,'community %'!$B$8)),"")</f>
        <v/>
      </c>
      <c r="M13" s="167" t="str">
        <f>IFERROR(SUM(SUMIFS('caseload data'!O:O,'caseload data'!$C:$C,'community %'!$B$8,'caseload data'!$D:$D,"SPO",'caseload data'!$B:$B,{"licence","community"}))/SUM(SUMIFS('caseload data'!O:O,'caseload data'!$B:$B,{"licence","community"},'caseload data'!$C:$C,'community %'!$B$8)),"")</f>
        <v/>
      </c>
      <c r="N13" s="167" t="str">
        <f>IFERROR(SUM(SUMIFS('caseload data'!P:P,'caseload data'!$C:$C,'community %'!$B$8,'caseload data'!$D:$D,"SPO",'caseload data'!$B:$B,{"licence","community"}))/SUM(SUMIFS('caseload data'!P:P,'caseload data'!$B:$B,{"licence","community"},'caseload data'!$C:$C,'community %'!$B$8)),"")</f>
        <v/>
      </c>
      <c r="O13" s="167" t="str">
        <f>IFERROR(SUM(SUMIFS('caseload data'!Q:Q,'caseload data'!$C:$C,'community %'!$B$8,'caseload data'!$D:$D,"SPO",'caseload data'!$B:$B,{"licence","community"}))/SUM(SUMIFS('caseload data'!Q:Q,'caseload data'!$B:$B,{"licence","community"},'caseload data'!$C:$C,'community %'!$B$8)),"")</f>
        <v/>
      </c>
      <c r="P13" s="167" t="str">
        <f>IFERROR(SUM(SUMIFS('caseload data'!R:R,'caseload data'!$C:$C,'community %'!$B$8,'caseload data'!$D:$D,"SPO",'caseload data'!$B:$B,{"licence","community"}))/SUM(SUMIFS('caseload data'!R:R,'caseload data'!$B:$B,{"licence","community"},'caseload data'!$C:$C,'community %'!$B$8)),"")</f>
        <v/>
      </c>
      <c r="Q13" s="167" t="str">
        <f>IFERROR(SUM(SUMIFS('caseload data'!S:S,'caseload data'!$C:$C,'community %'!$B$8,'caseload data'!$D:$D,"SPO",'caseload data'!$B:$B,{"licence","community"}))/SUM(SUMIFS('caseload data'!S:S,'caseload data'!$B:$B,{"licence","community"},'caseload data'!$C:$C,'community %'!$B$8)),"")</f>
        <v/>
      </c>
      <c r="R13" s="167" t="str">
        <f>IFERROR(SUM(SUMIFS('caseload data'!T:T,'caseload data'!$C:$C,'community %'!$B$8,'caseload data'!$D:$D,"SPO",'caseload data'!$B:$B,{"licence","community"}))/SUM(SUMIFS('caseload data'!T:T,'caseload data'!$B:$B,{"licence","community"},'caseload data'!$C:$C,'community %'!$B$8)),"")</f>
        <v/>
      </c>
      <c r="S13" s="64"/>
      <c r="T13" s="98" t="s">
        <v>954</v>
      </c>
      <c r="U13" s="167" t="str">
        <f>IFERROR(SUM(SUMIFS('caseload data'!E:E,'caseload data'!$C:$C,'community %'!$T$8,'caseload data'!$D:$D,"SPO",'caseload data'!$B:$B,{"licence","community"}))/SUM(SUMIFS('caseload data'!E:E,'caseload data'!$B:$B,{"licence","community"},'caseload data'!$C:$C,'community %'!$T$8)),"")</f>
        <v/>
      </c>
      <c r="V13" s="167" t="str">
        <f>IFERROR(SUM(SUMIFS('caseload data'!F:F,'caseload data'!$C:$C,'community %'!$T$8,'caseload data'!$D:$D,"SPO",'caseload data'!$B:$B,{"licence","community"}))/SUM(SUMIFS('caseload data'!F:F,'caseload data'!$B:$B,{"licence","community"},'caseload data'!$C:$C,'community %'!$T$8)),"")</f>
        <v/>
      </c>
      <c r="W13" s="167" t="str">
        <f>IFERROR(SUM(SUMIFS('caseload data'!G:G,'caseload data'!$C:$C,'community %'!$T$8,'caseload data'!$D:$D,"SPO",'caseload data'!$B:$B,{"licence","community"}))/SUM(SUMIFS('caseload data'!G:G,'caseload data'!$B:$B,{"licence","community"},'caseload data'!$C:$C,'community %'!$T$8)),"")</f>
        <v/>
      </c>
      <c r="X13" s="167" t="str">
        <f>IFERROR(SUM(SUMIFS('caseload data'!H:H,'caseload data'!$C:$C,'community %'!$T$8,'caseload data'!$D:$D,"SPO",'caseload data'!$B:$B,{"licence","community"}))/SUM(SUMIFS('caseload data'!H:H,'caseload data'!$B:$B,{"licence","community"},'caseload data'!$C:$C,'community %'!$T$8)),"")</f>
        <v/>
      </c>
      <c r="Y13" s="167" t="str">
        <f>IFERROR(SUM(SUMIFS('caseload data'!I:I,'caseload data'!$C:$C,'community %'!$T$8,'caseload data'!$D:$D,"SPO",'caseload data'!$B:$B,{"licence","community"}))/SUM(SUMIFS('caseload data'!I:I,'caseload data'!$B:$B,{"licence","community"},'caseload data'!$C:$C,'community %'!$T$8)),"")</f>
        <v/>
      </c>
      <c r="Z13" s="167" t="str">
        <f>IFERROR(SUM(SUMIFS('caseload data'!J:J,'caseload data'!$C:$C,'community %'!$T$8,'caseload data'!$D:$D,"SPO",'caseload data'!$B:$B,{"licence","community"}))/SUM(SUMIFS('caseload data'!J:J,'caseload data'!$B:$B,{"licence","community"},'caseload data'!$C:$C,'community %'!$T$8)),"")</f>
        <v/>
      </c>
      <c r="AA13" s="167" t="str">
        <f>IFERROR(SUM(SUMIFS('caseload data'!K:K,'caseload data'!$C:$C,'community %'!$T$8,'caseload data'!$D:$D,"SPO",'caseload data'!$B:$B,{"licence","community"}))/SUM(SUMIFS('caseload data'!K:K,'caseload data'!$B:$B,{"licence","community"},'caseload data'!$C:$C,'community %'!$T$8)),"")</f>
        <v/>
      </c>
      <c r="AB13" s="167" t="str">
        <f>IFERROR(SUM(SUMIFS('caseload data'!L:L,'caseload data'!$C:$C,'community %'!$T$8,'caseload data'!$D:$D,"SPO",'caseload data'!$B:$B,{"licence","community"}))/SUM(SUMIFS('caseload data'!L:L,'caseload data'!$B:$B,{"licence","community"},'caseload data'!$C:$C,'community %'!$T$8)),"")</f>
        <v/>
      </c>
      <c r="AC13" s="167" t="str">
        <f>IFERROR(SUM(SUMIFS('caseload data'!M:M,'caseload data'!$C:$C,'community %'!$T$8,'caseload data'!$D:$D,"SPO",'caseload data'!$B:$B,{"licence","community"}))/SUM(SUMIFS('caseload data'!M:M,'caseload data'!$B:$B,{"licence","community"},'caseload data'!$C:$C,'community %'!$T$8)),"")</f>
        <v/>
      </c>
      <c r="AD13" s="167" t="str">
        <f>IFERROR(SUM(SUMIFS('caseload data'!N:N,'caseload data'!$C:$C,'community %'!$T$8,'caseload data'!$D:$D,"SPO",'caseload data'!$B:$B,{"licence","community"}))/SUM(SUMIFS('caseload data'!N:N,'caseload data'!$B:$B,{"licence","community"},'caseload data'!$C:$C,'community %'!$T$8)),"")</f>
        <v/>
      </c>
      <c r="AE13" s="167" t="str">
        <f>IFERROR(SUM(SUMIFS('caseload data'!O:O,'caseload data'!$C:$C,'community %'!$T$8,'caseload data'!$D:$D,"SPO",'caseload data'!$B:$B,{"licence","community"}))/SUM(SUMIFS('caseload data'!O:O,'caseload data'!$B:$B,{"licence","community"},'caseload data'!$C:$C,'community %'!$T$8)),"")</f>
        <v/>
      </c>
      <c r="AF13" s="167" t="str">
        <f>IFERROR(SUM(SUMIFS('caseload data'!P:P,'caseload data'!$C:$C,'community %'!$T$8,'caseload data'!$D:$D,"SPO",'caseload data'!$B:$B,{"licence","community"}))/SUM(SUMIFS('caseload data'!P:P,'caseload data'!$B:$B,{"licence","community"},'caseload data'!$C:$C,'community %'!$T$8)),"")</f>
        <v/>
      </c>
      <c r="AG13" s="167" t="str">
        <f>IFERROR(SUM(SUMIFS('caseload data'!Q:Q,'caseload data'!$C:$C,'community %'!$T$8,'caseload data'!$D:$D,"SPO",'caseload data'!$B:$B,{"licence","community"}))/SUM(SUMIFS('caseload data'!Q:Q,'caseload data'!$B:$B,{"licence","community"},'caseload data'!$C:$C,'community %'!$T$8)),"")</f>
        <v/>
      </c>
      <c r="AH13" s="167" t="str">
        <f>IFERROR(SUM(SUMIFS('caseload data'!R:R,'caseload data'!$C:$C,'community %'!$T$8,'caseload data'!$D:$D,"SPO",'caseload data'!$B:$B,{"licence","community"}))/SUM(SUMIFS('caseload data'!R:R,'caseload data'!$B:$B,{"licence","community"},'caseload data'!$C:$C,'community %'!$T$8)),"")</f>
        <v/>
      </c>
      <c r="AI13" s="167" t="str">
        <f>IFERROR(SUM(SUMIFS('caseload data'!S:S,'caseload data'!$C:$C,'community %'!$T$8,'caseload data'!$D:$D,"SPO",'caseload data'!$B:$B,{"licence","community"}))/SUM(SUMIFS('caseload data'!S:S,'caseload data'!$B:$B,{"licence","community"},'caseload data'!$C:$C,'community %'!$T$8)),"")</f>
        <v/>
      </c>
      <c r="AJ13" s="167" t="str">
        <f>IFERROR(SUM(SUMIFS('caseload data'!T:T,'caseload data'!$C:$C,'community %'!$T$8,'caseload data'!$D:$D,"SPO",'caseload data'!$B:$B,{"licence","community"}))/SUM(SUMIFS('caseload data'!T:T,'caseload data'!$B:$B,{"licence","community"},'caseload data'!$C:$C,'community %'!$T$8)),"")</f>
        <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24" customHeight="1" x14ac:dyDescent="0.15">
      <c r="B15" s="288" t="str">
        <f>HLOOKUP($B$5,Region_Table,4,0)</f>
        <v>Derbyshire - N53</v>
      </c>
      <c r="C15" s="540" t="s">
        <v>1081</v>
      </c>
      <c r="D15" s="541"/>
      <c r="E15" s="541"/>
      <c r="F15" s="541"/>
      <c r="G15" s="541"/>
      <c r="H15" s="541"/>
      <c r="I15" s="541"/>
      <c r="J15" s="541"/>
      <c r="K15" s="541"/>
      <c r="L15" s="541"/>
      <c r="M15" s="570"/>
      <c r="N15" s="570"/>
      <c r="O15" s="571"/>
      <c r="P15" s="543" cm="1">
        <f t="array" ref="P15">SUM(SUMIFS('caseload data'!V:V,'caseload data'!B:B,{"licence","community"},'caseload data'!$C:$C,B15))</f>
        <v>0</v>
      </c>
      <c r="Q15" s="560"/>
      <c r="R15" s="561"/>
      <c r="S15" s="64"/>
      <c r="T15" s="288" t="str">
        <f>HLOOKUP($B$5,Region_Table,5,0)</f>
        <v>Leicester, Leicestershire and Rutland</v>
      </c>
      <c r="U15" s="540" t="s">
        <v>1081</v>
      </c>
      <c r="V15" s="541"/>
      <c r="W15" s="541"/>
      <c r="X15" s="541"/>
      <c r="Y15" s="541"/>
      <c r="Z15" s="541"/>
      <c r="AA15" s="541"/>
      <c r="AB15" s="541"/>
      <c r="AC15" s="541"/>
      <c r="AD15" s="541"/>
      <c r="AE15" s="570"/>
      <c r="AF15" s="570"/>
      <c r="AG15" s="571"/>
      <c r="AH15" s="543" cm="1">
        <f t="array" ref="AH15">SUM(SUMIFS('caseload data'!V:V,'caseload data'!B:B,{"licence","community"},'caseload data'!$C:$C,T15))</f>
        <v>0</v>
      </c>
      <c r="AI15" s="560"/>
      <c r="AJ15" s="561"/>
    </row>
    <row r="16" spans="1:50"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167" t="str">
        <f>IFERROR(SUM(SUMIFS('caseload data'!E:E,'caseload data'!$C:$C,'community %'!$B$15,'caseload data'!$D:$D,"PO",'caseload data'!$B:$B,{"licence","community"}))/SUM(SUMIFS('caseload data'!E:E,'caseload data'!$B:$B,{"licence","community"},'caseload data'!$C:$C,'community %'!$B$15)),"")</f>
        <v/>
      </c>
      <c r="D17" s="167" t="str">
        <f>IFERROR(SUM(SUMIFS('caseload data'!F:F,'caseload data'!$C:$C,'community %'!$B$15,'caseload data'!$D:$D,"PO",'caseload data'!$B:$B,{"licence","community"}))/SUM(SUMIFS('caseload data'!F:F,'caseload data'!$B:$B,{"licence","community"},'caseload data'!$C:$C,'community %'!$B$15)),"")</f>
        <v/>
      </c>
      <c r="E17" s="167" t="str">
        <f>IFERROR(SUM(SUMIFS('caseload data'!G:G,'caseload data'!$C:$C,'community %'!$B$15,'caseload data'!$D:$D,"PO",'caseload data'!$B:$B,{"licence","community"}))/SUM(SUMIFS('caseload data'!G:G,'caseload data'!$B:$B,{"licence","community"},'caseload data'!$C:$C,'community %'!$B$15)),"")</f>
        <v/>
      </c>
      <c r="F17" s="167" t="str">
        <f>IFERROR(SUM(SUMIFS('caseload data'!H:H,'caseload data'!$C:$C,'community %'!$B$15,'caseload data'!$D:$D,"PO",'caseload data'!$B:$B,{"licence","community"}))/SUM(SUMIFS('caseload data'!H:H,'caseload data'!$B:$B,{"licence","community"},'caseload data'!$C:$C,'community %'!$B$15)),"")</f>
        <v/>
      </c>
      <c r="G17" s="167" t="str">
        <f>IFERROR(SUM(SUMIFS('caseload data'!I:I,'caseload data'!$C:$C,'community %'!$B$15,'caseload data'!$D:$D,"PO",'caseload data'!$B:$B,{"licence","community"}))/SUM(SUMIFS('caseload data'!I:I,'caseload data'!$B:$B,{"licence","community"},'caseload data'!$C:$C,'community %'!$B$15)),"")</f>
        <v/>
      </c>
      <c r="H17" s="167" t="str">
        <f>IFERROR(SUM(SUMIFS('caseload data'!J:J,'caseload data'!$C:$C,'community %'!$B$15,'caseload data'!$D:$D,"PO",'caseload data'!$B:$B,{"licence","community"}))/SUM(SUMIFS('caseload data'!J:J,'caseload data'!$B:$B,{"licence","community"},'caseload data'!$C:$C,'community %'!$B$15)),"")</f>
        <v/>
      </c>
      <c r="I17" s="167" t="str">
        <f>IFERROR(SUM(SUMIFS('caseload data'!K:K,'caseload data'!$C:$C,'community %'!$B$15,'caseload data'!$D:$D,"PO",'caseload data'!$B:$B,{"licence","community"}))/SUM(SUMIFS('caseload data'!K:K,'caseload data'!$B:$B,{"licence","community"},'caseload data'!$C:$C,'community %'!$B$15)),"")</f>
        <v/>
      </c>
      <c r="J17" s="167" t="str">
        <f>IFERROR(SUM(SUMIFS('caseload data'!L:L,'caseload data'!$C:$C,'community %'!$B$15,'caseload data'!$D:$D,"PO",'caseload data'!$B:$B,{"licence","community"}))/SUM(SUMIFS('caseload data'!L:L,'caseload data'!$B:$B,{"licence","community"},'caseload data'!$C:$C,'community %'!$B$15)),"")</f>
        <v/>
      </c>
      <c r="K17" s="167" t="str">
        <f>IFERROR(SUM(SUMIFS('caseload data'!M:M,'caseload data'!$C:$C,'community %'!$B$15,'caseload data'!$D:$D,"PO",'caseload data'!$B:$B,{"licence","community"}))/SUM(SUMIFS('caseload data'!M:M,'caseload data'!$B:$B,{"licence","community"},'caseload data'!$C:$C,'community %'!$B$15)),"")</f>
        <v/>
      </c>
      <c r="L17" s="167" t="str">
        <f>IFERROR(SUM(SUMIFS('caseload data'!N:N,'caseload data'!$C:$C,'community %'!$B$15,'caseload data'!$D:$D,"PO",'caseload data'!$B:$B,{"licence","community"}))/SUM(SUMIFS('caseload data'!N:N,'caseload data'!$B:$B,{"licence","community"},'caseload data'!$C:$C,'community %'!$B$15)),"")</f>
        <v/>
      </c>
      <c r="M17" s="167" t="str">
        <f>IFERROR(SUM(SUMIFS('caseload data'!O:O,'caseload data'!$C:$C,'community %'!$B$15,'caseload data'!$D:$D,"PO",'caseload data'!$B:$B,{"licence","community"}))/SUM(SUMIFS('caseload data'!O:O,'caseload data'!$B:$B,{"licence","community"},'caseload data'!$C:$C,'community %'!$B$15)),"")</f>
        <v/>
      </c>
      <c r="N17" s="167" t="str">
        <f>IFERROR(SUM(SUMIFS('caseload data'!P:P,'caseload data'!$C:$C,'community %'!$B$15,'caseload data'!$D:$D,"PO",'caseload data'!$B:$B,{"licence","community"}))/SUM(SUMIFS('caseload data'!P:P,'caseload data'!$B:$B,{"licence","community"},'caseload data'!$C:$C,'community %'!$B$15)),"")</f>
        <v/>
      </c>
      <c r="O17" s="167" t="str">
        <f>IFERROR(SUM(SUMIFS('caseload data'!Q:Q,'caseload data'!$C:$C,'community %'!$B$15,'caseload data'!$D:$D,"PO",'caseload data'!$B:$B,{"licence","community"}))/SUM(SUMIFS('caseload data'!Q:Q,'caseload data'!$B:$B,{"licence","community"},'caseload data'!$C:$C,'community %'!$B$15)),"")</f>
        <v/>
      </c>
      <c r="P17" s="167" t="str">
        <f>IFERROR(SUM(SUMIFS('caseload data'!R:R,'caseload data'!$C:$C,'community %'!$B$15,'caseload data'!$D:$D,"PO",'caseload data'!$B:$B,{"licence","community"}))/SUM(SUMIFS('caseload data'!R:R,'caseload data'!$B:$B,{"licence","community"},'caseload data'!$C:$C,'community %'!$B$15)),"")</f>
        <v/>
      </c>
      <c r="Q17" s="167" t="str">
        <f>IFERROR(SUM(SUMIFS('caseload data'!S:S,'caseload data'!$C:$C,'community %'!$B$15,'caseload data'!$D:$D,"PO",'caseload data'!$B:$B,{"licence","community"}))/SUM(SUMIFS('caseload data'!S:S,'caseload data'!$B:$B,{"licence","community"},'caseload data'!$C:$C,'community %'!$B$15)),"")</f>
        <v/>
      </c>
      <c r="R17" s="167" t="str">
        <f>IFERROR(SUM(SUMIFS('caseload data'!T:T,'caseload data'!$C:$C,'community %'!$B$15,'caseload data'!$D:$D,"PO",'caseload data'!$B:$B,{"licence","community"}))/SUM(SUMIFS('caseload data'!T:T,'caseload data'!$B:$B,{"licence","community"},'caseload data'!$C:$C,'community %'!$B$15)),"")</f>
        <v/>
      </c>
      <c r="S17" s="64"/>
      <c r="T17" s="96" t="s">
        <v>947</v>
      </c>
      <c r="U17" s="167" t="str">
        <f>IFERROR(SUM(SUMIFS('caseload data'!E:E,'caseload data'!$C:$C,'community %'!$T$15,'caseload data'!$D:$D,"PO",'caseload data'!$B:$B,{"licence","community"}))/SUM(SUMIFS('caseload data'!E:E,'caseload data'!$B:$B,{"licence","community"},'caseload data'!$C:$C,'community %'!$T$15)),"")</f>
        <v/>
      </c>
      <c r="V17" s="167" t="str">
        <f>IFERROR(SUM(SUMIFS('caseload data'!F:F,'caseload data'!$C:$C,'community %'!$T$15,'caseload data'!$D:$D,"PO",'caseload data'!$B:$B,{"licence","community"}))/SUM(SUMIFS('caseload data'!F:F,'caseload data'!$B:$B,{"licence","community"},'caseload data'!$C:$C,'community %'!$T$15)),"")</f>
        <v/>
      </c>
      <c r="W17" s="167" t="str">
        <f>IFERROR(SUM(SUMIFS('caseload data'!G:G,'caseload data'!$C:$C,'community %'!$T$15,'caseload data'!$D:$D,"PO",'caseload data'!$B:$B,{"licence","community"}))/SUM(SUMIFS('caseload data'!G:G,'caseload data'!$B:$B,{"licence","community"},'caseload data'!$C:$C,'community %'!$T$15)),"")</f>
        <v/>
      </c>
      <c r="X17" s="167" t="str">
        <f>IFERROR(SUM(SUMIFS('caseload data'!H:H,'caseload data'!$C:$C,'community %'!$T$15,'caseload data'!$D:$D,"PO",'caseload data'!$B:$B,{"licence","community"}))/SUM(SUMIFS('caseload data'!H:H,'caseload data'!$B:$B,{"licence","community"},'caseload data'!$C:$C,'community %'!$T$15)),"")</f>
        <v/>
      </c>
      <c r="Y17" s="167" t="str">
        <f>IFERROR(SUM(SUMIFS('caseload data'!I:I,'caseload data'!$C:$C,'community %'!$T$15,'caseload data'!$D:$D,"PO",'caseload data'!$B:$B,{"licence","community"}))/SUM(SUMIFS('caseload data'!I:I,'caseload data'!$B:$B,{"licence","community"},'caseload data'!$C:$C,'community %'!$T$15)),"")</f>
        <v/>
      </c>
      <c r="Z17" s="167" t="str">
        <f>IFERROR(SUM(SUMIFS('caseload data'!J:J,'caseload data'!$C:$C,'community %'!$T$15,'caseload data'!$D:$D,"PO",'caseload data'!$B:$B,{"licence","community"}))/SUM(SUMIFS('caseload data'!J:J,'caseload data'!$B:$B,{"licence","community"},'caseload data'!$C:$C,'community %'!$T$15)),"")</f>
        <v/>
      </c>
      <c r="AA17" s="167" t="str">
        <f>IFERROR(SUM(SUMIFS('caseload data'!K:K,'caseload data'!$C:$C,'community %'!$T$15,'caseload data'!$D:$D,"PO",'caseload data'!$B:$B,{"licence","community"}))/SUM(SUMIFS('caseload data'!K:K,'caseload data'!$B:$B,{"licence","community"},'caseload data'!$C:$C,'community %'!$T$15)),"")</f>
        <v/>
      </c>
      <c r="AB17" s="167" t="str">
        <f>IFERROR(SUM(SUMIFS('caseload data'!L:L,'caseload data'!$C:$C,'community %'!$T$15,'caseload data'!$D:$D,"PO",'caseload data'!$B:$B,{"licence","community"}))/SUM(SUMIFS('caseload data'!L:L,'caseload data'!$B:$B,{"licence","community"},'caseload data'!$C:$C,'community %'!$T$15)),"")</f>
        <v/>
      </c>
      <c r="AC17" s="167" t="str">
        <f>IFERROR(SUM(SUMIFS('caseload data'!M:M,'caseload data'!$C:$C,'community %'!$T$15,'caseload data'!$D:$D,"PO",'caseload data'!$B:$B,{"licence","community"}))/SUM(SUMIFS('caseload data'!M:M,'caseload data'!$B:$B,{"licence","community"},'caseload data'!$C:$C,'community %'!$T$15)),"")</f>
        <v/>
      </c>
      <c r="AD17" s="167" t="str">
        <f>IFERROR(SUM(SUMIFS('caseload data'!N:N,'caseload data'!$C:$C,'community %'!$T$15,'caseload data'!$D:$D,"PO",'caseload data'!$B:$B,{"licence","community"}))/SUM(SUMIFS('caseload data'!N:N,'caseload data'!$B:$B,{"licence","community"},'caseload data'!$C:$C,'community %'!$T$15)),"")</f>
        <v/>
      </c>
      <c r="AE17" s="167" t="str">
        <f>IFERROR(SUM(SUMIFS('caseload data'!O:O,'caseload data'!$C:$C,'community %'!$T$15,'caseload data'!$D:$D,"PO",'caseload data'!$B:$B,{"licence","community"}))/SUM(SUMIFS('caseload data'!O:O,'caseload data'!$B:$B,{"licence","community"},'caseload data'!$C:$C,'community %'!$T$15)),"")</f>
        <v/>
      </c>
      <c r="AF17" s="167" t="str">
        <f>IFERROR(SUM(SUMIFS('caseload data'!P:P,'caseload data'!$C:$C,'community %'!$T$15,'caseload data'!$D:$D,"PO",'caseload data'!$B:$B,{"licence","community"}))/SUM(SUMIFS('caseload data'!P:P,'caseload data'!$B:$B,{"licence","community"},'caseload data'!$C:$C,'community %'!$T$15)),"")</f>
        <v/>
      </c>
      <c r="AG17" s="167" t="str">
        <f>IFERROR(SUM(SUMIFS('caseload data'!Q:Q,'caseload data'!$C:$C,'community %'!$T$15,'caseload data'!$D:$D,"PO",'caseload data'!$B:$B,{"licence","community"}))/SUM(SUMIFS('caseload data'!Q:Q,'caseload data'!$B:$B,{"licence","community"},'caseload data'!$C:$C,'community %'!$T$15)),"")</f>
        <v/>
      </c>
      <c r="AH17" s="167" t="str">
        <f>IFERROR(SUM(SUMIFS('caseload data'!R:R,'caseload data'!$C:$C,'community %'!$T$15,'caseload data'!$D:$D,"PO",'caseload data'!$B:$B,{"licence","community"}))/SUM(SUMIFS('caseload data'!R:R,'caseload data'!$B:$B,{"licence","community"},'caseload data'!$C:$C,'community %'!$T$15)),"")</f>
        <v/>
      </c>
      <c r="AI17" s="167" t="str">
        <f>IFERROR(SUM(SUMIFS('caseload data'!S:S,'caseload data'!$C:$C,'community %'!$T$15,'caseload data'!$D:$D,"PO",'caseload data'!$B:$B,{"licence","community"}))/SUM(SUMIFS('caseload data'!S:S,'caseload data'!$B:$B,{"licence","community"},'caseload data'!$C:$C,'community %'!$T$15)),"")</f>
        <v/>
      </c>
      <c r="AJ17" s="167" t="str">
        <f>IFERROR(SUM(SUMIFS('caseload data'!T:T,'caseload data'!$C:$C,'community %'!$T$15,'caseload data'!$D:$D,"PO",'caseload data'!$B:$B,{"licence","community"}))/SUM(SUMIFS('caseload data'!T:T,'caseload data'!$B:$B,{"licence","community"},'caseload data'!$C:$C,'community %'!$T$15)),"")</f>
        <v/>
      </c>
    </row>
    <row r="18" spans="2:36" x14ac:dyDescent="0.15">
      <c r="B18" s="97" t="s">
        <v>952</v>
      </c>
      <c r="C18" s="167" t="str">
        <f>IFERROR(SUM(SUMIFS('caseload data'!E:E,'caseload data'!$C:$C,'community %'!$B$15,'caseload data'!$D:$D,"PSO",'caseload data'!$B:$B,{"licence","community"}))/SUM(SUMIFS('caseload data'!E:E,'caseload data'!$B:$B,{"licence","community"},'caseload data'!$C:$C,'community %'!$B$15)),"")</f>
        <v/>
      </c>
      <c r="D18" s="167" t="str">
        <f>IFERROR(SUM(SUMIFS('caseload data'!F:F,'caseload data'!$C:$C,'community %'!$B$15,'caseload data'!$D:$D,"PSO",'caseload data'!$B:$B,{"licence","community"}))/SUM(SUMIFS('caseload data'!F:F,'caseload data'!$B:$B,{"licence","community"},'caseload data'!$C:$C,'community %'!$B$15)),"")</f>
        <v/>
      </c>
      <c r="E18" s="167" t="str">
        <f>IFERROR(SUM(SUMIFS('caseload data'!G:G,'caseload data'!$C:$C,'community %'!$B$15,'caseload data'!$D:$D,"PSO",'caseload data'!$B:$B,{"licence","community"}))/SUM(SUMIFS('caseload data'!G:G,'caseload data'!$B:$B,{"licence","community"},'caseload data'!$C:$C,'community %'!$B$15)),"")</f>
        <v/>
      </c>
      <c r="F18" s="167" t="str">
        <f>IFERROR(SUM(SUMIFS('caseload data'!H:H,'caseload data'!$C:$C,'community %'!$B$15,'caseload data'!$D:$D,"PSO",'caseload data'!$B:$B,{"licence","community"}))/SUM(SUMIFS('caseload data'!H:H,'caseload data'!$B:$B,{"licence","community"},'caseload data'!$C:$C,'community %'!$B$15)),"")</f>
        <v/>
      </c>
      <c r="G18" s="167" t="str">
        <f>IFERROR(SUM(SUMIFS('caseload data'!I:I,'caseload data'!$C:$C,'community %'!$B$15,'caseload data'!$D:$D,"PSO",'caseload data'!$B:$B,{"licence","community"}))/SUM(SUMIFS('caseload data'!I:I,'caseload data'!$B:$B,{"licence","community"},'caseload data'!$C:$C,'community %'!$B$15)),"")</f>
        <v/>
      </c>
      <c r="H18" s="167" t="str">
        <f>IFERROR(SUM(SUMIFS('caseload data'!J:J,'caseload data'!$C:$C,'community %'!$B$15,'caseload data'!$D:$D,"PSO",'caseload data'!$B:$B,{"licence","community"}))/SUM(SUMIFS('caseload data'!J:J,'caseload data'!$B:$B,{"licence","community"},'caseload data'!$C:$C,'community %'!$B$15)),"")</f>
        <v/>
      </c>
      <c r="I18" s="167" t="str">
        <f>IFERROR(SUM(SUMIFS('caseload data'!K:K,'caseload data'!$C:$C,'community %'!$B$15,'caseload data'!$D:$D,"PSO",'caseload data'!$B:$B,{"licence","community"}))/SUM(SUMIFS('caseload data'!K:K,'caseload data'!$B:$B,{"licence","community"},'caseload data'!$C:$C,'community %'!$B$15)),"")</f>
        <v/>
      </c>
      <c r="J18" s="167" t="str">
        <f>IFERROR(SUM(SUMIFS('caseload data'!L:L,'caseload data'!$C:$C,'community %'!$B$15,'caseload data'!$D:$D,"PSO",'caseload data'!$B:$B,{"licence","community"}))/SUM(SUMIFS('caseload data'!L:L,'caseload data'!$B:$B,{"licence","community"},'caseload data'!$C:$C,'community %'!$B$15)),"")</f>
        <v/>
      </c>
      <c r="K18" s="167" t="str">
        <f>IFERROR(SUM(SUMIFS('caseload data'!M:M,'caseload data'!$C:$C,'community %'!$B$15,'caseload data'!$D:$D,"PSO",'caseload data'!$B:$B,{"licence","community"}))/SUM(SUMIFS('caseload data'!M:M,'caseload data'!$B:$B,{"licence","community"},'caseload data'!$C:$C,'community %'!$B$15)),"")</f>
        <v/>
      </c>
      <c r="L18" s="167" t="str">
        <f>IFERROR(SUM(SUMIFS('caseload data'!N:N,'caseload data'!$C:$C,'community %'!$B$15,'caseload data'!$D:$D,"PSO",'caseload data'!$B:$B,{"licence","community"}))/SUM(SUMIFS('caseload data'!N:N,'caseload data'!$B:$B,{"licence","community"},'caseload data'!$C:$C,'community %'!$B$15)),"")</f>
        <v/>
      </c>
      <c r="M18" s="167" t="str">
        <f>IFERROR(SUM(SUMIFS('caseload data'!O:O,'caseload data'!$C:$C,'community %'!$B$15,'caseload data'!$D:$D,"PSO",'caseload data'!$B:$B,{"licence","community"}))/SUM(SUMIFS('caseload data'!O:O,'caseload data'!$B:$B,{"licence","community"},'caseload data'!$C:$C,'community %'!$B$15)),"")</f>
        <v/>
      </c>
      <c r="N18" s="167" t="str">
        <f>IFERROR(SUM(SUMIFS('caseload data'!P:P,'caseload data'!$C:$C,'community %'!$B$15,'caseload data'!$D:$D,"PSO",'caseload data'!$B:$B,{"licence","community"}))/SUM(SUMIFS('caseload data'!P:P,'caseload data'!$B:$B,{"licence","community"},'caseload data'!$C:$C,'community %'!$B$15)),"")</f>
        <v/>
      </c>
      <c r="O18" s="167" t="str">
        <f>IFERROR(SUM(SUMIFS('caseload data'!Q:Q,'caseload data'!$C:$C,'community %'!$B$15,'caseload data'!$D:$D,"PSO",'caseload data'!$B:$B,{"licence","community"}))/SUM(SUMIFS('caseload data'!Q:Q,'caseload data'!$B:$B,{"licence","community"},'caseload data'!$C:$C,'community %'!$B$15)),"")</f>
        <v/>
      </c>
      <c r="P18" s="167" t="str">
        <f>IFERROR(SUM(SUMIFS('caseload data'!R:R,'caseload data'!$C:$C,'community %'!$B$15,'caseload data'!$D:$D,"PSO",'caseload data'!$B:$B,{"licence","community"}))/SUM(SUMIFS('caseload data'!R:R,'caseload data'!$B:$B,{"licence","community"},'caseload data'!$C:$C,'community %'!$B$15)),"")</f>
        <v/>
      </c>
      <c r="Q18" s="167" t="str">
        <f>IFERROR(SUM(SUMIFS('caseload data'!S:S,'caseload data'!$C:$C,'community %'!$B$15,'caseload data'!$D:$D,"PSO",'caseload data'!$B:$B,{"licence","community"}))/SUM(SUMIFS('caseload data'!S:S,'caseload data'!$B:$B,{"licence","community"},'caseload data'!$C:$C,'community %'!$B$15)),"")</f>
        <v/>
      </c>
      <c r="R18" s="167" t="str">
        <f>IFERROR(SUM(SUMIFS('caseload data'!T:T,'caseload data'!$C:$C,'community %'!$B$15,'caseload data'!$D:$D,"PSO",'caseload data'!$B:$B,{"licence","community"}))/SUM(SUMIFS('caseload data'!T:T,'caseload data'!$B:$B,{"licence","community"},'caseload data'!$C:$C,'community %'!$B$15)),"")</f>
        <v/>
      </c>
      <c r="S18" s="64"/>
      <c r="T18" s="97" t="s">
        <v>952</v>
      </c>
      <c r="U18" s="167" t="str">
        <f>IFERROR(SUM(SUMIFS('caseload data'!E:E,'caseload data'!$C:$C,'community %'!$T$15,'caseload data'!$D:$D,"PSO",'caseload data'!$B:$B,{"licence","community"}))/SUM(SUMIFS('caseload data'!E:E,'caseload data'!$B:$B,{"licence","community"},'caseload data'!$C:$C,'community %'!$T$15)),"")</f>
        <v/>
      </c>
      <c r="V18" s="167" t="str">
        <f>IFERROR(SUM(SUMIFS('caseload data'!F:F,'caseload data'!$C:$C,'community %'!$T$15,'caseload data'!$D:$D,"PSO",'caseload data'!$B:$B,{"licence","community"}))/SUM(SUMIFS('caseload data'!F:F,'caseload data'!$B:$B,{"licence","community"},'caseload data'!$C:$C,'community %'!$T$15)),"")</f>
        <v/>
      </c>
      <c r="W18" s="167" t="str">
        <f>IFERROR(SUM(SUMIFS('caseload data'!G:G,'caseload data'!$C:$C,'community %'!$T$15,'caseload data'!$D:$D,"PSO",'caseload data'!$B:$B,{"licence","community"}))/SUM(SUMIFS('caseload data'!G:G,'caseload data'!$B:$B,{"licence","community"},'caseload data'!$C:$C,'community %'!$T$15)),"")</f>
        <v/>
      </c>
      <c r="X18" s="167" t="str">
        <f>IFERROR(SUM(SUMIFS('caseload data'!H:H,'caseload data'!$C:$C,'community %'!$T$15,'caseload data'!$D:$D,"PSO",'caseload data'!$B:$B,{"licence","community"}))/SUM(SUMIFS('caseload data'!H:H,'caseload data'!$B:$B,{"licence","community"},'caseload data'!$C:$C,'community %'!$T$15)),"")</f>
        <v/>
      </c>
      <c r="Y18" s="167" t="str">
        <f>IFERROR(SUM(SUMIFS('caseload data'!I:I,'caseload data'!$C:$C,'community %'!$T$15,'caseload data'!$D:$D,"PSO",'caseload data'!$B:$B,{"licence","community"}))/SUM(SUMIFS('caseload data'!I:I,'caseload data'!$B:$B,{"licence","community"},'caseload data'!$C:$C,'community %'!$T$15)),"")</f>
        <v/>
      </c>
      <c r="Z18" s="167" t="str">
        <f>IFERROR(SUM(SUMIFS('caseload data'!J:J,'caseload data'!$C:$C,'community %'!$T$15,'caseload data'!$D:$D,"PSO",'caseload data'!$B:$B,{"licence","community"}))/SUM(SUMIFS('caseload data'!J:J,'caseload data'!$B:$B,{"licence","community"},'caseload data'!$C:$C,'community %'!$T$15)),"")</f>
        <v/>
      </c>
      <c r="AA18" s="167" t="str">
        <f>IFERROR(SUM(SUMIFS('caseload data'!K:K,'caseload data'!$C:$C,'community %'!$T$15,'caseload data'!$D:$D,"PSO",'caseload data'!$B:$B,{"licence","community"}))/SUM(SUMIFS('caseload data'!K:K,'caseload data'!$B:$B,{"licence","community"},'caseload data'!$C:$C,'community %'!$T$15)),"")</f>
        <v/>
      </c>
      <c r="AB18" s="167" t="str">
        <f>IFERROR(SUM(SUMIFS('caseload data'!L:L,'caseload data'!$C:$C,'community %'!$T$15,'caseload data'!$D:$D,"PSO",'caseload data'!$B:$B,{"licence","community"}))/SUM(SUMIFS('caseload data'!L:L,'caseload data'!$B:$B,{"licence","community"},'caseload data'!$C:$C,'community %'!$T$15)),"")</f>
        <v/>
      </c>
      <c r="AC18" s="167" t="str">
        <f>IFERROR(SUM(SUMIFS('caseload data'!M:M,'caseload data'!$C:$C,'community %'!$T$15,'caseload data'!$D:$D,"PSO",'caseload data'!$B:$B,{"licence","community"}))/SUM(SUMIFS('caseload data'!M:M,'caseload data'!$B:$B,{"licence","community"},'caseload data'!$C:$C,'community %'!$T$15)),"")</f>
        <v/>
      </c>
      <c r="AD18" s="167" t="str">
        <f>IFERROR(SUM(SUMIFS('caseload data'!N:N,'caseload data'!$C:$C,'community %'!$T$15,'caseload data'!$D:$D,"PSO",'caseload data'!$B:$B,{"licence","community"}))/SUM(SUMIFS('caseload data'!N:N,'caseload data'!$B:$B,{"licence","community"},'caseload data'!$C:$C,'community %'!$T$15)),"")</f>
        <v/>
      </c>
      <c r="AE18" s="167" t="str">
        <f>IFERROR(SUM(SUMIFS('caseload data'!O:O,'caseload data'!$C:$C,'community %'!$T$15,'caseload data'!$D:$D,"PSO",'caseload data'!$B:$B,{"licence","community"}))/SUM(SUMIFS('caseload data'!O:O,'caseload data'!$B:$B,{"licence","community"},'caseload data'!$C:$C,'community %'!$T$15)),"")</f>
        <v/>
      </c>
      <c r="AF18" s="167" t="str">
        <f>IFERROR(SUM(SUMIFS('caseload data'!P:P,'caseload data'!$C:$C,'community %'!$T$15,'caseload data'!$D:$D,"PSO",'caseload data'!$B:$B,{"licence","community"}))/SUM(SUMIFS('caseload data'!P:P,'caseload data'!$B:$B,{"licence","community"},'caseload data'!$C:$C,'community %'!$T$15)),"")</f>
        <v/>
      </c>
      <c r="AG18" s="167" t="str">
        <f>IFERROR(SUM(SUMIFS('caseload data'!Q:Q,'caseload data'!$C:$C,'community %'!$T$15,'caseload data'!$D:$D,"PSO",'caseload data'!$B:$B,{"licence","community"}))/SUM(SUMIFS('caseload data'!Q:Q,'caseload data'!$B:$B,{"licence","community"},'caseload data'!$C:$C,'community %'!$T$15)),"")</f>
        <v/>
      </c>
      <c r="AH18" s="167" t="str">
        <f>IFERROR(SUM(SUMIFS('caseload data'!R:R,'caseload data'!$C:$C,'community %'!$T$15,'caseload data'!$D:$D,"PSO",'caseload data'!$B:$B,{"licence","community"}))/SUM(SUMIFS('caseload data'!R:R,'caseload data'!$B:$B,{"licence","community"},'caseload data'!$C:$C,'community %'!$T$15)),"")</f>
        <v/>
      </c>
      <c r="AI18" s="167" t="str">
        <f>IFERROR(SUM(SUMIFS('caseload data'!S:S,'caseload data'!$C:$C,'community %'!$T$15,'caseload data'!$D:$D,"PSO",'caseload data'!$B:$B,{"licence","community"}))/SUM(SUMIFS('caseload data'!S:S,'caseload data'!$B:$B,{"licence","community"},'caseload data'!$C:$C,'community %'!$T$15)),"")</f>
        <v/>
      </c>
      <c r="AJ18" s="167" t="str">
        <f>IFERROR(SUM(SUMIFS('caseload data'!T:T,'caseload data'!$C:$C,'community %'!$T$15,'caseload data'!$D:$D,"PSO",'caseload data'!$B:$B,{"licence","community"}))/SUM(SUMIFS('caseload data'!T:T,'caseload data'!$B:$B,{"licence","community"},'caseload data'!$C:$C,'community %'!$T$15)),"")</f>
        <v/>
      </c>
    </row>
    <row r="19" spans="2:36" x14ac:dyDescent="0.15">
      <c r="B19" s="97" t="s">
        <v>953</v>
      </c>
      <c r="C19" s="167" t="str">
        <f>IFERROR(SUM(SUMIFS('caseload data'!E:E,'caseload data'!$C:$C,'community %'!$B$15,'caseload data'!$D:$D,"TPO",'caseload data'!$B:$B,{"licence","community"}))/SUM(SUMIFS('caseload data'!E:E,'caseload data'!$B:$B,{"licence","community"},'caseload data'!$C:$C,'community %'!$B$15)),"")</f>
        <v/>
      </c>
      <c r="D19" s="167" t="str">
        <f>IFERROR(SUM(SUMIFS('caseload data'!F:F,'caseload data'!$C:$C,'community %'!$B$15,'caseload data'!$D:$D,"TPO",'caseload data'!$B:$B,{"licence","community"}))/SUM(SUMIFS('caseload data'!F:F,'caseload data'!$B:$B,{"licence","community"},'caseload data'!$C:$C,'community %'!$B$15)),"")</f>
        <v/>
      </c>
      <c r="E19" s="167" t="str">
        <f>IFERROR(SUM(SUMIFS('caseload data'!G:G,'caseload data'!$C:$C,'community %'!$B$15,'caseload data'!$D:$D,"TPO",'caseload data'!$B:$B,{"licence","community"}))/SUM(SUMIFS('caseload data'!G:G,'caseload data'!$B:$B,{"licence","community"},'caseload data'!$C:$C,'community %'!$B$15)),"")</f>
        <v/>
      </c>
      <c r="F19" s="167" t="str">
        <f>IFERROR(SUM(SUMIFS('caseload data'!H:H,'caseload data'!$C:$C,'community %'!$B$15,'caseload data'!$D:$D,"TPO",'caseload data'!$B:$B,{"licence","community"}))/SUM(SUMIFS('caseload data'!H:H,'caseload data'!$B:$B,{"licence","community"},'caseload data'!$C:$C,'community %'!$B$15)),"")</f>
        <v/>
      </c>
      <c r="G19" s="167" t="str">
        <f>IFERROR(SUM(SUMIFS('caseload data'!I:I,'caseload data'!$C:$C,'community %'!$B$15,'caseload data'!$D:$D,"TPO",'caseload data'!$B:$B,{"licence","community"}))/SUM(SUMIFS('caseload data'!I:I,'caseload data'!$B:$B,{"licence","community"},'caseload data'!$C:$C,'community %'!$B$15)),"")</f>
        <v/>
      </c>
      <c r="H19" s="167" t="str">
        <f>IFERROR(SUM(SUMIFS('caseload data'!J:J,'caseload data'!$C:$C,'community %'!$B$15,'caseload data'!$D:$D,"TPO",'caseload data'!$B:$B,{"licence","community"}))/SUM(SUMIFS('caseload data'!J:J,'caseload data'!$B:$B,{"licence","community"},'caseload data'!$C:$C,'community %'!$B$15)),"")</f>
        <v/>
      </c>
      <c r="I19" s="167" t="str">
        <f>IFERROR(SUM(SUMIFS('caseload data'!K:K,'caseload data'!$C:$C,'community %'!$B$15,'caseload data'!$D:$D,"TPO",'caseload data'!$B:$B,{"licence","community"}))/SUM(SUMIFS('caseload data'!K:K,'caseload data'!$B:$B,{"licence","community"},'caseload data'!$C:$C,'community %'!$B$15)),"")</f>
        <v/>
      </c>
      <c r="J19" s="167" t="str">
        <f>IFERROR(SUM(SUMIFS('caseload data'!L:L,'caseload data'!$C:$C,'community %'!$B$15,'caseload data'!$D:$D,"TPO",'caseload data'!$B:$B,{"licence","community"}))/SUM(SUMIFS('caseload data'!L:L,'caseload data'!$B:$B,{"licence","community"},'caseload data'!$C:$C,'community %'!$B$15)),"")</f>
        <v/>
      </c>
      <c r="K19" s="167" t="str">
        <f>IFERROR(SUM(SUMIFS('caseload data'!M:M,'caseload data'!$C:$C,'community %'!$B$15,'caseload data'!$D:$D,"TPO",'caseload data'!$B:$B,{"licence","community"}))/SUM(SUMIFS('caseload data'!M:M,'caseload data'!$B:$B,{"licence","community"},'caseload data'!$C:$C,'community %'!$B$15)),"")</f>
        <v/>
      </c>
      <c r="L19" s="167" t="str">
        <f>IFERROR(SUM(SUMIFS('caseload data'!N:N,'caseload data'!$C:$C,'community %'!$B$15,'caseload data'!$D:$D,"TPO",'caseload data'!$B:$B,{"licence","community"}))/SUM(SUMIFS('caseload data'!N:N,'caseload data'!$B:$B,{"licence","community"},'caseload data'!$C:$C,'community %'!$B$15)),"")</f>
        <v/>
      </c>
      <c r="M19" s="167" t="str">
        <f>IFERROR(SUM(SUMIFS('caseload data'!O:O,'caseload data'!$C:$C,'community %'!$B$15,'caseload data'!$D:$D,"TPO",'caseload data'!$B:$B,{"licence","community"}))/SUM(SUMIFS('caseload data'!O:O,'caseload data'!$B:$B,{"licence","community"},'caseload data'!$C:$C,'community %'!$B$15)),"")</f>
        <v/>
      </c>
      <c r="N19" s="167" t="str">
        <f>IFERROR(SUM(SUMIFS('caseload data'!P:P,'caseload data'!$C:$C,'community %'!$B$15,'caseload data'!$D:$D,"TPO",'caseload data'!$B:$B,{"licence","community"}))/SUM(SUMIFS('caseload data'!P:P,'caseload data'!$B:$B,{"licence","community"},'caseload data'!$C:$C,'community %'!$B$15)),"")</f>
        <v/>
      </c>
      <c r="O19" s="167" t="str">
        <f>IFERROR(SUM(SUMIFS('caseload data'!Q:Q,'caseload data'!$C:$C,'community %'!$B$15,'caseload data'!$D:$D,"TPO",'caseload data'!$B:$B,{"licence","community"}))/SUM(SUMIFS('caseload data'!Q:Q,'caseload data'!$B:$B,{"licence","community"},'caseload data'!$C:$C,'community %'!$B$15)),"")</f>
        <v/>
      </c>
      <c r="P19" s="167" t="str">
        <f>IFERROR(SUM(SUMIFS('caseload data'!R:R,'caseload data'!$C:$C,'community %'!$B$15,'caseload data'!$D:$D,"TPO",'caseload data'!$B:$B,{"licence","community"}))/SUM(SUMIFS('caseload data'!R:R,'caseload data'!$B:$B,{"licence","community"},'caseload data'!$C:$C,'community %'!$B$15)),"")</f>
        <v/>
      </c>
      <c r="Q19" s="167" t="str">
        <f>IFERROR(SUM(SUMIFS('caseload data'!S:S,'caseload data'!$C:$C,'community %'!$B$15,'caseload data'!$D:$D,"TPO",'caseload data'!$B:$B,{"licence","community"}))/SUM(SUMIFS('caseload data'!S:S,'caseload data'!$B:$B,{"licence","community"},'caseload data'!$C:$C,'community %'!$B$15)),"")</f>
        <v/>
      </c>
      <c r="R19" s="167" t="str">
        <f>IFERROR(SUM(SUMIFS('caseload data'!T:T,'caseload data'!$C:$C,'community %'!$B$15,'caseload data'!$D:$D,"TPO",'caseload data'!$B:$B,{"licence","community"}))/SUM(SUMIFS('caseload data'!T:T,'caseload data'!$B:$B,{"licence","community"},'caseload data'!$C:$C,'community %'!$B$15)),"")</f>
        <v/>
      </c>
      <c r="S19" s="64"/>
      <c r="T19" s="97" t="s">
        <v>953</v>
      </c>
      <c r="U19" s="167" t="str">
        <f>IFERROR(SUM(SUMIFS('caseload data'!E:E,'caseload data'!$C:$C,'community %'!$T$15,'caseload data'!$D:$D,"TPO",'caseload data'!$B:$B,{"licence","community"}))/SUM(SUMIFS('caseload data'!E:E,'caseload data'!$B:$B,{"licence","community"},'caseload data'!$C:$C,'community %'!$T$15)),"")</f>
        <v/>
      </c>
      <c r="V19" s="167" t="str">
        <f>IFERROR(SUM(SUMIFS('caseload data'!F:F,'caseload data'!$C:$C,'community %'!$T$15,'caseload data'!$D:$D,"TPO",'caseload data'!$B:$B,{"licence","community"}))/SUM(SUMIFS('caseload data'!F:F,'caseload data'!$B:$B,{"licence","community"},'caseload data'!$C:$C,'community %'!$T$15)),"")</f>
        <v/>
      </c>
      <c r="W19" s="167" t="str">
        <f>IFERROR(SUM(SUMIFS('caseload data'!G:G,'caseload data'!$C:$C,'community %'!$T$15,'caseload data'!$D:$D,"TPO",'caseload data'!$B:$B,{"licence","community"}))/SUM(SUMIFS('caseload data'!G:G,'caseload data'!$B:$B,{"licence","community"},'caseload data'!$C:$C,'community %'!$T$15)),"")</f>
        <v/>
      </c>
      <c r="X19" s="167" t="str">
        <f>IFERROR(SUM(SUMIFS('caseload data'!H:H,'caseload data'!$C:$C,'community %'!$T$15,'caseload data'!$D:$D,"TPO",'caseload data'!$B:$B,{"licence","community"}))/SUM(SUMIFS('caseload data'!H:H,'caseload data'!$B:$B,{"licence","community"},'caseload data'!$C:$C,'community %'!$T$15)),"")</f>
        <v/>
      </c>
      <c r="Y19" s="167" t="str">
        <f>IFERROR(SUM(SUMIFS('caseload data'!I:I,'caseload data'!$C:$C,'community %'!$T$15,'caseload data'!$D:$D,"TPO",'caseload data'!$B:$B,{"licence","community"}))/SUM(SUMIFS('caseload data'!I:I,'caseload data'!$B:$B,{"licence","community"},'caseload data'!$C:$C,'community %'!$T$15)),"")</f>
        <v/>
      </c>
      <c r="Z19" s="167" t="str">
        <f>IFERROR(SUM(SUMIFS('caseload data'!J:J,'caseload data'!$C:$C,'community %'!$T$15,'caseload data'!$D:$D,"TPO",'caseload data'!$B:$B,{"licence","community"}))/SUM(SUMIFS('caseload data'!J:J,'caseload data'!$B:$B,{"licence","community"},'caseload data'!$C:$C,'community %'!$T$15)),"")</f>
        <v/>
      </c>
      <c r="AA19" s="167" t="str">
        <f>IFERROR(SUM(SUMIFS('caseload data'!K:K,'caseload data'!$C:$C,'community %'!$T$15,'caseload data'!$D:$D,"TPO",'caseload data'!$B:$B,{"licence","community"}))/SUM(SUMIFS('caseload data'!K:K,'caseload data'!$B:$B,{"licence","community"},'caseload data'!$C:$C,'community %'!$T$15)),"")</f>
        <v/>
      </c>
      <c r="AB19" s="167" t="str">
        <f>IFERROR(SUM(SUMIFS('caseload data'!L:L,'caseload data'!$C:$C,'community %'!$T$15,'caseload data'!$D:$D,"TPO",'caseload data'!$B:$B,{"licence","community"}))/SUM(SUMIFS('caseload data'!L:L,'caseload data'!$B:$B,{"licence","community"},'caseload data'!$C:$C,'community %'!$T$15)),"")</f>
        <v/>
      </c>
      <c r="AC19" s="167" t="str">
        <f>IFERROR(SUM(SUMIFS('caseload data'!M:M,'caseload data'!$C:$C,'community %'!$T$15,'caseload data'!$D:$D,"TPO",'caseload data'!$B:$B,{"licence","community"}))/SUM(SUMIFS('caseload data'!M:M,'caseload data'!$B:$B,{"licence","community"},'caseload data'!$C:$C,'community %'!$T$15)),"")</f>
        <v/>
      </c>
      <c r="AD19" s="167" t="str">
        <f>IFERROR(SUM(SUMIFS('caseload data'!N:N,'caseload data'!$C:$C,'community %'!$T$15,'caseload data'!$D:$D,"TPO",'caseload data'!$B:$B,{"licence","community"}))/SUM(SUMIFS('caseload data'!N:N,'caseload data'!$B:$B,{"licence","community"},'caseload data'!$C:$C,'community %'!$T$15)),"")</f>
        <v/>
      </c>
      <c r="AE19" s="167" t="str">
        <f>IFERROR(SUM(SUMIFS('caseload data'!O:O,'caseload data'!$C:$C,'community %'!$T$15,'caseload data'!$D:$D,"TPO",'caseload data'!$B:$B,{"licence","community"}))/SUM(SUMIFS('caseload data'!O:O,'caseload data'!$B:$B,{"licence","community"},'caseload data'!$C:$C,'community %'!$T$15)),"")</f>
        <v/>
      </c>
      <c r="AF19" s="167" t="str">
        <f>IFERROR(SUM(SUMIFS('caseload data'!P:P,'caseload data'!$C:$C,'community %'!$T$15,'caseload data'!$D:$D,"TPO",'caseload data'!$B:$B,{"licence","community"}))/SUM(SUMIFS('caseload data'!P:P,'caseload data'!$B:$B,{"licence","community"},'caseload data'!$C:$C,'community %'!$T$15)),"")</f>
        <v/>
      </c>
      <c r="AG19" s="167" t="str">
        <f>IFERROR(SUM(SUMIFS('caseload data'!Q:Q,'caseload data'!$C:$C,'community %'!$T$15,'caseload data'!$D:$D,"TPO",'caseload data'!$B:$B,{"licence","community"}))/SUM(SUMIFS('caseload data'!Q:Q,'caseload data'!$B:$B,{"licence","community"},'caseload data'!$C:$C,'community %'!$T$15)),"")</f>
        <v/>
      </c>
      <c r="AH19" s="167" t="str">
        <f>IFERROR(SUM(SUMIFS('caseload data'!R:R,'caseload data'!$C:$C,'community %'!$T$15,'caseload data'!$D:$D,"TPO",'caseload data'!$B:$B,{"licence","community"}))/SUM(SUMIFS('caseload data'!R:R,'caseload data'!$B:$B,{"licence","community"},'caseload data'!$C:$C,'community %'!$T$15)),"")</f>
        <v/>
      </c>
      <c r="AI19" s="167" t="str">
        <f>IFERROR(SUM(SUMIFS('caseload data'!S:S,'caseload data'!$C:$C,'community %'!$T$15,'caseload data'!$D:$D,"TPO",'caseload data'!$B:$B,{"licence","community"}))/SUM(SUMIFS('caseload data'!S:S,'caseload data'!$B:$B,{"licence","community"},'caseload data'!$C:$C,'community %'!$T$15)),"")</f>
        <v/>
      </c>
      <c r="AJ19" s="167" t="str">
        <f>IFERROR(SUM(SUMIFS('caseload data'!T:T,'caseload data'!$C:$C,'community %'!$T$15,'caseload data'!$D:$D,"TPO",'caseload data'!$B:$B,{"licence","community"}))/SUM(SUMIFS('caseload data'!T:T,'caseload data'!$B:$B,{"licence","community"},'caseload data'!$C:$C,'community %'!$T$15)),"")</f>
        <v/>
      </c>
    </row>
    <row r="20" spans="2:36" x14ac:dyDescent="0.15">
      <c r="B20" s="98" t="s">
        <v>954</v>
      </c>
      <c r="C20" s="167" t="str">
        <f>IFERROR(SUM(SUMIFS('caseload data'!E:E,'caseload data'!$C:$C,'community %'!$B$15,'caseload data'!$D:$D,"SPO",'caseload data'!$B:$B,{"licence","community"}))/SUM(SUMIFS('caseload data'!E:E,'caseload data'!$B:$B,{"licence","community"},'caseload data'!$C:$C,'community %'!$B$15)),"")</f>
        <v/>
      </c>
      <c r="D20" s="167" t="str">
        <f>IFERROR(SUM(SUMIFS('caseload data'!F:F,'caseload data'!$C:$C,'community %'!$B$15,'caseload data'!$D:$D,"SPO",'caseload data'!$B:$B,{"licence","community"}))/SUM(SUMIFS('caseload data'!F:F,'caseload data'!$B:$B,{"licence","community"},'caseload data'!$C:$C,'community %'!$B$15)),"")</f>
        <v/>
      </c>
      <c r="E20" s="167" t="str">
        <f>IFERROR(SUM(SUMIFS('caseload data'!G:G,'caseload data'!$C:$C,'community %'!$B$15,'caseload data'!$D:$D,"SPO",'caseload data'!$B:$B,{"licence","community"}))/SUM(SUMIFS('caseload data'!G:G,'caseload data'!$B:$B,{"licence","community"},'caseload data'!$C:$C,'community %'!$B$15)),"")</f>
        <v/>
      </c>
      <c r="F20" s="167" t="str">
        <f>IFERROR(SUM(SUMIFS('caseload data'!H:H,'caseload data'!$C:$C,'community %'!$B$15,'caseload data'!$D:$D,"SPO",'caseload data'!$B:$B,{"licence","community"}))/SUM(SUMIFS('caseload data'!H:H,'caseload data'!$B:$B,{"licence","community"},'caseload data'!$C:$C,'community %'!$B$15)),"")</f>
        <v/>
      </c>
      <c r="G20" s="167" t="str">
        <f>IFERROR(SUM(SUMIFS('caseload data'!I:I,'caseload data'!$C:$C,'community %'!$B$15,'caseload data'!$D:$D,"SPO",'caseload data'!$B:$B,{"licence","community"}))/SUM(SUMIFS('caseload data'!I:I,'caseload data'!$B:$B,{"licence","community"},'caseload data'!$C:$C,'community %'!$B$15)),"")</f>
        <v/>
      </c>
      <c r="H20" s="167" t="str">
        <f>IFERROR(SUM(SUMIFS('caseload data'!J:J,'caseload data'!$C:$C,'community %'!$B$15,'caseload data'!$D:$D,"SPO",'caseload data'!$B:$B,{"licence","community"}))/SUM(SUMIFS('caseload data'!J:J,'caseload data'!$B:$B,{"licence","community"},'caseload data'!$C:$C,'community %'!$B$15)),"")</f>
        <v/>
      </c>
      <c r="I20" s="167" t="str">
        <f>IFERROR(SUM(SUMIFS('caseload data'!K:K,'caseload data'!$C:$C,'community %'!$B$15,'caseload data'!$D:$D,"SPO",'caseload data'!$B:$B,{"licence","community"}))/SUM(SUMIFS('caseload data'!K:K,'caseload data'!$B:$B,{"licence","community"},'caseload data'!$C:$C,'community %'!$B$15)),"")</f>
        <v/>
      </c>
      <c r="J20" s="167" t="str">
        <f>IFERROR(SUM(SUMIFS('caseload data'!L:L,'caseload data'!$C:$C,'community %'!$B$15,'caseload data'!$D:$D,"SPO",'caseload data'!$B:$B,{"licence","community"}))/SUM(SUMIFS('caseload data'!L:L,'caseload data'!$B:$B,{"licence","community"},'caseload data'!$C:$C,'community %'!$B$15)),"")</f>
        <v/>
      </c>
      <c r="K20" s="167" t="str">
        <f>IFERROR(SUM(SUMIFS('caseload data'!M:M,'caseload data'!$C:$C,'community %'!$B$15,'caseload data'!$D:$D,"SPO",'caseload data'!$B:$B,{"licence","community"}))/SUM(SUMIFS('caseload data'!M:M,'caseload data'!$B:$B,{"licence","community"},'caseload data'!$C:$C,'community %'!$B$15)),"")</f>
        <v/>
      </c>
      <c r="L20" s="167" t="str">
        <f>IFERROR(SUM(SUMIFS('caseload data'!N:N,'caseload data'!$C:$C,'community %'!$B$15,'caseload data'!$D:$D,"SPO",'caseload data'!$B:$B,{"licence","community"}))/SUM(SUMIFS('caseload data'!N:N,'caseload data'!$B:$B,{"licence","community"},'caseload data'!$C:$C,'community %'!$B$15)),"")</f>
        <v/>
      </c>
      <c r="M20" s="167" t="str">
        <f>IFERROR(SUM(SUMIFS('caseload data'!O:O,'caseload data'!$C:$C,'community %'!$B$15,'caseload data'!$D:$D,"SPO",'caseload data'!$B:$B,{"licence","community"}))/SUM(SUMIFS('caseload data'!O:O,'caseload data'!$B:$B,{"licence","community"},'caseload data'!$C:$C,'community %'!$B$15)),"")</f>
        <v/>
      </c>
      <c r="N20" s="167" t="str">
        <f>IFERROR(SUM(SUMIFS('caseload data'!P:P,'caseload data'!$C:$C,'community %'!$B$15,'caseload data'!$D:$D,"SPO",'caseload data'!$B:$B,{"licence","community"}))/SUM(SUMIFS('caseload data'!P:P,'caseload data'!$B:$B,{"licence","community"},'caseload data'!$C:$C,'community %'!$B$15)),"")</f>
        <v/>
      </c>
      <c r="O20" s="167" t="str">
        <f>IFERROR(SUM(SUMIFS('caseload data'!Q:Q,'caseload data'!$C:$C,'community %'!$B$15,'caseload data'!$D:$D,"SPO",'caseload data'!$B:$B,{"licence","community"}))/SUM(SUMIFS('caseload data'!Q:Q,'caseload data'!$B:$B,{"licence","community"},'caseload data'!$C:$C,'community %'!$B$15)),"")</f>
        <v/>
      </c>
      <c r="P20" s="167" t="str">
        <f>IFERROR(SUM(SUMIFS('caseload data'!R:R,'caseload data'!$C:$C,'community %'!$B$15,'caseload data'!$D:$D,"SPO",'caseload data'!$B:$B,{"licence","community"}))/SUM(SUMIFS('caseload data'!R:R,'caseload data'!$B:$B,{"licence","community"},'caseload data'!$C:$C,'community %'!$B$15)),"")</f>
        <v/>
      </c>
      <c r="Q20" s="167" t="str">
        <f>IFERROR(SUM(SUMIFS('caseload data'!S:S,'caseload data'!$C:$C,'community %'!$B$15,'caseload data'!$D:$D,"SPO",'caseload data'!$B:$B,{"licence","community"}))/SUM(SUMIFS('caseload data'!S:S,'caseload data'!$B:$B,{"licence","community"},'caseload data'!$C:$C,'community %'!$B$15)),"")</f>
        <v/>
      </c>
      <c r="R20" s="167" t="str">
        <f>IFERROR(SUM(SUMIFS('caseload data'!T:T,'caseload data'!$C:$C,'community %'!$B$15,'caseload data'!$D:$D,"SPO",'caseload data'!$B:$B,{"licence","community"}))/SUM(SUMIFS('caseload data'!T:T,'caseload data'!$B:$B,{"licence","community"},'caseload data'!$C:$C,'community %'!$B$15)),"")</f>
        <v/>
      </c>
      <c r="S20" s="64"/>
      <c r="T20" s="98" t="s">
        <v>954</v>
      </c>
      <c r="U20" s="167" t="str">
        <f>IFERROR(SUM(SUMIFS('caseload data'!E:E,'caseload data'!$C:$C,'community %'!$T$15,'caseload data'!$D:$D,"SPO",'caseload data'!$B:$B,{"licence","community"}))/SUM(SUMIFS('caseload data'!E:E,'caseload data'!$B:$B,{"licence","community"},'caseload data'!$C:$C,'community %'!$T$15)),"")</f>
        <v/>
      </c>
      <c r="V20" s="167" t="str">
        <f>IFERROR(SUM(SUMIFS('caseload data'!F:F,'caseload data'!$C:$C,'community %'!$T$15,'caseload data'!$D:$D,"SPO",'caseload data'!$B:$B,{"licence","community"}))/SUM(SUMIFS('caseload data'!F:F,'caseload data'!$B:$B,{"licence","community"},'caseload data'!$C:$C,'community %'!$T$15)),"")</f>
        <v/>
      </c>
      <c r="W20" s="167" t="str">
        <f>IFERROR(SUM(SUMIFS('caseload data'!G:G,'caseload data'!$C:$C,'community %'!$T$15,'caseload data'!$D:$D,"SPO",'caseload data'!$B:$B,{"licence","community"}))/SUM(SUMIFS('caseload data'!G:G,'caseload data'!$B:$B,{"licence","community"},'caseload data'!$C:$C,'community %'!$T$15)),"")</f>
        <v/>
      </c>
      <c r="X20" s="167" t="str">
        <f>IFERROR(SUM(SUMIFS('caseload data'!H:H,'caseload data'!$C:$C,'community %'!$T$15,'caseload data'!$D:$D,"SPO",'caseload data'!$B:$B,{"licence","community"}))/SUM(SUMIFS('caseload data'!H:H,'caseload data'!$B:$B,{"licence","community"},'caseload data'!$C:$C,'community %'!$T$15)),"")</f>
        <v/>
      </c>
      <c r="Y20" s="167" t="str">
        <f>IFERROR(SUM(SUMIFS('caseload data'!I:I,'caseload data'!$C:$C,'community %'!$T$15,'caseload data'!$D:$D,"SPO",'caseload data'!$B:$B,{"licence","community"}))/SUM(SUMIFS('caseload data'!I:I,'caseload data'!$B:$B,{"licence","community"},'caseload data'!$C:$C,'community %'!$T$15)),"")</f>
        <v/>
      </c>
      <c r="Z20" s="167" t="str">
        <f>IFERROR(SUM(SUMIFS('caseload data'!J:J,'caseload data'!$C:$C,'community %'!$T$15,'caseload data'!$D:$D,"SPO",'caseload data'!$B:$B,{"licence","community"}))/SUM(SUMIFS('caseload data'!J:J,'caseload data'!$B:$B,{"licence","community"},'caseload data'!$C:$C,'community %'!$T$15)),"")</f>
        <v/>
      </c>
      <c r="AA20" s="167" t="str">
        <f>IFERROR(SUM(SUMIFS('caseload data'!K:K,'caseload data'!$C:$C,'community %'!$T$15,'caseload data'!$D:$D,"SPO",'caseload data'!$B:$B,{"licence","community"}))/SUM(SUMIFS('caseload data'!K:K,'caseload data'!$B:$B,{"licence","community"},'caseload data'!$C:$C,'community %'!$T$15)),"")</f>
        <v/>
      </c>
      <c r="AB20" s="167" t="str">
        <f>IFERROR(SUM(SUMIFS('caseload data'!L:L,'caseload data'!$C:$C,'community %'!$T$15,'caseload data'!$D:$D,"SPO",'caseload data'!$B:$B,{"licence","community"}))/SUM(SUMIFS('caseload data'!L:L,'caseload data'!$B:$B,{"licence","community"},'caseload data'!$C:$C,'community %'!$T$15)),"")</f>
        <v/>
      </c>
      <c r="AC20" s="167" t="str">
        <f>IFERROR(SUM(SUMIFS('caseload data'!M:M,'caseload data'!$C:$C,'community %'!$T$15,'caseload data'!$D:$D,"SPO",'caseload data'!$B:$B,{"licence","community"}))/SUM(SUMIFS('caseload data'!M:M,'caseload data'!$B:$B,{"licence","community"},'caseload data'!$C:$C,'community %'!$T$15)),"")</f>
        <v/>
      </c>
      <c r="AD20" s="167" t="str">
        <f>IFERROR(SUM(SUMIFS('caseload data'!N:N,'caseload data'!$C:$C,'community %'!$T$15,'caseload data'!$D:$D,"SPO",'caseload data'!$B:$B,{"licence","community"}))/SUM(SUMIFS('caseload data'!N:N,'caseload data'!$B:$B,{"licence","community"},'caseload data'!$C:$C,'community %'!$T$15)),"")</f>
        <v/>
      </c>
      <c r="AE20" s="167" t="str">
        <f>IFERROR(SUM(SUMIFS('caseload data'!O:O,'caseload data'!$C:$C,'community %'!$T$15,'caseload data'!$D:$D,"SPO",'caseload data'!$B:$B,{"licence","community"}))/SUM(SUMIFS('caseload data'!O:O,'caseload data'!$B:$B,{"licence","community"},'caseload data'!$C:$C,'community %'!$T$15)),"")</f>
        <v/>
      </c>
      <c r="AF20" s="167" t="str">
        <f>IFERROR(SUM(SUMIFS('caseload data'!P:P,'caseload data'!$C:$C,'community %'!$T$15,'caseload data'!$D:$D,"SPO",'caseload data'!$B:$B,{"licence","community"}))/SUM(SUMIFS('caseload data'!P:P,'caseload data'!$B:$B,{"licence","community"},'caseload data'!$C:$C,'community %'!$T$15)),"")</f>
        <v/>
      </c>
      <c r="AG20" s="167" t="str">
        <f>IFERROR(SUM(SUMIFS('caseload data'!Q:Q,'caseload data'!$C:$C,'community %'!$T$15,'caseload data'!$D:$D,"SPO",'caseload data'!$B:$B,{"licence","community"}))/SUM(SUMIFS('caseload data'!Q:Q,'caseload data'!$B:$B,{"licence","community"},'caseload data'!$C:$C,'community %'!$T$15)),"")</f>
        <v/>
      </c>
      <c r="AH20" s="167" t="str">
        <f>IFERROR(SUM(SUMIFS('caseload data'!R:R,'caseload data'!$C:$C,'community %'!$T$15,'caseload data'!$D:$D,"SPO",'caseload data'!$B:$B,{"licence","community"}))/SUM(SUMIFS('caseload data'!R:R,'caseload data'!$B:$B,{"licence","community"},'caseload data'!$C:$C,'community %'!$T$15)),"")</f>
        <v/>
      </c>
      <c r="AI20" s="167" t="str">
        <f>IFERROR(SUM(SUMIFS('caseload data'!S:S,'caseload data'!$C:$C,'community %'!$T$15,'caseload data'!$D:$D,"SPO",'caseload data'!$B:$B,{"licence","community"}))/SUM(SUMIFS('caseload data'!S:S,'caseload data'!$B:$B,{"licence","community"},'caseload data'!$C:$C,'community %'!$T$15)),"")</f>
        <v/>
      </c>
      <c r="AJ20" s="167" t="str">
        <f>IFERROR(SUM(SUMIFS('caseload data'!T:T,'caseload data'!$C:$C,'community %'!$T$15,'caseload data'!$D:$D,"SPO",'caseload data'!$B:$B,{"licence","community"}))/SUM(SUMIFS('caseload data'!T:T,'caseload data'!$B:$B,{"licence","community"},'caseload data'!$C:$C,'community %'!$T$15)),"")</f>
        <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26.25" customHeight="1" x14ac:dyDescent="0.15">
      <c r="B22" s="288" t="str">
        <f>HLOOKUP($B$5,Region_Table,6,0)</f>
        <v>Lincolnshire East and West - N53</v>
      </c>
      <c r="C22" s="540" t="s">
        <v>1081</v>
      </c>
      <c r="D22" s="541"/>
      <c r="E22" s="541"/>
      <c r="F22" s="541"/>
      <c r="G22" s="541"/>
      <c r="H22" s="541"/>
      <c r="I22" s="541"/>
      <c r="J22" s="541"/>
      <c r="K22" s="541"/>
      <c r="L22" s="541"/>
      <c r="M22" s="570"/>
      <c r="N22" s="570"/>
      <c r="O22" s="571"/>
      <c r="P22" s="543" cm="1">
        <f t="array" ref="P22">SUM(SUMIFS('caseload data'!V:V,'caseload data'!B:B,{"licence","community"},'caseload data'!$C:$C,B22))</f>
        <v>0</v>
      </c>
      <c r="Q22" s="560"/>
      <c r="R22" s="561"/>
      <c r="S22" s="64"/>
      <c r="T22" s="288" t="str">
        <f>HLOOKUP($B$5,Region_Table,7,0)</f>
        <v>Nottingham City</v>
      </c>
      <c r="U22" s="540" t="s">
        <v>1081</v>
      </c>
      <c r="V22" s="541"/>
      <c r="W22" s="541"/>
      <c r="X22" s="541"/>
      <c r="Y22" s="541"/>
      <c r="Z22" s="541"/>
      <c r="AA22" s="541"/>
      <c r="AB22" s="541"/>
      <c r="AC22" s="541"/>
      <c r="AD22" s="541"/>
      <c r="AE22" s="570"/>
      <c r="AF22" s="570"/>
      <c r="AG22" s="571"/>
      <c r="AH22" s="543" cm="1">
        <f t="array" ref="AH22">SUM(SUMIFS('caseload data'!V:V,'caseload data'!B:B,{"licence","community"},'caseload data'!$C:$C,T22))</f>
        <v>0</v>
      </c>
      <c r="AI22" s="560"/>
      <c r="AJ22" s="561"/>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167" t="str">
        <f>IFERROR(SUM(SUMIFS('caseload data'!E:E,'caseload data'!$C:$C,'community %'!$B$22,'caseload data'!$D:$D,"PO",'caseload data'!$B:$B,{"licence","community"}))/SUM(SUMIFS('caseload data'!E:E,'caseload data'!$B:$B,{"licence","community"},'caseload data'!$C:$C,'community %'!$B$22)),"")</f>
        <v/>
      </c>
      <c r="D24" s="167" t="str">
        <f>IFERROR(SUM(SUMIFS('caseload data'!F:F,'caseload data'!$C:$C,'community %'!$B$22,'caseload data'!$D:$D,"PO",'caseload data'!$B:$B,{"licence","community"}))/SUM(SUMIFS('caseload data'!F:F,'caseload data'!$B:$B,{"licence","community"},'caseload data'!$C:$C,'community %'!$B$22)),"")</f>
        <v/>
      </c>
      <c r="E24" s="167" t="str">
        <f>IFERROR(SUM(SUMIFS('caseload data'!G:G,'caseload data'!$C:$C,'community %'!$B$22,'caseload data'!$D:$D,"PO",'caseload data'!$B:$B,{"licence","community"}))/SUM(SUMIFS('caseload data'!G:G,'caseload data'!$B:$B,{"licence","community"},'caseload data'!$C:$C,'community %'!$B$22)),"")</f>
        <v/>
      </c>
      <c r="F24" s="167" t="str">
        <f>IFERROR(SUM(SUMIFS('caseload data'!H:H,'caseload data'!$C:$C,'community %'!$B$22,'caseload data'!$D:$D,"PO",'caseload data'!$B:$B,{"licence","community"}))/SUM(SUMIFS('caseload data'!H:H,'caseload data'!$B:$B,{"licence","community"},'caseload data'!$C:$C,'community %'!$B$22)),"")</f>
        <v/>
      </c>
      <c r="G24" s="167" t="str">
        <f>IFERROR(SUM(SUMIFS('caseload data'!I:I,'caseload data'!$C:$C,'community %'!$B$22,'caseload data'!$D:$D,"PO",'caseload data'!$B:$B,{"licence","community"}))/SUM(SUMIFS('caseload data'!I:I,'caseload data'!$B:$B,{"licence","community"},'caseload data'!$C:$C,'community %'!$B$22)),"")</f>
        <v/>
      </c>
      <c r="H24" s="167" t="str">
        <f>IFERROR(SUM(SUMIFS('caseload data'!J:J,'caseload data'!$C:$C,'community %'!$B$22,'caseload data'!$D:$D,"PO",'caseload data'!$B:$B,{"licence","community"}))/SUM(SUMIFS('caseload data'!J:J,'caseload data'!$B:$B,{"licence","community"},'caseload data'!$C:$C,'community %'!$B$22)),"")</f>
        <v/>
      </c>
      <c r="I24" s="167" t="str">
        <f>IFERROR(SUM(SUMIFS('caseload data'!K:K,'caseload data'!$C:$C,'community %'!$B$22,'caseload data'!$D:$D,"PO",'caseload data'!$B:$B,{"licence","community"}))/SUM(SUMIFS('caseload data'!K:K,'caseload data'!$B:$B,{"licence","community"},'caseload data'!$C:$C,'community %'!$B$22)),"")</f>
        <v/>
      </c>
      <c r="J24" s="167" t="str">
        <f>IFERROR(SUM(SUMIFS('caseload data'!L:L,'caseload data'!$C:$C,'community %'!$B$22,'caseload data'!$D:$D,"PO",'caseload data'!$B:$B,{"licence","community"}))/SUM(SUMIFS('caseload data'!L:L,'caseload data'!$B:$B,{"licence","community"},'caseload data'!$C:$C,'community %'!$B$22)),"")</f>
        <v/>
      </c>
      <c r="K24" s="167" t="str">
        <f>IFERROR(SUM(SUMIFS('caseload data'!M:M,'caseload data'!$C:$C,'community %'!$B$22,'caseload data'!$D:$D,"PO",'caseload data'!$B:$B,{"licence","community"}))/SUM(SUMIFS('caseload data'!M:M,'caseload data'!$B:$B,{"licence","community"},'caseload data'!$C:$C,'community %'!$B$22)),"")</f>
        <v/>
      </c>
      <c r="L24" s="167" t="str">
        <f>IFERROR(SUM(SUMIFS('caseload data'!N:N,'caseload data'!$C:$C,'community %'!$B$22,'caseload data'!$D:$D,"PO",'caseload data'!$B:$B,{"licence","community"}))/SUM(SUMIFS('caseload data'!N:N,'caseload data'!$B:$B,{"licence","community"},'caseload data'!$C:$C,'community %'!$B$22)),"")</f>
        <v/>
      </c>
      <c r="M24" s="167" t="str">
        <f>IFERROR(SUM(SUMIFS('caseload data'!O:O,'caseload data'!$C:$C,'community %'!$B$22,'caseload data'!$D:$D,"PO",'caseload data'!$B:$B,{"licence","community"}))/SUM(SUMIFS('caseload data'!O:O,'caseload data'!$B:$B,{"licence","community"},'caseload data'!$C:$C,'community %'!$B$22)),"")</f>
        <v/>
      </c>
      <c r="N24" s="167" t="str">
        <f>IFERROR(SUM(SUMIFS('caseload data'!P:P,'caseload data'!$C:$C,'community %'!$B$22,'caseload data'!$D:$D,"PO",'caseload data'!$B:$B,{"licence","community"}))/SUM(SUMIFS('caseload data'!P:P,'caseload data'!$B:$B,{"licence","community"},'caseload data'!$C:$C,'community %'!$B$22)),"")</f>
        <v/>
      </c>
      <c r="O24" s="167" t="str">
        <f>IFERROR(SUM(SUMIFS('caseload data'!Q:Q,'caseload data'!$C:$C,'community %'!$B$22,'caseload data'!$D:$D,"PO",'caseload data'!$B:$B,{"licence","community"}))/SUM(SUMIFS('caseload data'!Q:Q,'caseload data'!$B:$B,{"licence","community"},'caseload data'!$C:$C,'community %'!$B$22)),"")</f>
        <v/>
      </c>
      <c r="P24" s="167" t="str">
        <f>IFERROR(SUM(SUMIFS('caseload data'!R:R,'caseload data'!$C:$C,'community %'!$B$22,'caseload data'!$D:$D,"PO",'caseload data'!$B:$B,{"licence","community"}))/SUM(SUMIFS('caseload data'!R:R,'caseload data'!$B:$B,{"licence","community"},'caseload data'!$C:$C,'community %'!$B$22)),"")</f>
        <v/>
      </c>
      <c r="Q24" s="167" t="str">
        <f>IFERROR(SUM(SUMIFS('caseload data'!S:S,'caseload data'!$C:$C,'community %'!$B$22,'caseload data'!$D:$D,"PO",'caseload data'!$B:$B,{"licence","community"}))/SUM(SUMIFS('caseload data'!S:S,'caseload data'!$B:$B,{"licence","community"},'caseload data'!$C:$C,'community %'!$B$22)),"")</f>
        <v/>
      </c>
      <c r="R24" s="167" t="str">
        <f>IFERROR(SUM(SUMIFS('caseload data'!T:T,'caseload data'!$C:$C,'community %'!$B$22,'caseload data'!$D:$D,"PO",'caseload data'!$B:$B,{"licence","community"}))/SUM(SUMIFS('caseload data'!T:T,'caseload data'!$B:$B,{"licence","community"},'caseload data'!$C:$C,'community %'!$B$22)),"")</f>
        <v/>
      </c>
      <c r="S24" s="64"/>
      <c r="T24" s="96" t="s">
        <v>947</v>
      </c>
      <c r="U24" s="167" t="str">
        <f>IFERROR(SUM(SUMIFS('caseload data'!E:E,'caseload data'!$C:$C,'community %'!$T$22,'caseload data'!$D:$D,"PO",'caseload data'!$B:$B,{"licence","community"}))/SUM(SUMIFS('caseload data'!E:E,'caseload data'!$B:$B,{"licence","community"},'caseload data'!$C:$C,'community %'!$T$22)),"")</f>
        <v/>
      </c>
      <c r="V24" s="167" t="str">
        <f>IFERROR(SUM(SUMIFS('caseload data'!F:F,'caseload data'!$C:$C,'community %'!$T$22,'caseload data'!$D:$D,"PO",'caseload data'!$B:$B,{"licence","community"}))/SUM(SUMIFS('caseload data'!F:F,'caseload data'!$B:$B,{"licence","community"},'caseload data'!$C:$C,'community %'!$T$22)),"")</f>
        <v/>
      </c>
      <c r="W24" s="167" t="str">
        <f>IFERROR(SUM(SUMIFS('caseload data'!G:G,'caseload data'!$C:$C,'community %'!$T$22,'caseload data'!$D:$D,"PO",'caseload data'!$B:$B,{"licence","community"}))/SUM(SUMIFS('caseload data'!G:G,'caseload data'!$B:$B,{"licence","community"},'caseload data'!$C:$C,'community %'!$T$22)),"")</f>
        <v/>
      </c>
      <c r="X24" s="167" t="str">
        <f>IFERROR(SUM(SUMIFS('caseload data'!H:H,'caseload data'!$C:$C,'community %'!$T$22,'caseload data'!$D:$D,"PO",'caseload data'!$B:$B,{"licence","community"}))/SUM(SUMIFS('caseload data'!H:H,'caseload data'!$B:$B,{"licence","community"},'caseload data'!$C:$C,'community %'!$T$22)),"")</f>
        <v/>
      </c>
      <c r="Y24" s="167" t="str">
        <f>IFERROR(SUM(SUMIFS('caseload data'!I:I,'caseload data'!$C:$C,'community %'!$T$22,'caseload data'!$D:$D,"PO",'caseload data'!$B:$B,{"licence","community"}))/SUM(SUMIFS('caseload data'!I:I,'caseload data'!$B:$B,{"licence","community"},'caseload data'!$C:$C,'community %'!$T$22)),"")</f>
        <v/>
      </c>
      <c r="Z24" s="167" t="str">
        <f>IFERROR(SUM(SUMIFS('caseload data'!J:J,'caseload data'!$C:$C,'community %'!$T$22,'caseload data'!$D:$D,"PO",'caseload data'!$B:$B,{"licence","community"}))/SUM(SUMIFS('caseload data'!J:J,'caseload data'!$B:$B,{"licence","community"},'caseload data'!$C:$C,'community %'!$T$22)),"")</f>
        <v/>
      </c>
      <c r="AA24" s="167" t="str">
        <f>IFERROR(SUM(SUMIFS('caseload data'!K:K,'caseload data'!$C:$C,'community %'!$T$22,'caseload data'!$D:$D,"PO",'caseload data'!$B:$B,{"licence","community"}))/SUM(SUMIFS('caseload data'!K:K,'caseload data'!$B:$B,{"licence","community"},'caseload data'!$C:$C,'community %'!$T$22)),"")</f>
        <v/>
      </c>
      <c r="AB24" s="167" t="str">
        <f>IFERROR(SUM(SUMIFS('caseload data'!L:L,'caseload data'!$C:$C,'community %'!$T$22,'caseload data'!$D:$D,"PO",'caseload data'!$B:$B,{"licence","community"}))/SUM(SUMIFS('caseload data'!L:L,'caseload data'!$B:$B,{"licence","community"},'caseload data'!$C:$C,'community %'!$T$22)),"")</f>
        <v/>
      </c>
      <c r="AC24" s="167" t="str">
        <f>IFERROR(SUM(SUMIFS('caseload data'!M:M,'caseload data'!$C:$C,'community %'!$T$22,'caseload data'!$D:$D,"PO",'caseload data'!$B:$B,{"licence","community"}))/SUM(SUMIFS('caseload data'!M:M,'caseload data'!$B:$B,{"licence","community"},'caseload data'!$C:$C,'community %'!$T$22)),"")</f>
        <v/>
      </c>
      <c r="AD24" s="167" t="str">
        <f>IFERROR(SUM(SUMIFS('caseload data'!N:N,'caseload data'!$C:$C,'community %'!$T$22,'caseload data'!$D:$D,"PO",'caseload data'!$B:$B,{"licence","community"}))/SUM(SUMIFS('caseload data'!N:N,'caseload data'!$B:$B,{"licence","community"},'caseload data'!$C:$C,'community %'!$T$22)),"")</f>
        <v/>
      </c>
      <c r="AE24" s="167" t="str">
        <f>IFERROR(SUM(SUMIFS('caseload data'!O:O,'caseload data'!$C:$C,'community %'!$T$22,'caseload data'!$D:$D,"PO",'caseload data'!$B:$B,{"licence","community"}))/SUM(SUMIFS('caseload data'!O:O,'caseload data'!$B:$B,{"licence","community"},'caseload data'!$C:$C,'community %'!$T$22)),"")</f>
        <v/>
      </c>
      <c r="AF24" s="167" t="str">
        <f>IFERROR(SUM(SUMIFS('caseload data'!P:P,'caseload data'!$C:$C,'community %'!$T$22,'caseload data'!$D:$D,"PO",'caseload data'!$B:$B,{"licence","community"}))/SUM(SUMIFS('caseload data'!P:P,'caseload data'!$B:$B,{"licence","community"},'caseload data'!$C:$C,'community %'!$T$22)),"")</f>
        <v/>
      </c>
      <c r="AG24" s="167" t="str">
        <f>IFERROR(SUM(SUMIFS('caseload data'!Q:Q,'caseload data'!$C:$C,'community %'!$T$22,'caseload data'!$D:$D,"PO",'caseload data'!$B:$B,{"licence","community"}))/SUM(SUMIFS('caseload data'!Q:Q,'caseload data'!$B:$B,{"licence","community"},'caseload data'!$C:$C,'community %'!$T$22)),"")</f>
        <v/>
      </c>
      <c r="AH24" s="167" t="str">
        <f>IFERROR(SUM(SUMIFS('caseload data'!R:R,'caseload data'!$C:$C,'community %'!$T$22,'caseload data'!$D:$D,"PO",'caseload data'!$B:$B,{"licence","community"}))/SUM(SUMIFS('caseload data'!R:R,'caseload data'!$B:$B,{"licence","community"},'caseload data'!$C:$C,'community %'!$T$22)),"")</f>
        <v/>
      </c>
      <c r="AI24" s="167" t="str">
        <f>IFERROR(SUM(SUMIFS('caseload data'!S:S,'caseload data'!$C:$C,'community %'!$T$22,'caseload data'!$D:$D,"PO",'caseload data'!$B:$B,{"licence","community"}))/SUM(SUMIFS('caseload data'!S:S,'caseload data'!$B:$B,{"licence","community"},'caseload data'!$C:$C,'community %'!$T$22)),"")</f>
        <v/>
      </c>
      <c r="AJ24" s="167" t="str">
        <f>IFERROR(SUM(SUMIFS('caseload data'!T:T,'caseload data'!$C:$C,'community %'!$T$22,'caseload data'!$D:$D,"PO",'caseload data'!$B:$B,{"licence","community"}))/SUM(SUMIFS('caseload data'!T:T,'caseload data'!$B:$B,{"licence","community"},'caseload data'!$C:$C,'community %'!$T$22)),"")</f>
        <v/>
      </c>
    </row>
    <row r="25" spans="2:36" x14ac:dyDescent="0.15">
      <c r="B25" s="97" t="s">
        <v>952</v>
      </c>
      <c r="C25" s="167" t="str">
        <f>IFERROR(SUM(SUMIFS('caseload data'!E:E,'caseload data'!$C:$C,'community %'!$B$22,'caseload data'!$D:$D,"PSO",'caseload data'!$B:$B,{"licence","community"}))/SUM(SUMIFS('caseload data'!E:E,'caseload data'!$B:$B,{"licence","community"},'caseload data'!$C:$C,'community %'!$B$22)),"")</f>
        <v/>
      </c>
      <c r="D25" s="167" t="str">
        <f>IFERROR(SUM(SUMIFS('caseload data'!F:F,'caseload data'!$C:$C,'community %'!$B$22,'caseload data'!$D:$D,"PSO",'caseload data'!$B:$B,{"licence","community"}))/SUM(SUMIFS('caseload data'!F:F,'caseload data'!$B:$B,{"licence","community"},'caseload data'!$C:$C,'community %'!$B$22)),"")</f>
        <v/>
      </c>
      <c r="E25" s="167" t="str">
        <f>IFERROR(SUM(SUMIFS('caseload data'!G:G,'caseload data'!$C:$C,'community %'!$B$22,'caseload data'!$D:$D,"PSO",'caseload data'!$B:$B,{"licence","community"}))/SUM(SUMIFS('caseload data'!G:G,'caseload data'!$B:$B,{"licence","community"},'caseload data'!$C:$C,'community %'!$B$22)),"")</f>
        <v/>
      </c>
      <c r="F25" s="167" t="str">
        <f>IFERROR(SUM(SUMIFS('caseload data'!H:H,'caseload data'!$C:$C,'community %'!$B$22,'caseload data'!$D:$D,"PSO",'caseload data'!$B:$B,{"licence","community"}))/SUM(SUMIFS('caseload data'!H:H,'caseload data'!$B:$B,{"licence","community"},'caseload data'!$C:$C,'community %'!$B$22)),"")</f>
        <v/>
      </c>
      <c r="G25" s="167" t="str">
        <f>IFERROR(SUM(SUMIFS('caseload data'!I:I,'caseload data'!$C:$C,'community %'!$B$22,'caseload data'!$D:$D,"PSO",'caseload data'!$B:$B,{"licence","community"}))/SUM(SUMIFS('caseload data'!I:I,'caseload data'!$B:$B,{"licence","community"},'caseload data'!$C:$C,'community %'!$B$22)),"")</f>
        <v/>
      </c>
      <c r="H25" s="167" t="str">
        <f>IFERROR(SUM(SUMIFS('caseload data'!J:J,'caseload data'!$C:$C,'community %'!$B$22,'caseload data'!$D:$D,"PSO",'caseload data'!$B:$B,{"licence","community"}))/SUM(SUMIFS('caseload data'!J:J,'caseload data'!$B:$B,{"licence","community"},'caseload data'!$C:$C,'community %'!$B$22)),"")</f>
        <v/>
      </c>
      <c r="I25" s="167" t="str">
        <f>IFERROR(SUM(SUMIFS('caseload data'!K:K,'caseload data'!$C:$C,'community %'!$B$22,'caseload data'!$D:$D,"PSO",'caseload data'!$B:$B,{"licence","community"}))/SUM(SUMIFS('caseload data'!K:K,'caseload data'!$B:$B,{"licence","community"},'caseload data'!$C:$C,'community %'!$B$22)),"")</f>
        <v/>
      </c>
      <c r="J25" s="167" t="str">
        <f>IFERROR(SUM(SUMIFS('caseload data'!L:L,'caseload data'!$C:$C,'community %'!$B$22,'caseload data'!$D:$D,"PSO",'caseload data'!$B:$B,{"licence","community"}))/SUM(SUMIFS('caseload data'!L:L,'caseload data'!$B:$B,{"licence","community"},'caseload data'!$C:$C,'community %'!$B$22)),"")</f>
        <v/>
      </c>
      <c r="K25" s="167" t="str">
        <f>IFERROR(SUM(SUMIFS('caseload data'!M:M,'caseload data'!$C:$C,'community %'!$B$22,'caseload data'!$D:$D,"PSO",'caseload data'!$B:$B,{"licence","community"}))/SUM(SUMIFS('caseload data'!M:M,'caseload data'!$B:$B,{"licence","community"},'caseload data'!$C:$C,'community %'!$B$22)),"")</f>
        <v/>
      </c>
      <c r="L25" s="167" t="str">
        <f>IFERROR(SUM(SUMIFS('caseload data'!N:N,'caseload data'!$C:$C,'community %'!$B$22,'caseload data'!$D:$D,"PSO",'caseload data'!$B:$B,{"licence","community"}))/SUM(SUMIFS('caseload data'!N:N,'caseload data'!$B:$B,{"licence","community"},'caseload data'!$C:$C,'community %'!$B$22)),"")</f>
        <v/>
      </c>
      <c r="M25" s="167" t="str">
        <f>IFERROR(SUM(SUMIFS('caseload data'!O:O,'caseload data'!$C:$C,'community %'!$B$22,'caseload data'!$D:$D,"PSO",'caseload data'!$B:$B,{"licence","community"}))/SUM(SUMIFS('caseload data'!O:O,'caseload data'!$B:$B,{"licence","community"},'caseload data'!$C:$C,'community %'!$B$22)),"")</f>
        <v/>
      </c>
      <c r="N25" s="167" t="str">
        <f>IFERROR(SUM(SUMIFS('caseload data'!P:P,'caseload data'!$C:$C,'community %'!$B$22,'caseload data'!$D:$D,"PSO",'caseload data'!$B:$B,{"licence","community"}))/SUM(SUMIFS('caseload data'!P:P,'caseload data'!$B:$B,{"licence","community"},'caseload data'!$C:$C,'community %'!$B$22)),"")</f>
        <v/>
      </c>
      <c r="O25" s="167" t="str">
        <f>IFERROR(SUM(SUMIFS('caseload data'!Q:Q,'caseload data'!$C:$C,'community %'!$B$22,'caseload data'!$D:$D,"PSO",'caseload data'!$B:$B,{"licence","community"}))/SUM(SUMIFS('caseload data'!Q:Q,'caseload data'!$B:$B,{"licence","community"},'caseload data'!$C:$C,'community %'!$B$22)),"")</f>
        <v/>
      </c>
      <c r="P25" s="167" t="str">
        <f>IFERROR(SUM(SUMIFS('caseload data'!R:R,'caseload data'!$C:$C,'community %'!$B$22,'caseload data'!$D:$D,"PSO",'caseload data'!$B:$B,{"licence","community"}))/SUM(SUMIFS('caseload data'!R:R,'caseload data'!$B:$B,{"licence","community"},'caseload data'!$C:$C,'community %'!$B$22)),"")</f>
        <v/>
      </c>
      <c r="Q25" s="167" t="str">
        <f>IFERROR(SUM(SUMIFS('caseload data'!S:S,'caseload data'!$C:$C,'community %'!$B$22,'caseload data'!$D:$D,"PSO",'caseload data'!$B:$B,{"licence","community"}))/SUM(SUMIFS('caseload data'!S:S,'caseload data'!$B:$B,{"licence","community"},'caseload data'!$C:$C,'community %'!$B$22)),"")</f>
        <v/>
      </c>
      <c r="R25" s="167" t="str">
        <f>IFERROR(SUM(SUMIFS('caseload data'!T:T,'caseload data'!$C:$C,'community %'!$B$22,'caseload data'!$D:$D,"PSO",'caseload data'!$B:$B,{"licence","community"}))/SUM(SUMIFS('caseload data'!T:T,'caseload data'!$B:$B,{"licence","community"},'caseload data'!$C:$C,'community %'!$B$22)),"")</f>
        <v/>
      </c>
      <c r="S25" s="64"/>
      <c r="T25" s="97" t="s">
        <v>952</v>
      </c>
      <c r="U25" s="167" t="str">
        <f>IFERROR(SUM(SUMIFS('caseload data'!E:E,'caseload data'!$C:$C,'community %'!$T$22,'caseload data'!$D:$D,"PSO",'caseload data'!$B:$B,{"licence","community"}))/SUM(SUMIFS('caseload data'!E:E,'caseload data'!$B:$B,{"licence","community"},'caseload data'!$C:$C,'community %'!$T$22)),"")</f>
        <v/>
      </c>
      <c r="V25" s="167" t="str">
        <f>IFERROR(SUM(SUMIFS('caseload data'!F:F,'caseload data'!$C:$C,'community %'!$T$22,'caseload data'!$D:$D,"PSO",'caseload data'!$B:$B,{"licence","community"}))/SUM(SUMIFS('caseload data'!F:F,'caseload data'!$B:$B,{"licence","community"},'caseload data'!$C:$C,'community %'!$T$22)),"")</f>
        <v/>
      </c>
      <c r="W25" s="167" t="str">
        <f>IFERROR(SUM(SUMIFS('caseload data'!G:G,'caseload data'!$C:$C,'community %'!$T$22,'caseload data'!$D:$D,"PSO",'caseload data'!$B:$B,{"licence","community"}))/SUM(SUMIFS('caseload data'!G:G,'caseload data'!$B:$B,{"licence","community"},'caseload data'!$C:$C,'community %'!$T$22)),"")</f>
        <v/>
      </c>
      <c r="X25" s="167" t="str">
        <f>IFERROR(SUM(SUMIFS('caseload data'!H:H,'caseload data'!$C:$C,'community %'!$T$22,'caseload data'!$D:$D,"PSO",'caseload data'!$B:$B,{"licence","community"}))/SUM(SUMIFS('caseload data'!H:H,'caseload data'!$B:$B,{"licence","community"},'caseload data'!$C:$C,'community %'!$T$22)),"")</f>
        <v/>
      </c>
      <c r="Y25" s="167" t="str">
        <f>IFERROR(SUM(SUMIFS('caseload data'!I:I,'caseload data'!$C:$C,'community %'!$T$22,'caseload data'!$D:$D,"PSO",'caseload data'!$B:$B,{"licence","community"}))/SUM(SUMIFS('caseload data'!I:I,'caseload data'!$B:$B,{"licence","community"},'caseload data'!$C:$C,'community %'!$T$22)),"")</f>
        <v/>
      </c>
      <c r="Z25" s="167" t="str">
        <f>IFERROR(SUM(SUMIFS('caseload data'!J:J,'caseload data'!$C:$C,'community %'!$T$22,'caseload data'!$D:$D,"PSO",'caseload data'!$B:$B,{"licence","community"}))/SUM(SUMIFS('caseload data'!J:J,'caseload data'!$B:$B,{"licence","community"},'caseload data'!$C:$C,'community %'!$T$22)),"")</f>
        <v/>
      </c>
      <c r="AA25" s="167" t="str">
        <f>IFERROR(SUM(SUMIFS('caseload data'!K:K,'caseload data'!$C:$C,'community %'!$T$22,'caseload data'!$D:$D,"PSO",'caseload data'!$B:$B,{"licence","community"}))/SUM(SUMIFS('caseload data'!K:K,'caseload data'!$B:$B,{"licence","community"},'caseload data'!$C:$C,'community %'!$T$22)),"")</f>
        <v/>
      </c>
      <c r="AB25" s="167" t="str">
        <f>IFERROR(SUM(SUMIFS('caseload data'!L:L,'caseload data'!$C:$C,'community %'!$T$22,'caseload data'!$D:$D,"PSO",'caseload data'!$B:$B,{"licence","community"}))/SUM(SUMIFS('caseload data'!L:L,'caseload data'!$B:$B,{"licence","community"},'caseload data'!$C:$C,'community %'!$T$22)),"")</f>
        <v/>
      </c>
      <c r="AC25" s="167" t="str">
        <f>IFERROR(SUM(SUMIFS('caseload data'!M:M,'caseload data'!$C:$C,'community %'!$T$22,'caseload data'!$D:$D,"PSO",'caseload data'!$B:$B,{"licence","community"}))/SUM(SUMIFS('caseload data'!M:M,'caseload data'!$B:$B,{"licence","community"},'caseload data'!$C:$C,'community %'!$T$22)),"")</f>
        <v/>
      </c>
      <c r="AD25" s="167" t="str">
        <f>IFERROR(SUM(SUMIFS('caseload data'!N:N,'caseload data'!$C:$C,'community %'!$T$22,'caseload data'!$D:$D,"PSO",'caseload data'!$B:$B,{"licence","community"}))/SUM(SUMIFS('caseload data'!N:N,'caseload data'!$B:$B,{"licence","community"},'caseload data'!$C:$C,'community %'!$T$22)),"")</f>
        <v/>
      </c>
      <c r="AE25" s="167" t="str">
        <f>IFERROR(SUM(SUMIFS('caseload data'!O:O,'caseload data'!$C:$C,'community %'!$T$22,'caseload data'!$D:$D,"PSO",'caseload data'!$B:$B,{"licence","community"}))/SUM(SUMIFS('caseload data'!O:O,'caseload data'!$B:$B,{"licence","community"},'caseload data'!$C:$C,'community %'!$T$22)),"")</f>
        <v/>
      </c>
      <c r="AF25" s="167" t="str">
        <f>IFERROR(SUM(SUMIFS('caseload data'!P:P,'caseload data'!$C:$C,'community %'!$T$22,'caseload data'!$D:$D,"PSO",'caseload data'!$B:$B,{"licence","community"}))/SUM(SUMIFS('caseload data'!P:P,'caseload data'!$B:$B,{"licence","community"},'caseload data'!$C:$C,'community %'!$T$22)),"")</f>
        <v/>
      </c>
      <c r="AG25" s="167" t="str">
        <f>IFERROR(SUM(SUMIFS('caseload data'!Q:Q,'caseload data'!$C:$C,'community %'!$T$22,'caseload data'!$D:$D,"PSO",'caseload data'!$B:$B,{"licence","community"}))/SUM(SUMIFS('caseload data'!Q:Q,'caseload data'!$B:$B,{"licence","community"},'caseload data'!$C:$C,'community %'!$T$22)),"")</f>
        <v/>
      </c>
      <c r="AH25" s="167" t="str">
        <f>IFERROR(SUM(SUMIFS('caseload data'!R:R,'caseload data'!$C:$C,'community %'!$T$22,'caseload data'!$D:$D,"PSO",'caseload data'!$B:$B,{"licence","community"}))/SUM(SUMIFS('caseload data'!R:R,'caseload data'!$B:$B,{"licence","community"},'caseload data'!$C:$C,'community %'!$T$22)),"")</f>
        <v/>
      </c>
      <c r="AI25" s="167" t="str">
        <f>IFERROR(SUM(SUMIFS('caseload data'!S:S,'caseload data'!$C:$C,'community %'!$T$22,'caseload data'!$D:$D,"PSO",'caseload data'!$B:$B,{"licence","community"}))/SUM(SUMIFS('caseload data'!S:S,'caseload data'!$B:$B,{"licence","community"},'caseload data'!$C:$C,'community %'!$T$22)),"")</f>
        <v/>
      </c>
      <c r="AJ25" s="167" t="str">
        <f>IFERROR(SUM(SUMIFS('caseload data'!T:T,'caseload data'!$C:$C,'community %'!$T$22,'caseload data'!$D:$D,"PSO",'caseload data'!$B:$B,{"licence","community"}))/SUM(SUMIFS('caseload data'!T:T,'caseload data'!$B:$B,{"licence","community"},'caseload data'!$C:$C,'community %'!$T$22)),"")</f>
        <v/>
      </c>
    </row>
    <row r="26" spans="2:36" x14ac:dyDescent="0.15">
      <c r="B26" s="97" t="s">
        <v>953</v>
      </c>
      <c r="C26" s="167" t="str">
        <f>IFERROR(SUM(SUMIFS('caseload data'!E:E,'caseload data'!$C:$C,'community %'!$B$22,'caseload data'!$D:$D,"TPO",'caseload data'!$B:$B,{"licence","community"}))/SUM(SUMIFS('caseload data'!E:E,'caseload data'!$B:$B,{"licence","community"},'caseload data'!$C:$C,'community %'!$B$22)),"")</f>
        <v/>
      </c>
      <c r="D26" s="167" t="str">
        <f>IFERROR(SUM(SUMIFS('caseload data'!F:F,'caseload data'!$C:$C,'community %'!$B$22,'caseload data'!$D:$D,"TPO",'caseload data'!$B:$B,{"licence","community"}))/SUM(SUMIFS('caseload data'!F:F,'caseload data'!$B:$B,{"licence","community"},'caseload data'!$C:$C,'community %'!$B$22)),"")</f>
        <v/>
      </c>
      <c r="E26" s="167" t="str">
        <f>IFERROR(SUM(SUMIFS('caseload data'!G:G,'caseload data'!$C:$C,'community %'!$B$22,'caseload data'!$D:$D,"TPO",'caseload data'!$B:$B,{"licence","community"}))/SUM(SUMIFS('caseload data'!G:G,'caseload data'!$B:$B,{"licence","community"},'caseload data'!$C:$C,'community %'!$B$22)),"")</f>
        <v/>
      </c>
      <c r="F26" s="167" t="str">
        <f>IFERROR(SUM(SUMIFS('caseload data'!H:H,'caseload data'!$C:$C,'community %'!$B$22,'caseload data'!$D:$D,"TPO",'caseload data'!$B:$B,{"licence","community"}))/SUM(SUMIFS('caseload data'!H:H,'caseload data'!$B:$B,{"licence","community"},'caseload data'!$C:$C,'community %'!$B$22)),"")</f>
        <v/>
      </c>
      <c r="G26" s="167" t="str">
        <f>IFERROR(SUM(SUMIFS('caseload data'!I:I,'caseload data'!$C:$C,'community %'!$B$22,'caseload data'!$D:$D,"TPO",'caseload data'!$B:$B,{"licence","community"}))/SUM(SUMIFS('caseload data'!I:I,'caseload data'!$B:$B,{"licence","community"},'caseload data'!$C:$C,'community %'!$B$22)),"")</f>
        <v/>
      </c>
      <c r="H26" s="167" t="str">
        <f>IFERROR(SUM(SUMIFS('caseload data'!J:J,'caseload data'!$C:$C,'community %'!$B$22,'caseload data'!$D:$D,"TPO",'caseload data'!$B:$B,{"licence","community"}))/SUM(SUMIFS('caseload data'!J:J,'caseload data'!$B:$B,{"licence","community"},'caseload data'!$C:$C,'community %'!$B$22)),"")</f>
        <v/>
      </c>
      <c r="I26" s="167" t="str">
        <f>IFERROR(SUM(SUMIFS('caseload data'!K:K,'caseload data'!$C:$C,'community %'!$B$22,'caseload data'!$D:$D,"TPO",'caseload data'!$B:$B,{"licence","community"}))/SUM(SUMIFS('caseload data'!K:K,'caseload data'!$B:$B,{"licence","community"},'caseload data'!$C:$C,'community %'!$B$22)),"")</f>
        <v/>
      </c>
      <c r="J26" s="167" t="str">
        <f>IFERROR(SUM(SUMIFS('caseload data'!L:L,'caseload data'!$C:$C,'community %'!$B$22,'caseload data'!$D:$D,"TPO",'caseload data'!$B:$B,{"licence","community"}))/SUM(SUMIFS('caseload data'!L:L,'caseload data'!$B:$B,{"licence","community"},'caseload data'!$C:$C,'community %'!$B$22)),"")</f>
        <v/>
      </c>
      <c r="K26" s="167" t="str">
        <f>IFERROR(SUM(SUMIFS('caseload data'!M:M,'caseload data'!$C:$C,'community %'!$B$22,'caseload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 data'!N:N,'caseload data'!$B:$B,{"licence","community"},'caseload data'!$C:$C,'community %'!$B$22)),"")</f>
        <v/>
      </c>
      <c r="M26" s="167" t="str">
        <f>IFERROR(SUM(SUMIFS('caseload data'!O:O,'caseload data'!$C:$C,'community %'!$B$22,'caseload data'!$D:$D,"TPO",'caseload data'!$B:$B,{"licence","community"}))/SUM(SUMIFS('caseload data'!O:O,'caseload data'!$B:$B,{"licence","community"},'caseload data'!$C:$C,'community %'!$B$22)),"")</f>
        <v/>
      </c>
      <c r="N26" s="167" t="str">
        <f>IFERROR(SUM(SUMIFS('caseload data'!P:P,'caseload data'!$C:$C,'community %'!$B$22,'caseload data'!$D:$D,"TPO",'caseload data'!$B:$B,{"licence","community"}))/SUM(SUMIFS('caseload data'!P:P,'caseload data'!$B:$B,{"licence","community"},'caseload data'!$C:$C,'community %'!$B$22)),"")</f>
        <v/>
      </c>
      <c r="O26" s="167" t="str">
        <f>IFERROR(SUM(SUMIFS('caseload data'!Q:Q,'caseload data'!$C:$C,'community %'!$B$22,'caseload data'!$D:$D,"TPO",'caseload data'!$B:$B,{"licence","community"}))/SUM(SUMIFS('caseload data'!Q:Q,'caseload data'!$B:$B,{"licence","community"},'caseload data'!$C:$C,'community %'!$B$22)),"")</f>
        <v/>
      </c>
      <c r="P26" s="167" t="str">
        <f>IFERROR(SUM(SUMIFS('caseload data'!R:R,'caseload data'!$C:$C,'community %'!$B$22,'caseload data'!$D:$D,"TPO",'caseload data'!$B:$B,{"licence","community"}))/SUM(SUMIFS('caseload data'!R:R,'caseload data'!$B:$B,{"licence","community"},'caseload data'!$C:$C,'community %'!$B$22)),"")</f>
        <v/>
      </c>
      <c r="Q26" s="167" t="str">
        <f>IFERROR(SUM(SUMIFS('caseload data'!S:S,'caseload data'!$C:$C,'community %'!$B$22,'caseload data'!$D:$D,"TPO",'caseload data'!$B:$B,{"licence","community"}))/SUM(SUMIFS('caseload data'!S:S,'caseload data'!$B:$B,{"licence","community"},'caseload data'!$C:$C,'community %'!$B$22)),"")</f>
        <v/>
      </c>
      <c r="R26" s="167" t="str">
        <f>IFERROR(SUM(SUMIFS('caseload data'!T:T,'caseload data'!$C:$C,'community %'!$B$22,'caseload data'!$D:$D,"TPO",'caseload data'!$B:$B,{"licence","community"}))/SUM(SUMIFS('caseload data'!T:T,'caseload data'!$B:$B,{"licence","community"},'caseload data'!$C:$C,'community %'!$B$22)),"")</f>
        <v/>
      </c>
      <c r="S26" s="64"/>
      <c r="T26" s="97" t="s">
        <v>953</v>
      </c>
      <c r="U26" s="167" t="str">
        <f>IFERROR(SUM(SUMIFS('caseload data'!E:E,'caseload data'!$C:$C,'community %'!$T$22,'caseload data'!$D:$D,"TPO",'caseload data'!$B:$B,{"licence","community"}))/SUM(SUMIFS('caseload data'!E:E,'caseload data'!$B:$B,{"licence","community"},'caseload data'!$C:$C,'community %'!$T$22)),"")</f>
        <v/>
      </c>
      <c r="V26" s="167" t="str">
        <f>IFERROR(SUM(SUMIFS('caseload data'!F:F,'caseload data'!$C:$C,'community %'!$T$22,'caseload data'!$D:$D,"TPO",'caseload data'!$B:$B,{"licence","community"}))/SUM(SUMIFS('caseload data'!F:F,'caseload data'!$B:$B,{"licence","community"},'caseload data'!$C:$C,'community %'!$T$22)),"")</f>
        <v/>
      </c>
      <c r="W26" s="167" t="str">
        <f>IFERROR(SUM(SUMIFS('caseload data'!G:G,'caseload data'!$C:$C,'community %'!$T$22,'caseload data'!$D:$D,"TPO",'caseload data'!$B:$B,{"licence","community"}))/SUM(SUMIFS('caseload data'!G:G,'caseload data'!$B:$B,{"licence","community"},'caseload data'!$C:$C,'community %'!$T$22)),"")</f>
        <v/>
      </c>
      <c r="X26" s="167" t="str">
        <f>IFERROR(SUM(SUMIFS('caseload data'!H:H,'caseload data'!$C:$C,'community %'!$T$22,'caseload data'!$D:$D,"TPO",'caseload data'!$B:$B,{"licence","community"}))/SUM(SUMIFS('caseload data'!H:H,'caseload data'!$B:$B,{"licence","community"},'caseload data'!$C:$C,'community %'!$T$22)),"")</f>
        <v/>
      </c>
      <c r="Y26" s="167" t="str">
        <f>IFERROR(SUM(SUMIFS('caseload data'!I:I,'caseload data'!$C:$C,'community %'!$T$22,'caseload data'!$D:$D,"TPO",'caseload data'!$B:$B,{"licence","community"}))/SUM(SUMIFS('caseload data'!I:I,'caseload data'!$B:$B,{"licence","community"},'caseload data'!$C:$C,'community %'!$T$22)),"")</f>
        <v/>
      </c>
      <c r="Z26" s="167" t="str">
        <f>IFERROR(SUM(SUMIFS('caseload data'!J:J,'caseload data'!$C:$C,'community %'!$T$22,'caseload data'!$D:$D,"TPO",'caseload data'!$B:$B,{"licence","community"}))/SUM(SUMIFS('caseload data'!J:J,'caseload data'!$B:$B,{"licence","community"},'caseload data'!$C:$C,'community %'!$T$22)),"")</f>
        <v/>
      </c>
      <c r="AA26" s="167" t="str">
        <f>IFERROR(SUM(SUMIFS('caseload data'!K:K,'caseload data'!$C:$C,'community %'!$T$22,'caseload data'!$D:$D,"TPO",'caseload data'!$B:$B,{"licence","community"}))/SUM(SUMIFS('caseload data'!K:K,'caseload data'!$B:$B,{"licence","community"},'caseload data'!$C:$C,'community %'!$T$22)),"")</f>
        <v/>
      </c>
      <c r="AB26" s="167" t="str">
        <f>IFERROR(SUM(SUMIFS('caseload data'!L:L,'caseload data'!$C:$C,'community %'!$T$22,'caseload data'!$D:$D,"TPO",'caseload data'!$B:$B,{"licence","community"}))/SUM(SUMIFS('caseload data'!L:L,'caseload data'!$B:$B,{"licence","community"},'caseload data'!$C:$C,'community %'!$T$22)),"")</f>
        <v/>
      </c>
      <c r="AC26" s="167" t="str">
        <f>IFERROR(SUM(SUMIFS('caseload data'!M:M,'caseload data'!$C:$C,'community %'!$T$22,'caseload data'!$D:$D,"TPO",'caseload data'!$B:$B,{"licence","community"}))/SUM(SUMIFS('caseload data'!M:M,'caseload data'!$B:$B,{"licence","community"},'caseload data'!$C:$C,'community %'!$T$22)),"")</f>
        <v/>
      </c>
      <c r="AD26" s="167" t="str">
        <f>IFERROR(SUM(SUMIFS('caseload data'!N:N,'caseload data'!$C:$C,'community %'!$T$22,'caseload data'!$D:$D,"TPO",'caseload data'!$B:$B,{"licence","community"}))/SUM(SUMIFS('caseload data'!N:N,'caseload data'!$B:$B,{"licence","community"},'caseload data'!$C:$C,'community %'!$T$22)),"")</f>
        <v/>
      </c>
      <c r="AE26" s="167" t="str">
        <f>IFERROR(SUM(SUMIFS('caseload data'!O:O,'caseload data'!$C:$C,'community %'!$T$22,'caseload data'!$D:$D,"TPO",'caseload data'!$B:$B,{"licence","community"}))/SUM(SUMIFS('caseload data'!O:O,'caseload data'!$B:$B,{"licence","community"},'caseload data'!$C:$C,'community %'!$T$22)),"")</f>
        <v/>
      </c>
      <c r="AF26" s="167" t="str">
        <f>IFERROR(SUM(SUMIFS('caseload data'!P:P,'caseload data'!$C:$C,'community %'!$T$22,'caseload data'!$D:$D,"TPO",'caseload data'!$B:$B,{"licence","community"}))/SUM(SUMIFS('caseload data'!P:P,'caseload data'!$B:$B,{"licence","community"},'caseload data'!$C:$C,'community %'!$T$22)),"")</f>
        <v/>
      </c>
      <c r="AG26" s="167" t="str">
        <f>IFERROR(SUM(SUMIFS('caseload data'!Q:Q,'caseload data'!$C:$C,'community %'!$T$22,'caseload data'!$D:$D,"TPO",'caseload data'!$B:$B,{"licence","community"}))/SUM(SUMIFS('caseload data'!Q:Q,'caseload data'!$B:$B,{"licence","community"},'caseload data'!$C:$C,'community %'!$T$22)),"")</f>
        <v/>
      </c>
      <c r="AH26" s="167" t="str">
        <f>IFERROR(SUM(SUMIFS('caseload data'!R:R,'caseload data'!$C:$C,'community %'!$T$22,'caseload data'!$D:$D,"TPO",'caseload data'!$B:$B,{"licence","community"}))/SUM(SUMIFS('caseload data'!R:R,'caseload data'!$B:$B,{"licence","community"},'caseload data'!$C:$C,'community %'!$T$22)),"")</f>
        <v/>
      </c>
      <c r="AI26" s="167" t="str">
        <f>IFERROR(SUM(SUMIFS('caseload data'!S:S,'caseload data'!$C:$C,'community %'!$T$22,'caseload data'!$D:$D,"TPO",'caseload data'!$B:$B,{"licence","community"}))/SUM(SUMIFS('caseload data'!S:S,'caseload data'!$B:$B,{"licence","community"},'caseload data'!$C:$C,'community %'!$T$22)),"")</f>
        <v/>
      </c>
      <c r="AJ26" s="167" t="str">
        <f>IFERROR(SUM(SUMIFS('caseload data'!T:T,'caseload data'!$C:$C,'community %'!$T$22,'caseload data'!$D:$D,"TPO",'caseload data'!$B:$B,{"licence","community"}))/SUM(SUMIFS('caseload data'!T:T,'caseload data'!$B:$B,{"licence","community"},'caseload data'!$C:$C,'community %'!$T$22)),"")</f>
        <v/>
      </c>
    </row>
    <row r="27" spans="2:36" x14ac:dyDescent="0.15">
      <c r="B27" s="98" t="s">
        <v>954</v>
      </c>
      <c r="C27" s="167" t="str">
        <f>IFERROR(SUM(SUMIFS('caseload data'!E:E,'caseload data'!$C:$C,'community %'!$B$22,'caseload data'!$D:$D,"SPO",'caseload data'!$B:$B,{"licence","community"}))/SUM(SUMIFS('caseload data'!E:E,'caseload data'!$B:$B,{"licence","community"},'caseload data'!$C:$C,'community %'!$B$22)),"")</f>
        <v/>
      </c>
      <c r="D27" s="167" t="str">
        <f>IFERROR(SUM(SUMIFS('caseload data'!F:F,'caseload data'!$C:$C,'community %'!$B$22,'caseload data'!$D:$D,"SPO",'caseload data'!$B:$B,{"licence","community"}))/SUM(SUMIFS('caseload data'!F:F,'caseload data'!$B:$B,{"licence","community"},'caseload data'!$C:$C,'community %'!$B$22)),"")</f>
        <v/>
      </c>
      <c r="E27" s="167" t="str">
        <f>IFERROR(SUM(SUMIFS('caseload data'!G:G,'caseload data'!$C:$C,'community %'!$B$22,'caseload data'!$D:$D,"SPO",'caseload data'!$B:$B,{"licence","community"}))/SUM(SUMIFS('caseload data'!G:G,'caseload data'!$B:$B,{"licence","community"},'caseload data'!$C:$C,'community %'!$B$22)),"")</f>
        <v/>
      </c>
      <c r="F27" s="167" t="str">
        <f>IFERROR(SUM(SUMIFS('caseload data'!H:H,'caseload data'!$C:$C,'community %'!$B$22,'caseload data'!$D:$D,"SPO",'caseload data'!$B:$B,{"licence","community"}))/SUM(SUMIFS('caseload data'!H:H,'caseload data'!$B:$B,{"licence","community"},'caseload data'!$C:$C,'community %'!$B$22)),"")</f>
        <v/>
      </c>
      <c r="G27" s="167" t="str">
        <f>IFERROR(SUM(SUMIFS('caseload data'!I:I,'caseload data'!$C:$C,'community %'!$B$22,'caseload data'!$D:$D,"SPO",'caseload data'!$B:$B,{"licence","community"}))/SUM(SUMIFS('caseload data'!I:I,'caseload data'!$B:$B,{"licence","community"},'caseload data'!$C:$C,'community %'!$B$22)),"")</f>
        <v/>
      </c>
      <c r="H27" s="167" t="str">
        <f>IFERROR(SUM(SUMIFS('caseload data'!J:J,'caseload data'!$C:$C,'community %'!$B$22,'caseload data'!$D:$D,"SPO",'caseload data'!$B:$B,{"licence","community"}))/SUM(SUMIFS('caseload data'!J:J,'caseload data'!$B:$B,{"licence","community"},'caseload data'!$C:$C,'community %'!$B$22)),"")</f>
        <v/>
      </c>
      <c r="I27" s="167" t="str">
        <f>IFERROR(SUM(SUMIFS('caseload data'!K:K,'caseload data'!$C:$C,'community %'!$B$22,'caseload data'!$D:$D,"SPO",'caseload data'!$B:$B,{"licence","community"}))/SUM(SUMIFS('caseload data'!K:K,'caseload data'!$B:$B,{"licence","community"},'caseload data'!$C:$C,'community %'!$B$22)),"")</f>
        <v/>
      </c>
      <c r="J27" s="167" t="str">
        <f>IFERROR(SUM(SUMIFS('caseload data'!L:L,'caseload data'!$C:$C,'community %'!$B$22,'caseload data'!$D:$D,"SPO",'caseload data'!$B:$B,{"licence","community"}))/SUM(SUMIFS('caseload data'!L:L,'caseload data'!$B:$B,{"licence","community"},'caseload data'!$C:$C,'community %'!$B$22)),"")</f>
        <v/>
      </c>
      <c r="K27" s="167" t="str">
        <f>IFERROR(SUM(SUMIFS('caseload data'!M:M,'caseload data'!$C:$C,'community %'!$B$22,'caseload data'!$D:$D,"SPO",'caseload data'!$B:$B,{"licence","community"}))/SUM(SUMIFS('caseload data'!M:M,'caseload data'!$B:$B,{"licence","community"},'caseload data'!$C:$C,'community %'!$B$22)),"")</f>
        <v/>
      </c>
      <c r="L27" s="167" t="str">
        <f>IFERROR(SUM(SUMIFS('caseload data'!N:N,'caseload data'!$C:$C,'community %'!$B$22,'caseload data'!$D:$D,"SPO",'caseload data'!$B:$B,{"licence","community"}))/SUM(SUMIFS('caseload data'!N:N,'caseload data'!$B:$B,{"licence","community"},'caseload data'!$C:$C,'community %'!$B$22)),"")</f>
        <v/>
      </c>
      <c r="M27" s="167" t="str">
        <f>IFERROR(SUM(SUMIFS('caseload data'!O:O,'caseload data'!$C:$C,'community %'!$B$22,'caseload data'!$D:$D,"SPO",'caseload data'!$B:$B,{"licence","community"}))/SUM(SUMIFS('caseload data'!O:O,'caseload data'!$B:$B,{"licence","community"},'caseload data'!$C:$C,'community %'!$B$22)),"")</f>
        <v/>
      </c>
      <c r="N27" s="167" t="str">
        <f>IFERROR(SUM(SUMIFS('caseload data'!P:P,'caseload data'!$C:$C,'community %'!$B$22,'caseload data'!$D:$D,"SPO",'caseload data'!$B:$B,{"licence","community"}))/SUM(SUMIFS('caseload data'!P:P,'caseload data'!$B:$B,{"licence","community"},'caseload data'!$C:$C,'community %'!$B$22)),"")</f>
        <v/>
      </c>
      <c r="O27" s="167" t="str">
        <f>IFERROR(SUM(SUMIFS('caseload data'!Q:Q,'caseload data'!$C:$C,'community %'!$B$22,'caseload data'!$D:$D,"SPO",'caseload data'!$B:$B,{"licence","community"}))/SUM(SUMIFS('caseload data'!Q:Q,'caseload data'!$B:$B,{"licence","community"},'caseload data'!$C:$C,'community %'!$B$22)),"")</f>
        <v/>
      </c>
      <c r="P27" s="167" t="str">
        <f>IFERROR(SUM(SUMIFS('caseload data'!R:R,'caseload data'!$C:$C,'community %'!$B$22,'caseload data'!$D:$D,"SPO",'caseload data'!$B:$B,{"licence","community"}))/SUM(SUMIFS('caseload data'!R:R,'caseload data'!$B:$B,{"licence","community"},'caseload data'!$C:$C,'community %'!$B$22)),"")</f>
        <v/>
      </c>
      <c r="Q27" s="167" t="str">
        <f>IFERROR(SUM(SUMIFS('caseload data'!S:S,'caseload data'!$C:$C,'community %'!$B$22,'caseload data'!$D:$D,"SPO",'caseload data'!$B:$B,{"licence","community"}))/SUM(SUMIFS('caseload data'!S:S,'caseload data'!$B:$B,{"licence","community"},'caseload data'!$C:$C,'community %'!$B$22)),"")</f>
        <v/>
      </c>
      <c r="R27" s="167" t="str">
        <f>IFERROR(SUM(SUMIFS('caseload data'!T:T,'caseload data'!$C:$C,'community %'!$B$22,'caseload data'!$D:$D,"SPO",'caseload data'!$B:$B,{"licence","community"}))/SUM(SUMIFS('caseload data'!T:T,'caseload data'!$B:$B,{"licence","community"},'caseload data'!$C:$C,'community %'!$B$22)),"")</f>
        <v/>
      </c>
      <c r="S27" s="64"/>
      <c r="T27" s="98" t="s">
        <v>954</v>
      </c>
      <c r="U27" s="167" t="str">
        <f>IFERROR(SUM(SUMIFS('caseload data'!E:E,'caseload data'!$C:$C,'community %'!$T$22,'caseload data'!$D:$D,"SPO",'caseload data'!$B:$B,{"licence","community"}))/SUM(SUMIFS('caseload data'!E:E,'caseload data'!$B:$B,{"licence","community"},'caseload data'!$C:$C,'community %'!$T$22)),"")</f>
        <v/>
      </c>
      <c r="V27" s="167" t="str">
        <f>IFERROR(SUM(SUMIFS('caseload data'!F:F,'caseload data'!$C:$C,'community %'!$T$22,'caseload data'!$D:$D,"SPO",'caseload data'!$B:$B,{"licence","community"}))/SUM(SUMIFS('caseload data'!F:F,'caseload data'!$B:$B,{"licence","community"},'caseload data'!$C:$C,'community %'!$T$22)),"")</f>
        <v/>
      </c>
      <c r="W27" s="167" t="str">
        <f>IFERROR(SUM(SUMIFS('caseload data'!G:G,'caseload data'!$C:$C,'community %'!$T$22,'caseload data'!$D:$D,"SPO",'caseload data'!$B:$B,{"licence","community"}))/SUM(SUMIFS('caseload data'!G:G,'caseload data'!$B:$B,{"licence","community"},'caseload data'!$C:$C,'community %'!$T$22)),"")</f>
        <v/>
      </c>
      <c r="X27" s="167" t="str">
        <f>IFERROR(SUM(SUMIFS('caseload data'!H:H,'caseload data'!$C:$C,'community %'!$T$22,'caseload data'!$D:$D,"SPO",'caseload data'!$B:$B,{"licence","community"}))/SUM(SUMIFS('caseload data'!H:H,'caseload data'!$B:$B,{"licence","community"},'caseload data'!$C:$C,'community %'!$T$22)),"")</f>
        <v/>
      </c>
      <c r="Y27" s="167" t="str">
        <f>IFERROR(SUM(SUMIFS('caseload data'!I:I,'caseload data'!$C:$C,'community %'!$T$22,'caseload data'!$D:$D,"SPO",'caseload data'!$B:$B,{"licence","community"}))/SUM(SUMIFS('caseload data'!I:I,'caseload data'!$B:$B,{"licence","community"},'caseload data'!$C:$C,'community %'!$T$22)),"")</f>
        <v/>
      </c>
      <c r="Z27" s="167" t="str">
        <f>IFERROR(SUM(SUMIFS('caseload data'!J:J,'caseload data'!$C:$C,'community %'!$T$22,'caseload data'!$D:$D,"SPO",'caseload data'!$B:$B,{"licence","community"}))/SUM(SUMIFS('caseload data'!J:J,'caseload data'!$B:$B,{"licence","community"},'caseload data'!$C:$C,'community %'!$T$22)),"")</f>
        <v/>
      </c>
      <c r="AA27" s="167" t="str">
        <f>IFERROR(SUM(SUMIFS('caseload data'!K:K,'caseload data'!$C:$C,'community %'!$T$22,'caseload data'!$D:$D,"SPO",'caseload data'!$B:$B,{"licence","community"}))/SUM(SUMIFS('caseload data'!K:K,'caseload data'!$B:$B,{"licence","community"},'caseload data'!$C:$C,'community %'!$T$22)),"")</f>
        <v/>
      </c>
      <c r="AB27" s="167" t="str">
        <f>IFERROR(SUM(SUMIFS('caseload data'!L:L,'caseload data'!$C:$C,'community %'!$T$22,'caseload data'!$D:$D,"SPO",'caseload data'!$B:$B,{"licence","community"}))/SUM(SUMIFS('caseload data'!L:L,'caseload data'!$B:$B,{"licence","community"},'caseload data'!$C:$C,'community %'!$T$22)),"")</f>
        <v/>
      </c>
      <c r="AC27" s="167" t="str">
        <f>IFERROR(SUM(SUMIFS('caseload data'!M:M,'caseload data'!$C:$C,'community %'!$T$22,'caseload data'!$D:$D,"SPO",'caseload data'!$B:$B,{"licence","community"}))/SUM(SUMIFS('caseload data'!M:M,'caseload data'!$B:$B,{"licence","community"},'caseload data'!$C:$C,'community %'!$T$22)),"")</f>
        <v/>
      </c>
      <c r="AD27" s="167" t="str">
        <f>IFERROR(SUM(SUMIFS('caseload data'!N:N,'caseload data'!$C:$C,'community %'!$T$22,'caseload data'!$D:$D,"SPO",'caseload data'!$B:$B,{"licence","community"}))/SUM(SUMIFS('caseload data'!N:N,'caseload data'!$B:$B,{"licence","community"},'caseload data'!$C:$C,'community %'!$T$22)),"")</f>
        <v/>
      </c>
      <c r="AE27" s="167" t="str">
        <f>IFERROR(SUM(SUMIFS('caseload data'!O:O,'caseload data'!$C:$C,'community %'!$T$22,'caseload data'!$D:$D,"SPO",'caseload data'!$B:$B,{"licence","community"}))/SUM(SUMIFS('caseload data'!O:O,'caseload data'!$B:$B,{"licence","community"},'caseload data'!$C:$C,'community %'!$T$22)),"")</f>
        <v/>
      </c>
      <c r="AF27" s="167" t="str">
        <f>IFERROR(SUM(SUMIFS('caseload data'!P:P,'caseload data'!$C:$C,'community %'!$T$22,'caseload data'!$D:$D,"SPO",'caseload data'!$B:$B,{"licence","community"}))/SUM(SUMIFS('caseload data'!P:P,'caseload data'!$B:$B,{"licence","community"},'caseload data'!$C:$C,'community %'!$T$22)),"")</f>
        <v/>
      </c>
      <c r="AG27" s="167" t="str">
        <f>IFERROR(SUM(SUMIFS('caseload data'!Q:Q,'caseload data'!$C:$C,'community %'!$T$22,'caseload data'!$D:$D,"SPO",'caseload data'!$B:$B,{"licence","community"}))/SUM(SUMIFS('caseload data'!Q:Q,'caseload data'!$B:$B,{"licence","community"},'caseload data'!$C:$C,'community %'!$T$22)),"")</f>
        <v/>
      </c>
      <c r="AH27" s="167" t="str">
        <f>IFERROR(SUM(SUMIFS('caseload data'!R:R,'caseload data'!$C:$C,'community %'!$T$22,'caseload data'!$D:$D,"SPO",'caseload data'!$B:$B,{"licence","community"}))/SUM(SUMIFS('caseload data'!R:R,'caseload data'!$B:$B,{"licence","community"},'caseload data'!$C:$C,'community %'!$T$22)),"")</f>
        <v/>
      </c>
      <c r="AI27" s="167" t="str">
        <f>IFERROR(SUM(SUMIFS('caseload data'!S:S,'caseload data'!$C:$C,'community %'!$T$22,'caseload data'!$D:$D,"SPO",'caseload data'!$B:$B,{"licence","community"}))/SUM(SUMIFS('caseload data'!S:S,'caseload data'!$B:$B,{"licence","community"},'caseload data'!$C:$C,'community %'!$T$22)),"")</f>
        <v/>
      </c>
      <c r="AJ27" s="167" t="str">
        <f>IFERROR(SUM(SUMIFS('caseload data'!T:T,'caseload data'!$C:$C,'community %'!$T$22,'caseload data'!$D:$D,"SPO",'caseload data'!$B:$B,{"licence","community"}))/SUM(SUMIFS('caseload data'!T:T,'caseload data'!$B:$B,{"licence","community"},'caseload data'!$C:$C,'community %'!$T$22)),"")</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7.75" customHeight="1" x14ac:dyDescent="0.15">
      <c r="B29" s="288" t="str">
        <f>HLOOKUP($B$5,Region_Table,8,0)</f>
        <v>Nottinghamshire - N53</v>
      </c>
      <c r="C29" s="540" t="s">
        <v>1081</v>
      </c>
      <c r="D29" s="541"/>
      <c r="E29" s="541"/>
      <c r="F29" s="541"/>
      <c r="G29" s="541"/>
      <c r="H29" s="541"/>
      <c r="I29" s="541"/>
      <c r="J29" s="541"/>
      <c r="K29" s="541"/>
      <c r="L29" s="541"/>
      <c r="M29" s="570"/>
      <c r="N29" s="570"/>
      <c r="O29" s="571"/>
      <c r="P29" s="543" cm="1">
        <f t="array" ref="P29">SUM(SUMIFS('caseload data'!V:V,'caseload data'!B:B,{"licence","community"},'caseload data'!$C:$C,B29))</f>
        <v>0</v>
      </c>
      <c r="Q29" s="560"/>
      <c r="R29" s="561"/>
      <c r="S29" s="64"/>
      <c r="T29" s="288" t="str">
        <f>HLOOKUP($B$5,Region_Table,9,0)</f>
        <v>Unpaid Work and Attendance Centres - N53</v>
      </c>
      <c r="U29" s="540" t="s">
        <v>1081</v>
      </c>
      <c r="V29" s="541"/>
      <c r="W29" s="541"/>
      <c r="X29" s="541"/>
      <c r="Y29" s="541"/>
      <c r="Z29" s="541"/>
      <c r="AA29" s="541"/>
      <c r="AB29" s="541"/>
      <c r="AC29" s="541"/>
      <c r="AD29" s="541"/>
      <c r="AE29" s="570"/>
      <c r="AF29" s="570"/>
      <c r="AG29" s="571"/>
      <c r="AH29" s="543" cm="1">
        <f t="array" ref="AH29">SUM(SUMIFS('caseload data'!V:V,'caseload data'!B:B,{"licence","community"},'caseload data'!$C:$C,T29))</f>
        <v>0</v>
      </c>
      <c r="AI29" s="560"/>
      <c r="AJ29" s="561"/>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167" t="str">
        <f>IFERROR(SUM(SUMIFS('caseload data'!E:E,'caseload data'!$C:$C,'community %'!$B$29,'caseload data'!$D:$D,"PO",'caseload data'!$B:$B,{"licence","community"}))/SUM(SUMIFS('caseload data'!E:E,'caseload data'!$B:$B,{"licence","community"},'caseload data'!$C:$C,'community %'!$B$29)),"")</f>
        <v/>
      </c>
      <c r="D31" s="167" t="str">
        <f>IFERROR(SUM(SUMIFS('caseload data'!F:F,'caseload data'!$C:$C,'community %'!$B$29,'caseload data'!$D:$D,"PO",'caseload data'!$B:$B,{"licence","community"}))/SUM(SUMIFS('caseload data'!F:F,'caseload data'!$B:$B,{"licence","community"},'caseload data'!$C:$C,'community %'!$B$29)),"")</f>
        <v/>
      </c>
      <c r="E31" s="167" t="str">
        <f>IFERROR(SUM(SUMIFS('caseload data'!G:G,'caseload data'!$C:$C,'community %'!$B$29,'caseload data'!$D:$D,"PO",'caseload data'!$B:$B,{"licence","community"}))/SUM(SUMIFS('caseload data'!G:G,'caseload data'!$B:$B,{"licence","community"},'caseload data'!$C:$C,'community %'!$B$29)),"")</f>
        <v/>
      </c>
      <c r="F31" s="167" t="str">
        <f>IFERROR(SUM(SUMIFS('caseload data'!H:H,'caseload data'!$C:$C,'community %'!$B$29,'caseload data'!$D:$D,"PO",'caseload data'!$B:$B,{"licence","community"}))/SUM(SUMIFS('caseload data'!H:H,'caseload data'!$B:$B,{"licence","community"},'caseload data'!$C:$C,'community %'!$B$29)),"")</f>
        <v/>
      </c>
      <c r="G31" s="167" t="str">
        <f>IFERROR(SUM(SUMIFS('caseload data'!I:I,'caseload data'!$C:$C,'community %'!$B$29,'caseload data'!$D:$D,"PO",'caseload data'!$B:$B,{"licence","community"}))/SUM(SUMIFS('caseload data'!I:I,'caseload data'!$B:$B,{"licence","community"},'caseload data'!$C:$C,'community %'!$B$29)),"")</f>
        <v/>
      </c>
      <c r="H31" s="167" t="str">
        <f>IFERROR(SUM(SUMIFS('caseload data'!J:J,'caseload data'!$C:$C,'community %'!$B$29,'caseload data'!$D:$D,"PO",'caseload data'!$B:$B,{"licence","community"}))/SUM(SUMIFS('caseload data'!J:J,'caseload data'!$B:$B,{"licence","community"},'caseload data'!$C:$C,'community %'!$B$29)),"")</f>
        <v/>
      </c>
      <c r="I31" s="167" t="str">
        <f>IFERROR(SUM(SUMIFS('caseload data'!K:K,'caseload data'!$C:$C,'community %'!$B$29,'caseload data'!$D:$D,"PO",'caseload data'!$B:$B,{"licence","community"}))/SUM(SUMIFS('caseload data'!K:K,'caseload data'!$B:$B,{"licence","community"},'caseload data'!$C:$C,'community %'!$B$29)),"")</f>
        <v/>
      </c>
      <c r="J31" s="167" t="str">
        <f>IFERROR(SUM(SUMIFS('caseload data'!L:L,'caseload data'!$C:$C,'community %'!$B$29,'caseload data'!$D:$D,"PO",'caseload data'!$B:$B,{"licence","community"}))/SUM(SUMIFS('caseload data'!L:L,'caseload data'!$B:$B,{"licence","community"},'caseload data'!$C:$C,'community %'!$B$29)),"")</f>
        <v/>
      </c>
      <c r="K31" s="167" t="str">
        <f>IFERROR(SUM(SUMIFS('caseload data'!M:M,'caseload data'!$C:$C,'community %'!$B$29,'caseload data'!$D:$D,"PO",'caseload data'!$B:$B,{"licence","community"}))/SUM(SUMIFS('caseload data'!M:M,'caseload data'!$B:$B,{"licence","community"},'caseload data'!$C:$C,'community %'!$B$29)),"")</f>
        <v/>
      </c>
      <c r="L31" s="167" t="str">
        <f>IFERROR(SUM(SUMIFS('caseload data'!N:N,'caseload data'!$C:$C,'community %'!$B$29,'caseload data'!$D:$D,"PO",'caseload data'!$B:$B,{"licence","community"}))/SUM(SUMIFS('caseload data'!N:N,'caseload data'!$B:$B,{"licence","community"},'caseload data'!$C:$C,'community %'!$B$29)),"")</f>
        <v/>
      </c>
      <c r="M31" s="167" t="str">
        <f>IFERROR(SUM(SUMIFS('caseload data'!O:O,'caseload data'!$C:$C,'community %'!$B$29,'caseload data'!$D:$D,"PO",'caseload data'!$B:$B,{"licence","community"}))/SUM(SUMIFS('caseload data'!O:O,'caseload data'!$B:$B,{"licence","community"},'caseload data'!$C:$C,'community %'!$B$29)),"")</f>
        <v/>
      </c>
      <c r="N31" s="167" t="str">
        <f>IFERROR(SUM(SUMIFS('caseload data'!P:P,'caseload data'!$C:$C,'community %'!$B$29,'caseload data'!$D:$D,"PO",'caseload data'!$B:$B,{"licence","community"}))/SUM(SUMIFS('caseload data'!P:P,'caseload data'!$B:$B,{"licence","community"},'caseload data'!$C:$C,'community %'!$B$29)),"")</f>
        <v/>
      </c>
      <c r="O31" s="167" t="str">
        <f>IFERROR(SUM(SUMIFS('caseload data'!Q:Q,'caseload data'!$C:$C,'community %'!$B$29,'caseload data'!$D:$D,"PO",'caseload data'!$B:$B,{"licence","community"}))/SUM(SUMIFS('caseload data'!Q:Q,'caseload data'!$B:$B,{"licence","community"},'caseload data'!$C:$C,'community %'!$B$29)),"")</f>
        <v/>
      </c>
      <c r="P31" s="167" t="str">
        <f>IFERROR(SUM(SUMIFS('caseload data'!R:R,'caseload data'!$C:$C,'community %'!$B$29,'caseload data'!$D:$D,"PO",'caseload data'!$B:$B,{"licence","community"}))/SUM(SUMIFS('caseload data'!R:R,'caseload data'!$B:$B,{"licence","community"},'caseload data'!$C:$C,'community %'!$B$29)),"")</f>
        <v/>
      </c>
      <c r="Q31" s="167" t="str">
        <f>IFERROR(SUM(SUMIFS('caseload data'!S:S,'caseload data'!$C:$C,'community %'!$B$29,'caseload data'!$D:$D,"PO",'caseload data'!$B:$B,{"licence","community"}))/SUM(SUMIFS('caseload data'!S:S,'caseload data'!$B:$B,{"licence","community"},'caseload data'!$C:$C,'community %'!$B$29)),"")</f>
        <v/>
      </c>
      <c r="R31" s="167" t="str">
        <f>IFERROR(SUM(SUMIFS('caseload data'!T:T,'caseload data'!$C:$C,'community %'!$B$29,'caseload data'!$D:$D,"PO",'caseload data'!$B:$B,{"licence","community"}))/SUM(SUMIFS('caseload data'!T:T,'caseload data'!$B:$B,{"licence","community"},'caseload data'!$C:$C,'community %'!$B$29)),"")</f>
        <v/>
      </c>
      <c r="S31" s="64"/>
      <c r="T31" s="96" t="s">
        <v>947</v>
      </c>
      <c r="U31" s="167" t="str">
        <f>IFERROR(SUM(SUMIFS('caseload data'!E:E,'caseload data'!$C:$C,'community %'!$T$29,'caseload data'!$D:$D,"PO",'caseload data'!$B:$B,{"licence","community"}))/SUM(SUMIFS('caseload data'!E:E,'caseload data'!$B:$B,{"licence","community"},'caseload data'!$C:$C,'community %'!$T$29)),"")</f>
        <v/>
      </c>
      <c r="V31" s="167" t="str">
        <f>IFERROR(SUM(SUMIFS('caseload data'!F:F,'caseload data'!$C:$C,'community %'!$T$29,'caseload data'!$D:$D,"PO",'caseload data'!$B:$B,{"licence","community"}))/SUM(SUMIFS('caseload data'!F:F,'caseload data'!$B:$B,{"licence","community"},'caseload data'!$C:$C,'community %'!$T$29)),"")</f>
        <v/>
      </c>
      <c r="W31" s="167" t="str">
        <f>IFERROR(SUM(SUMIFS('caseload data'!G:G,'caseload data'!$C:$C,'community %'!$T$29,'caseload data'!$D:$D,"PO",'caseload data'!$B:$B,{"licence","community"}))/SUM(SUMIFS('caseload data'!G:G,'caseload data'!$B:$B,{"licence","community"},'caseload data'!$C:$C,'community %'!$T$29)),"")</f>
        <v/>
      </c>
      <c r="X31" s="167" t="str">
        <f>IFERROR(SUM(SUMIFS('caseload data'!H:H,'caseload data'!$C:$C,'community %'!$T$29,'caseload data'!$D:$D,"PO",'caseload data'!$B:$B,{"licence","community"}))/SUM(SUMIFS('caseload data'!H:H,'caseload data'!$B:$B,{"licence","community"},'caseload data'!$C:$C,'community %'!$T$29)),"")</f>
        <v/>
      </c>
      <c r="Y31" s="167" t="str">
        <f>IFERROR(SUM(SUMIFS('caseload data'!I:I,'caseload data'!$C:$C,'community %'!$T$29,'caseload data'!$D:$D,"PO",'caseload data'!$B:$B,{"licence","community"}))/SUM(SUMIFS('caseload data'!I:I,'caseload data'!$B:$B,{"licence","community"},'caseload data'!$C:$C,'community %'!$T$29)),"")</f>
        <v/>
      </c>
      <c r="Z31" s="167" t="str">
        <f>IFERROR(SUM(SUMIFS('caseload data'!J:J,'caseload data'!$C:$C,'community %'!$T$29,'caseload data'!$D:$D,"PO",'caseload data'!$B:$B,{"licence","community"}))/SUM(SUMIFS('caseload data'!J:J,'caseload data'!$B:$B,{"licence","community"},'caseload data'!$C:$C,'community %'!$T$29)),"")</f>
        <v/>
      </c>
      <c r="AA31" s="167" t="str">
        <f>IFERROR(SUM(SUMIFS('caseload data'!K:K,'caseload data'!$C:$C,'community %'!$T$29,'caseload data'!$D:$D,"PO",'caseload data'!$B:$B,{"licence","community"}))/SUM(SUMIFS('caseload data'!K:K,'caseload data'!$B:$B,{"licence","community"},'caseload data'!$C:$C,'community %'!$T$29)),"")</f>
        <v/>
      </c>
      <c r="AB31" s="167" t="str">
        <f>IFERROR(SUM(SUMIFS('caseload data'!L:L,'caseload data'!$C:$C,'community %'!$T$29,'caseload data'!$D:$D,"PO",'caseload data'!$B:$B,{"licence","community"}))/SUM(SUMIFS('caseload data'!L:L,'caseload data'!$B:$B,{"licence","community"},'caseload data'!$C:$C,'community %'!$T$29)),"")</f>
        <v/>
      </c>
      <c r="AC31" s="167" t="str">
        <f>IFERROR(SUM(SUMIFS('caseload data'!M:M,'caseload data'!$C:$C,'community %'!$T$29,'caseload data'!$D:$D,"PO",'caseload data'!$B:$B,{"licence","community"}))/SUM(SUMIFS('caseload data'!M:M,'caseload data'!$B:$B,{"licence","community"},'caseload data'!$C:$C,'community %'!$T$29)),"")</f>
        <v/>
      </c>
      <c r="AD31" s="167" t="str">
        <f>IFERROR(SUM(SUMIFS('caseload data'!N:N,'caseload data'!$C:$C,'community %'!$T$29,'caseload data'!$D:$D,"PO",'caseload data'!$B:$B,{"licence","community"}))/SUM(SUMIFS('caseload data'!N:N,'caseload data'!$B:$B,{"licence","community"},'caseload data'!$C:$C,'community %'!$T$29)),"")</f>
        <v/>
      </c>
      <c r="AE31" s="167" t="str">
        <f>IFERROR(SUM(SUMIFS('caseload data'!O:O,'caseload data'!$C:$C,'community %'!$T$29,'caseload data'!$D:$D,"PO",'caseload data'!$B:$B,{"licence","community"}))/SUM(SUMIFS('caseload data'!O:O,'caseload data'!$B:$B,{"licence","community"},'caseload data'!$C:$C,'community %'!$T$29)),"")</f>
        <v/>
      </c>
      <c r="AF31" s="167" t="str">
        <f>IFERROR(SUM(SUMIFS('caseload data'!P:P,'caseload data'!$C:$C,'community %'!$T$29,'caseload data'!$D:$D,"PO",'caseload data'!$B:$B,{"licence","community"}))/SUM(SUMIFS('caseload data'!P:P,'caseload data'!$B:$B,{"licence","community"},'caseload data'!$C:$C,'community %'!$T$29)),"")</f>
        <v/>
      </c>
      <c r="AG31" s="167" t="str">
        <f>IFERROR(SUM(SUMIFS('caseload data'!Q:Q,'caseload data'!$C:$C,'community %'!$T$29,'caseload data'!$D:$D,"PO",'caseload data'!$B:$B,{"licence","community"}))/SUM(SUMIFS('caseload data'!Q:Q,'caseload data'!$B:$B,{"licence","community"},'caseload data'!$C:$C,'community %'!$T$29)),"")</f>
        <v/>
      </c>
      <c r="AH31" s="167" t="str">
        <f>IFERROR(SUM(SUMIFS('caseload data'!R:R,'caseload data'!$C:$C,'community %'!$T$29,'caseload data'!$D:$D,"PO",'caseload data'!$B:$B,{"licence","community"}))/SUM(SUMIFS('caseload data'!R:R,'caseload data'!$B:$B,{"licence","community"},'caseload data'!$C:$C,'community %'!$T$29)),"")</f>
        <v/>
      </c>
      <c r="AI31" s="167" t="str">
        <f>IFERROR(SUM(SUMIFS('caseload data'!S:S,'caseload data'!$C:$C,'community %'!$T$29,'caseload data'!$D:$D,"PO",'caseload data'!$B:$B,{"licence","community"}))/SUM(SUMIFS('caseload data'!S:S,'caseload data'!$B:$B,{"licence","community"},'caseload data'!$C:$C,'community %'!$T$29)),"")</f>
        <v/>
      </c>
      <c r="AJ31" s="167" t="str">
        <f>IFERROR(SUM(SUMIFS('caseload data'!T:T,'caseload data'!$C:$C,'community %'!$T$29,'caseload data'!$D:$D,"PO",'caseload data'!$B:$B,{"licence","community"}))/SUM(SUMIFS('caseload data'!T:T,'caseload data'!$B:$B,{"licence","community"},'caseload data'!$C:$C,'community %'!$T$29)),"")</f>
        <v/>
      </c>
    </row>
    <row r="32" spans="2:36" x14ac:dyDescent="0.15">
      <c r="B32" s="97" t="s">
        <v>952</v>
      </c>
      <c r="C32" s="167" t="str">
        <f>IFERROR(SUM(SUMIFS('caseload data'!E:E,'caseload data'!$C:$C,'community %'!$B$29,'caseload data'!$D:$D,"PSO",'caseload data'!$B:$B,{"licence","community"}))/SUM(SUMIFS('caseload data'!E:E,'caseload data'!$B:$B,{"licence","community"},'caseload data'!$C:$C,'community %'!$B$29)),"")</f>
        <v/>
      </c>
      <c r="D32" s="167" t="str">
        <f>IFERROR(SUM(SUMIFS('caseload data'!F:F,'caseload data'!$C:$C,'community %'!$B$29,'caseload data'!$D:$D,"PSO",'caseload data'!$B:$B,{"licence","community"}))/SUM(SUMIFS('caseload data'!F:F,'caseload data'!$B:$B,{"licence","community"},'caseload data'!$C:$C,'community %'!$B$29)),"")</f>
        <v/>
      </c>
      <c r="E32" s="167" t="str">
        <f>IFERROR(SUM(SUMIFS('caseload data'!G:G,'caseload data'!$C:$C,'community %'!$B$29,'caseload data'!$D:$D,"PSO",'caseload data'!$B:$B,{"licence","community"}))/SUM(SUMIFS('caseload data'!G:G,'caseload data'!$B:$B,{"licence","community"},'caseload data'!$C:$C,'community %'!$B$29)),"")</f>
        <v/>
      </c>
      <c r="F32" s="167" t="str">
        <f>IFERROR(SUM(SUMIFS('caseload data'!H:H,'caseload data'!$C:$C,'community %'!$B$29,'caseload data'!$D:$D,"PSO",'caseload data'!$B:$B,{"licence","community"}))/SUM(SUMIFS('caseload data'!H:H,'caseload data'!$B:$B,{"licence","community"},'caseload data'!$C:$C,'community %'!$B$29)),"")</f>
        <v/>
      </c>
      <c r="G32" s="167" t="str">
        <f>IFERROR(SUM(SUMIFS('caseload data'!I:I,'caseload data'!$C:$C,'community %'!$B$29,'caseload data'!$D:$D,"PSO",'caseload data'!$B:$B,{"licence","community"}))/SUM(SUMIFS('caseload data'!I:I,'caseload data'!$B:$B,{"licence","community"},'caseload data'!$C:$C,'community %'!$B$29)),"")</f>
        <v/>
      </c>
      <c r="H32" s="167" t="str">
        <f>IFERROR(SUM(SUMIFS('caseload data'!J:J,'caseload data'!$C:$C,'community %'!$B$29,'caseload data'!$D:$D,"PSO",'caseload data'!$B:$B,{"licence","community"}))/SUM(SUMIFS('caseload data'!J:J,'caseload data'!$B:$B,{"licence","community"},'caseload data'!$C:$C,'community %'!$B$29)),"")</f>
        <v/>
      </c>
      <c r="I32" s="167" t="str">
        <f>IFERROR(SUM(SUMIFS('caseload data'!K:K,'caseload data'!$C:$C,'community %'!$B$29,'caseload data'!$D:$D,"PSO",'caseload data'!$B:$B,{"licence","community"}))/SUM(SUMIFS('caseload data'!K:K,'caseload data'!$B:$B,{"licence","community"},'caseload data'!$C:$C,'community %'!$B$29)),"")</f>
        <v/>
      </c>
      <c r="J32" s="167" t="str">
        <f>IFERROR(SUM(SUMIFS('caseload data'!L:L,'caseload data'!$C:$C,'community %'!$B$29,'caseload data'!$D:$D,"PSO",'caseload data'!$B:$B,{"licence","community"}))/SUM(SUMIFS('caseload data'!L:L,'caseload data'!$B:$B,{"licence","community"},'caseload data'!$C:$C,'community %'!$B$29)),"")</f>
        <v/>
      </c>
      <c r="K32" s="167" t="str">
        <f>IFERROR(SUM(SUMIFS('caseload data'!M:M,'caseload data'!$C:$C,'community %'!$B$29,'caseload data'!$D:$D,"PSO",'caseload data'!$B:$B,{"licence","community"}))/SUM(SUMIFS('caseload data'!M:M,'caseload data'!$B:$B,{"licence","community"},'caseload data'!$C:$C,'community %'!$B$29)),"")</f>
        <v/>
      </c>
      <c r="L32" s="167" t="str">
        <f>IFERROR(SUM(SUMIFS('caseload data'!N:N,'caseload data'!$C:$C,'community %'!$B$29,'caseload data'!$D:$D,"PSO",'caseload data'!$B:$B,{"licence","community"}))/SUM(SUMIFS('caseload data'!N:N,'caseload data'!$B:$B,{"licence","community"},'caseload data'!$C:$C,'community %'!$B$29)),"")</f>
        <v/>
      </c>
      <c r="M32" s="167" t="str">
        <f>IFERROR(SUM(SUMIFS('caseload data'!O:O,'caseload data'!$C:$C,'community %'!$B$29,'caseload data'!$D:$D,"PSO",'caseload data'!$B:$B,{"licence","community"}))/SUM(SUMIFS('caseload data'!O:O,'caseload data'!$B:$B,{"licence","community"},'caseload data'!$C:$C,'community %'!$B$29)),"")</f>
        <v/>
      </c>
      <c r="N32" s="167" t="str">
        <f>IFERROR(SUM(SUMIFS('caseload data'!P:P,'caseload data'!$C:$C,'community %'!$B$29,'caseload data'!$D:$D,"PSO",'caseload data'!$B:$B,{"licence","community"}))/SUM(SUMIFS('caseload data'!P:P,'caseload data'!$B:$B,{"licence","community"},'caseload data'!$C:$C,'community %'!$B$29)),"")</f>
        <v/>
      </c>
      <c r="O32" s="167" t="str">
        <f>IFERROR(SUM(SUMIFS('caseload data'!Q:Q,'caseload data'!$C:$C,'community %'!$B$29,'caseload data'!$D:$D,"PSO",'caseload data'!$B:$B,{"licence","community"}))/SUM(SUMIFS('caseload data'!Q:Q,'caseload data'!$B:$B,{"licence","community"},'caseload data'!$C:$C,'community %'!$B$29)),"")</f>
        <v/>
      </c>
      <c r="P32" s="167" t="str">
        <f>IFERROR(SUM(SUMIFS('caseload data'!R:R,'caseload data'!$C:$C,'community %'!$B$29,'caseload data'!$D:$D,"PSO",'caseload data'!$B:$B,{"licence","community"}))/SUM(SUMIFS('caseload data'!R:R,'caseload data'!$B:$B,{"licence","community"},'caseload data'!$C:$C,'community %'!$B$29)),"")</f>
        <v/>
      </c>
      <c r="Q32" s="167" t="str">
        <f>IFERROR(SUM(SUMIFS('caseload data'!S:S,'caseload data'!$C:$C,'community %'!$B$29,'caseload data'!$D:$D,"PSO",'caseload data'!$B:$B,{"licence","community"}))/SUM(SUMIFS('caseload data'!S:S,'caseload data'!$B:$B,{"licence","community"},'caseload data'!$C:$C,'community %'!$B$29)),"")</f>
        <v/>
      </c>
      <c r="R32" s="167" t="str">
        <f>IFERROR(SUM(SUMIFS('caseload data'!T:T,'caseload data'!$C:$C,'community %'!$B$29,'caseload data'!$D:$D,"PSO",'caseload data'!$B:$B,{"licence","community"}))/SUM(SUMIFS('caseload data'!T:T,'caseload data'!$B:$B,{"licence","community"},'caseload data'!$C:$C,'community %'!$B$29)),"")</f>
        <v/>
      </c>
      <c r="S32" s="64"/>
      <c r="T32" s="97" t="s">
        <v>952</v>
      </c>
      <c r="U32" s="167" t="str">
        <f>IFERROR(SUM(SUMIFS('caseload data'!E:E,'caseload data'!$C:$C,'community %'!$T$29,'caseload data'!$D:$D,"PSO",'caseload data'!$B:$B,{"licence","community"}))/SUM(SUMIFS('caseload data'!E:E,'caseload data'!$B:$B,{"licence","community"},'caseload data'!$C:$C,'community %'!$T$29)),"")</f>
        <v/>
      </c>
      <c r="V32" s="167" t="str">
        <f>IFERROR(SUM(SUMIFS('caseload data'!F:F,'caseload data'!$C:$C,'community %'!$T$29,'caseload data'!$D:$D,"PSO",'caseload data'!$B:$B,{"licence","community"}))/SUM(SUMIFS('caseload data'!F:F,'caseload data'!$B:$B,{"licence","community"},'caseload data'!$C:$C,'community %'!$T$29)),"")</f>
        <v/>
      </c>
      <c r="W32" s="167" t="str">
        <f>IFERROR(SUM(SUMIFS('caseload data'!G:G,'caseload data'!$C:$C,'community %'!$T$29,'caseload data'!$D:$D,"PSO",'caseload data'!$B:$B,{"licence","community"}))/SUM(SUMIFS('caseload data'!G:G,'caseload data'!$B:$B,{"licence","community"},'caseload data'!$C:$C,'community %'!$T$29)),"")</f>
        <v/>
      </c>
      <c r="X32" s="167" t="str">
        <f>IFERROR(SUM(SUMIFS('caseload data'!H:H,'caseload data'!$C:$C,'community %'!$T$29,'caseload data'!$D:$D,"PSO",'caseload data'!$B:$B,{"licence","community"}))/SUM(SUMIFS('caseload data'!H:H,'caseload data'!$B:$B,{"licence","community"},'caseload data'!$C:$C,'community %'!$T$29)),"")</f>
        <v/>
      </c>
      <c r="Y32" s="167" t="str">
        <f>IFERROR(SUM(SUMIFS('caseload data'!I:I,'caseload data'!$C:$C,'community %'!$T$29,'caseload data'!$D:$D,"PSO",'caseload data'!$B:$B,{"licence","community"}))/SUM(SUMIFS('caseload data'!I:I,'caseload data'!$B:$B,{"licence","community"},'caseload data'!$C:$C,'community %'!$T$29)),"")</f>
        <v/>
      </c>
      <c r="Z32" s="167" t="str">
        <f>IFERROR(SUM(SUMIFS('caseload data'!J:J,'caseload data'!$C:$C,'community %'!$T$29,'caseload data'!$D:$D,"PSO",'caseload data'!$B:$B,{"licence","community"}))/SUM(SUMIFS('caseload data'!J:J,'caseload data'!$B:$B,{"licence","community"},'caseload data'!$C:$C,'community %'!$T$29)),"")</f>
        <v/>
      </c>
      <c r="AA32" s="167" t="str">
        <f>IFERROR(SUM(SUMIFS('caseload data'!K:K,'caseload data'!$C:$C,'community %'!$T$29,'caseload data'!$D:$D,"PSO",'caseload data'!$B:$B,{"licence","community"}))/SUM(SUMIFS('caseload data'!K:K,'caseload data'!$B:$B,{"licence","community"},'caseload data'!$C:$C,'community %'!$T$29)),"")</f>
        <v/>
      </c>
      <c r="AB32" s="167" t="str">
        <f>IFERROR(SUM(SUMIFS('caseload data'!L:L,'caseload data'!$C:$C,'community %'!$T$29,'caseload data'!$D:$D,"PSO",'caseload data'!$B:$B,{"licence","community"}))/SUM(SUMIFS('caseload data'!L:L,'caseload data'!$B:$B,{"licence","community"},'caseload data'!$C:$C,'community %'!$T$29)),"")</f>
        <v/>
      </c>
      <c r="AC32" s="167" t="str">
        <f>IFERROR(SUM(SUMIFS('caseload data'!M:M,'caseload data'!$C:$C,'community %'!$T$29,'caseload data'!$D:$D,"PSO",'caseload data'!$B:$B,{"licence","community"}))/SUM(SUMIFS('caseload data'!M:M,'caseload data'!$B:$B,{"licence","community"},'caseload data'!$C:$C,'community %'!$T$29)),"")</f>
        <v/>
      </c>
      <c r="AD32" s="167" t="str">
        <f>IFERROR(SUM(SUMIFS('caseload data'!N:N,'caseload data'!$C:$C,'community %'!$T$29,'caseload data'!$D:$D,"PSO",'caseload data'!$B:$B,{"licence","community"}))/SUM(SUMIFS('caseload data'!N:N,'caseload data'!$B:$B,{"licence","community"},'caseload data'!$C:$C,'community %'!$T$29)),"")</f>
        <v/>
      </c>
      <c r="AE32" s="167" t="str">
        <f>IFERROR(SUM(SUMIFS('caseload data'!O:O,'caseload data'!$C:$C,'community %'!$T$29,'caseload data'!$D:$D,"PSO",'caseload data'!$B:$B,{"licence","community"}))/SUM(SUMIFS('caseload data'!O:O,'caseload data'!$B:$B,{"licence","community"},'caseload data'!$C:$C,'community %'!$T$29)),"")</f>
        <v/>
      </c>
      <c r="AF32" s="167" t="str">
        <f>IFERROR(SUM(SUMIFS('caseload data'!P:P,'caseload data'!$C:$C,'community %'!$T$29,'caseload data'!$D:$D,"PSO",'caseload data'!$B:$B,{"licence","community"}))/SUM(SUMIFS('caseload data'!P:P,'caseload data'!$B:$B,{"licence","community"},'caseload data'!$C:$C,'community %'!$T$29)),"")</f>
        <v/>
      </c>
      <c r="AG32" s="167" t="str">
        <f>IFERROR(SUM(SUMIFS('caseload data'!Q:Q,'caseload data'!$C:$C,'community %'!$T$29,'caseload data'!$D:$D,"PSO",'caseload data'!$B:$B,{"licence","community"}))/SUM(SUMIFS('caseload data'!Q:Q,'caseload data'!$B:$B,{"licence","community"},'caseload data'!$C:$C,'community %'!$T$29)),"")</f>
        <v/>
      </c>
      <c r="AH32" s="167" t="str">
        <f>IFERROR(SUM(SUMIFS('caseload data'!R:R,'caseload data'!$C:$C,'community %'!$T$29,'caseload data'!$D:$D,"PSO",'caseload data'!$B:$B,{"licence","community"}))/SUM(SUMIFS('caseload data'!R:R,'caseload data'!$B:$B,{"licence","community"},'caseload data'!$C:$C,'community %'!$T$29)),"")</f>
        <v/>
      </c>
      <c r="AI32" s="167" t="str">
        <f>IFERROR(SUM(SUMIFS('caseload data'!S:S,'caseload data'!$C:$C,'community %'!$T$29,'caseload data'!$D:$D,"PSO",'caseload data'!$B:$B,{"licence","community"}))/SUM(SUMIFS('caseload data'!S:S,'caseload data'!$B:$B,{"licence","community"},'caseload data'!$C:$C,'community %'!$T$29)),"")</f>
        <v/>
      </c>
      <c r="AJ32" s="167" t="str">
        <f>IFERROR(SUM(SUMIFS('caseload data'!T:T,'caseload data'!$C:$C,'community %'!$T$29,'caseload data'!$D:$D,"PSO",'caseload data'!$B:$B,{"licence","community"}))/SUM(SUMIFS('caseload data'!T:T,'caseload data'!$B:$B,{"licence","community"},'caseload data'!$C:$C,'community %'!$T$29)),"")</f>
        <v/>
      </c>
    </row>
    <row r="33" spans="2:36" x14ac:dyDescent="0.15">
      <c r="B33" s="97" t="s">
        <v>953</v>
      </c>
      <c r="C33" s="167" t="str">
        <f>IFERROR(SUM(SUMIFS('caseload data'!E:E,'caseload data'!$C:$C,'community %'!$B$29,'caseload data'!$D:$D,"TPO",'caseload data'!$B:$B,{"licence","community"}))/SUM(SUMIFS('caseload data'!E:E,'caseload data'!$B:$B,{"licence","community"},'caseload data'!$C:$C,'community %'!$B$29)),"")</f>
        <v/>
      </c>
      <c r="D33" s="167" t="str">
        <f>IFERROR(SUM(SUMIFS('caseload data'!F:F,'caseload data'!$C:$C,'community %'!$B$29,'caseload data'!$D:$D,"TPO",'caseload data'!$B:$B,{"licence","community"}))/SUM(SUMIFS('caseload data'!F:F,'caseload data'!$B:$B,{"licence","community"},'caseload data'!$C:$C,'community %'!$B$29)),"")</f>
        <v/>
      </c>
      <c r="E33" s="167" t="str">
        <f>IFERROR(SUM(SUMIFS('caseload data'!G:G,'caseload data'!$C:$C,'community %'!$B$29,'caseload data'!$D:$D,"TPO",'caseload data'!$B:$B,{"licence","community"}))/SUM(SUMIFS('caseload data'!G:G,'caseload data'!$B:$B,{"licence","community"},'caseload data'!$C:$C,'community %'!$B$29)),"")</f>
        <v/>
      </c>
      <c r="F33" s="167" t="str">
        <f>IFERROR(SUM(SUMIFS('caseload data'!H:H,'caseload data'!$C:$C,'community %'!$B$29,'caseload data'!$D:$D,"TPO",'caseload data'!$B:$B,{"licence","community"}))/SUM(SUMIFS('caseload data'!H:H,'caseload data'!$B:$B,{"licence","community"},'caseload data'!$C:$C,'community %'!$B$29)),"")</f>
        <v/>
      </c>
      <c r="G33" s="167" t="str">
        <f>IFERROR(SUM(SUMIFS('caseload data'!I:I,'caseload data'!$C:$C,'community %'!$B$29,'caseload data'!$D:$D,"TPO",'caseload data'!$B:$B,{"licence","community"}))/SUM(SUMIFS('caseload data'!I:I,'caseload data'!$B:$B,{"licence","community"},'caseload data'!$C:$C,'community %'!$B$29)),"")</f>
        <v/>
      </c>
      <c r="H33" s="167" t="str">
        <f>IFERROR(SUM(SUMIFS('caseload data'!J:J,'caseload data'!$C:$C,'community %'!$B$29,'caseload data'!$D:$D,"TPO",'caseload data'!$B:$B,{"licence","community"}))/SUM(SUMIFS('caseload data'!J:J,'caseload data'!$B:$B,{"licence","community"},'caseload data'!$C:$C,'community %'!$B$29)),"")</f>
        <v/>
      </c>
      <c r="I33" s="167" t="str">
        <f>IFERROR(SUM(SUMIFS('caseload data'!K:K,'caseload data'!$C:$C,'community %'!$B$29,'caseload data'!$D:$D,"TPO",'caseload data'!$B:$B,{"licence","community"}))/SUM(SUMIFS('caseload data'!K:K,'caseload data'!$B:$B,{"licence","community"},'caseload data'!$C:$C,'community %'!$B$29)),"")</f>
        <v/>
      </c>
      <c r="J33" s="167" t="str">
        <f>IFERROR(SUM(SUMIFS('caseload data'!L:L,'caseload data'!$C:$C,'community %'!$B$29,'caseload data'!$D:$D,"TPO",'caseload data'!$B:$B,{"licence","community"}))/SUM(SUMIFS('caseload data'!L:L,'caseload data'!$B:$B,{"licence","community"},'caseload data'!$C:$C,'community %'!$B$29)),"")</f>
        <v/>
      </c>
      <c r="K33" s="167" t="str">
        <f>IFERROR(SUM(SUMIFS('caseload data'!M:M,'caseload data'!$C:$C,'community %'!$B$29,'caseload data'!$D:$D,"TPO",'caseload data'!$B:$B,{"licence","community"}))/SUM(SUMIFS('caseload data'!M:M,'caseload data'!$B:$B,{"licence","community"},'caseload data'!$C:$C,'community %'!$B$29)),"")</f>
        <v/>
      </c>
      <c r="L33" s="167" t="str">
        <f>IFERROR(SUM(SUMIFS('caseload data'!N:N,'caseload data'!$C:$C,'community %'!$B$29,'caseload data'!$D:$D,"TPO",'caseload data'!$B:$B,{"licence","community"}))/SUM(SUMIFS('caseload data'!N:N,'caseload data'!$B:$B,{"licence","community"},'caseload data'!$C:$C,'community %'!$B$29)),"")</f>
        <v/>
      </c>
      <c r="M33" s="167" t="str">
        <f>IFERROR(SUM(SUMIFS('caseload data'!O:O,'caseload data'!$C:$C,'community %'!$B$29,'caseload data'!$D:$D,"TPO",'caseload data'!$B:$B,{"licence","community"}))/SUM(SUMIFS('caseload data'!O:O,'caseload data'!$B:$B,{"licence","community"},'caseload data'!$C:$C,'community %'!$B$29)),"")</f>
        <v/>
      </c>
      <c r="N33" s="167" t="str">
        <f>IFERROR(SUM(SUMIFS('caseload data'!P:P,'caseload data'!$C:$C,'community %'!$B$29,'caseload data'!$D:$D,"TPO",'caseload data'!$B:$B,{"licence","community"}))/SUM(SUMIFS('caseload data'!P:P,'caseload data'!$B:$B,{"licence","community"},'caseload data'!$C:$C,'community %'!$B$29)),"")</f>
        <v/>
      </c>
      <c r="O33" s="167" t="str">
        <f>IFERROR(SUM(SUMIFS('caseload data'!Q:Q,'caseload data'!$C:$C,'community %'!$B$29,'caseload data'!$D:$D,"TPO",'caseload data'!$B:$B,{"licence","community"}))/SUM(SUMIFS('caseload data'!Q:Q,'caseload data'!$B:$B,{"licence","community"},'caseload data'!$C:$C,'community %'!$B$29)),"")</f>
        <v/>
      </c>
      <c r="P33" s="167" t="str">
        <f>IFERROR(SUM(SUMIFS('caseload data'!R:R,'caseload data'!$C:$C,'community %'!$B$29,'caseload data'!$D:$D,"TPO",'caseload data'!$B:$B,{"licence","community"}))/SUM(SUMIFS('caseload data'!R:R,'caseload data'!$B:$B,{"licence","community"},'caseload data'!$C:$C,'community %'!$B$29)),"")</f>
        <v/>
      </c>
      <c r="Q33" s="167" t="str">
        <f>IFERROR(SUM(SUMIFS('caseload data'!S:S,'caseload data'!$C:$C,'community %'!$B$29,'caseload data'!$D:$D,"TPO",'caseload data'!$B:$B,{"licence","community"}))/SUM(SUMIFS('caseload data'!S:S,'caseload data'!$B:$B,{"licence","community"},'caseload data'!$C:$C,'community %'!$B$29)),"")</f>
        <v/>
      </c>
      <c r="R33" s="167" t="str">
        <f>IFERROR(SUM(SUMIFS('caseload data'!T:T,'caseload data'!$C:$C,'community %'!$B$29,'caseload data'!$D:$D,"TPO",'caseload data'!$B:$B,{"licence","community"}))/SUM(SUMIFS('caseload data'!T:T,'caseload data'!$B:$B,{"licence","community"},'caseload data'!$C:$C,'community %'!$B$29)),"")</f>
        <v/>
      </c>
      <c r="S33" s="64"/>
      <c r="T33" s="97" t="s">
        <v>953</v>
      </c>
      <c r="U33" s="167" t="str">
        <f>IFERROR(SUM(SUMIFS('caseload data'!E:E,'caseload data'!$C:$C,'community %'!$T$29,'caseload data'!$D:$D,"TPO",'caseload data'!$B:$B,{"licence","community"}))/SUM(SUMIFS('caseload data'!E:E,'caseload data'!$B:$B,{"licence","community"},'caseload data'!$C:$C,'community %'!$T$29)),"")</f>
        <v/>
      </c>
      <c r="V33" s="167" t="str">
        <f>IFERROR(SUM(SUMIFS('caseload data'!F:F,'caseload data'!$C:$C,'community %'!$T$29,'caseload data'!$D:$D,"TPO",'caseload data'!$B:$B,{"licence","community"}))/SUM(SUMIFS('caseload data'!F:F,'caseload data'!$B:$B,{"licence","community"},'caseload data'!$C:$C,'community %'!$T$29)),"")</f>
        <v/>
      </c>
      <c r="W33" s="167" t="str">
        <f>IFERROR(SUM(SUMIFS('caseload data'!G:G,'caseload data'!$C:$C,'community %'!$T$29,'caseload data'!$D:$D,"TPO",'caseload data'!$B:$B,{"licence","community"}))/SUM(SUMIFS('caseload data'!G:G,'caseload data'!$B:$B,{"licence","community"},'caseload data'!$C:$C,'community %'!$T$29)),"")</f>
        <v/>
      </c>
      <c r="X33" s="167" t="str">
        <f>IFERROR(SUM(SUMIFS('caseload data'!H:H,'caseload data'!$C:$C,'community %'!$T$29,'caseload data'!$D:$D,"TPO",'caseload data'!$B:$B,{"licence","community"}))/SUM(SUMIFS('caseload data'!H:H,'caseload data'!$B:$B,{"licence","community"},'caseload data'!$C:$C,'community %'!$T$29)),"")</f>
        <v/>
      </c>
      <c r="Y33" s="167" t="str">
        <f>IFERROR(SUM(SUMIFS('caseload data'!I:I,'caseload data'!$C:$C,'community %'!$T$29,'caseload data'!$D:$D,"TPO",'caseload data'!$B:$B,{"licence","community"}))/SUM(SUMIFS('caseload data'!I:I,'caseload data'!$B:$B,{"licence","community"},'caseload data'!$C:$C,'community %'!$T$29)),"")</f>
        <v/>
      </c>
      <c r="Z33" s="167" t="str">
        <f>IFERROR(SUM(SUMIFS('caseload data'!J:J,'caseload data'!$C:$C,'community %'!$T$29,'caseload data'!$D:$D,"TPO",'caseload data'!$B:$B,{"licence","community"}))/SUM(SUMIFS('caseload data'!J:J,'caseload data'!$B:$B,{"licence","community"},'caseload data'!$C:$C,'community %'!$T$29)),"")</f>
        <v/>
      </c>
      <c r="AA33" s="167" t="str">
        <f>IFERROR(SUM(SUMIFS('caseload data'!K:K,'caseload data'!$C:$C,'community %'!$T$29,'caseload data'!$D:$D,"TPO",'caseload data'!$B:$B,{"licence","community"}))/SUM(SUMIFS('caseload data'!K:K,'caseload data'!$B:$B,{"licence","community"},'caseload data'!$C:$C,'community %'!$T$29)),"")</f>
        <v/>
      </c>
      <c r="AB33" s="167" t="str">
        <f>IFERROR(SUM(SUMIFS('caseload data'!L:L,'caseload data'!$C:$C,'community %'!$T$29,'caseload data'!$D:$D,"TPO",'caseload data'!$B:$B,{"licence","community"}))/SUM(SUMIFS('caseload data'!L:L,'caseload data'!$B:$B,{"licence","community"},'caseload data'!$C:$C,'community %'!$T$29)),"")</f>
        <v/>
      </c>
      <c r="AC33" s="167" t="str">
        <f>IFERROR(SUM(SUMIFS('caseload data'!M:M,'caseload data'!$C:$C,'community %'!$T$29,'caseload data'!$D:$D,"TPO",'caseload data'!$B:$B,{"licence","community"}))/SUM(SUMIFS('caseload data'!M:M,'caseload data'!$B:$B,{"licence","community"},'caseload data'!$C:$C,'community %'!$T$29)),"")</f>
        <v/>
      </c>
      <c r="AD33" s="167" t="str">
        <f>IFERROR(SUM(SUMIFS('caseload data'!N:N,'caseload data'!$C:$C,'community %'!$T$29,'caseload data'!$D:$D,"TPO",'caseload data'!$B:$B,{"licence","community"}))/SUM(SUMIFS('caseload data'!N:N,'caseload data'!$B:$B,{"licence","community"},'caseload data'!$C:$C,'community %'!$T$29)),"")</f>
        <v/>
      </c>
      <c r="AE33" s="167" t="str">
        <f>IFERROR(SUM(SUMIFS('caseload data'!O:O,'caseload data'!$C:$C,'community %'!$T$29,'caseload data'!$D:$D,"TPO",'caseload data'!$B:$B,{"licence","community"}))/SUM(SUMIFS('caseload data'!O:O,'caseload data'!$B:$B,{"licence","community"},'caseload data'!$C:$C,'community %'!$T$29)),"")</f>
        <v/>
      </c>
      <c r="AF33" s="167" t="str">
        <f>IFERROR(SUM(SUMIFS('caseload data'!P:P,'caseload data'!$C:$C,'community %'!$T$29,'caseload data'!$D:$D,"TPO",'caseload data'!$B:$B,{"licence","community"}))/SUM(SUMIFS('caseload data'!P:P,'caseload data'!$B:$B,{"licence","community"},'caseload data'!$C:$C,'community %'!$T$29)),"")</f>
        <v/>
      </c>
      <c r="AG33" s="167" t="str">
        <f>IFERROR(SUM(SUMIFS('caseload data'!Q:Q,'caseload data'!$C:$C,'community %'!$T$29,'caseload data'!$D:$D,"TPO",'caseload data'!$B:$B,{"licence","community"}))/SUM(SUMIFS('caseload data'!Q:Q,'caseload data'!$B:$B,{"licence","community"},'caseload data'!$C:$C,'community %'!$T$29)),"")</f>
        <v/>
      </c>
      <c r="AH33" s="167" t="str">
        <f>IFERROR(SUM(SUMIFS('caseload data'!R:R,'caseload data'!$C:$C,'community %'!$T$29,'caseload data'!$D:$D,"TPO",'caseload data'!$B:$B,{"licence","community"}))/SUM(SUMIFS('caseload data'!R:R,'caseload data'!$B:$B,{"licence","community"},'caseload data'!$C:$C,'community %'!$T$29)),"")</f>
        <v/>
      </c>
      <c r="AI33" s="167" t="str">
        <f>IFERROR(SUM(SUMIFS('caseload data'!S:S,'caseload data'!$C:$C,'community %'!$T$29,'caseload data'!$D:$D,"TPO",'caseload data'!$B:$B,{"licence","community"}))/SUM(SUMIFS('caseload data'!S:S,'caseload data'!$B:$B,{"licence","community"},'caseload data'!$C:$C,'community %'!$T$29)),"")</f>
        <v/>
      </c>
      <c r="AJ33" s="167" t="str">
        <f>IFERROR(SUM(SUMIFS('caseload data'!T:T,'caseload data'!$C:$C,'community %'!$T$29,'caseload data'!$D:$D,"TPO",'caseload data'!$B:$B,{"licence","community"}))/SUM(SUMIFS('caseload data'!T:T,'caseload data'!$B:$B,{"licence","community"},'caseload data'!$C:$C,'community %'!$T$29)),"")</f>
        <v/>
      </c>
    </row>
    <row r="34" spans="2:36" x14ac:dyDescent="0.15">
      <c r="B34" s="98" t="s">
        <v>954</v>
      </c>
      <c r="C34" s="167" t="str">
        <f>IFERROR(SUM(SUMIFS('caseload data'!E:E,'caseload data'!$C:$C,'community %'!$B$29,'caseload data'!$D:$D,"SPO",'caseload data'!$B:$B,{"licence","community"}))/SUM(SUMIFS('caseload data'!E:E,'caseload data'!$B:$B,{"licence","community"},'caseload data'!$C:$C,'community %'!$B$29)),"")</f>
        <v/>
      </c>
      <c r="D34" s="167" t="str">
        <f>IFERROR(SUM(SUMIFS('caseload data'!F:F,'caseload data'!$C:$C,'community %'!$B$29,'caseload data'!$D:$D,"SPO",'caseload data'!$B:$B,{"licence","community"}))/SUM(SUMIFS('caseload data'!F:F,'caseload data'!$B:$B,{"licence","community"},'caseload data'!$C:$C,'community %'!$B$29)),"")</f>
        <v/>
      </c>
      <c r="E34" s="167" t="str">
        <f>IFERROR(SUM(SUMIFS('caseload data'!G:G,'caseload data'!$C:$C,'community %'!$B$29,'caseload data'!$D:$D,"SPO",'caseload data'!$B:$B,{"licence","community"}))/SUM(SUMIFS('caseload data'!G:G,'caseload data'!$B:$B,{"licence","community"},'caseload data'!$C:$C,'community %'!$B$29)),"")</f>
        <v/>
      </c>
      <c r="F34" s="167" t="str">
        <f>IFERROR(SUM(SUMIFS('caseload data'!H:H,'caseload data'!$C:$C,'community %'!$B$29,'caseload data'!$D:$D,"SPO",'caseload data'!$B:$B,{"licence","community"}))/SUM(SUMIFS('caseload data'!H:H,'caseload data'!$B:$B,{"licence","community"},'caseload data'!$C:$C,'community %'!$B$29)),"")</f>
        <v/>
      </c>
      <c r="G34" s="167" t="str">
        <f>IFERROR(SUM(SUMIFS('caseload data'!I:I,'caseload data'!$C:$C,'community %'!$B$29,'caseload data'!$D:$D,"SPO",'caseload data'!$B:$B,{"licence","community"}))/SUM(SUMIFS('caseload data'!I:I,'caseload data'!$B:$B,{"licence","community"},'caseload data'!$C:$C,'community %'!$B$29)),"")</f>
        <v/>
      </c>
      <c r="H34" s="167" t="str">
        <f>IFERROR(SUM(SUMIFS('caseload data'!J:J,'caseload data'!$C:$C,'community %'!$B$29,'caseload data'!$D:$D,"SPO",'caseload data'!$B:$B,{"licence","community"}))/SUM(SUMIFS('caseload data'!J:J,'caseload data'!$B:$B,{"licence","community"},'caseload data'!$C:$C,'community %'!$B$29)),"")</f>
        <v/>
      </c>
      <c r="I34" s="167" t="str">
        <f>IFERROR(SUM(SUMIFS('caseload data'!K:K,'caseload data'!$C:$C,'community %'!$B$29,'caseload data'!$D:$D,"SPO",'caseload data'!$B:$B,{"licence","community"}))/SUM(SUMIFS('caseload data'!K:K,'caseload data'!$B:$B,{"licence","community"},'caseload data'!$C:$C,'community %'!$B$29)),"")</f>
        <v/>
      </c>
      <c r="J34" s="167" t="str">
        <f>IFERROR(SUM(SUMIFS('caseload data'!L:L,'caseload data'!$C:$C,'community %'!$B$29,'caseload data'!$D:$D,"SPO",'caseload data'!$B:$B,{"licence","community"}))/SUM(SUMIFS('caseload data'!L:L,'caseload data'!$B:$B,{"licence","community"},'caseload data'!$C:$C,'community %'!$B$29)),"")</f>
        <v/>
      </c>
      <c r="K34" s="167" t="str">
        <f>IFERROR(SUM(SUMIFS('caseload data'!M:M,'caseload data'!$C:$C,'community %'!$B$29,'caseload data'!$D:$D,"SPO",'caseload data'!$B:$B,{"licence","community"}))/SUM(SUMIFS('caseload data'!M:M,'caseload data'!$B:$B,{"licence","community"},'caseload data'!$C:$C,'community %'!$B$29)),"")</f>
        <v/>
      </c>
      <c r="L34" s="167" t="str">
        <f>IFERROR(SUM(SUMIFS('caseload data'!N:N,'caseload data'!$C:$C,'community %'!$B$29,'caseload data'!$D:$D,"SPO",'caseload data'!$B:$B,{"licence","community"}))/SUM(SUMIFS('caseload data'!N:N,'caseload data'!$B:$B,{"licence","community"},'caseload data'!$C:$C,'community %'!$B$29)),"")</f>
        <v/>
      </c>
      <c r="M34" s="167" t="str">
        <f>IFERROR(SUM(SUMIFS('caseload data'!O:O,'caseload data'!$C:$C,'community %'!$B$29,'caseload data'!$D:$D,"SPO",'caseload data'!$B:$B,{"licence","community"}))/SUM(SUMIFS('caseload data'!O:O,'caseload data'!$B:$B,{"licence","community"},'caseload data'!$C:$C,'community %'!$B$29)),"")</f>
        <v/>
      </c>
      <c r="N34" s="167" t="str">
        <f>IFERROR(SUM(SUMIFS('caseload data'!P:P,'caseload data'!$C:$C,'community %'!$B$29,'caseload data'!$D:$D,"SPO",'caseload data'!$B:$B,{"licence","community"}))/SUM(SUMIFS('caseload data'!P:P,'caseload data'!$B:$B,{"licence","community"},'caseload data'!$C:$C,'community %'!$B$29)),"")</f>
        <v/>
      </c>
      <c r="O34" s="167" t="str">
        <f>IFERROR(SUM(SUMIFS('caseload data'!Q:Q,'caseload data'!$C:$C,'community %'!$B$29,'caseload data'!$D:$D,"SPO",'caseload data'!$B:$B,{"licence","community"}))/SUM(SUMIFS('caseload data'!Q:Q,'caseload data'!$B:$B,{"licence","community"},'caseload data'!$C:$C,'community %'!$B$29)),"")</f>
        <v/>
      </c>
      <c r="P34" s="167" t="str">
        <f>IFERROR(SUM(SUMIFS('caseload data'!R:R,'caseload data'!$C:$C,'community %'!$B$29,'caseload data'!$D:$D,"SPO",'caseload data'!$B:$B,{"licence","community"}))/SUM(SUMIFS('caseload data'!R:R,'caseload data'!$B:$B,{"licence","community"},'caseload data'!$C:$C,'community %'!$B$29)),"")</f>
        <v/>
      </c>
      <c r="Q34" s="167" t="str">
        <f>IFERROR(SUM(SUMIFS('caseload data'!S:S,'caseload data'!$C:$C,'community %'!$B$29,'caseload data'!$D:$D,"SPO",'caseload data'!$B:$B,{"licence","community"}))/SUM(SUMIFS('caseload data'!S:S,'caseload data'!$B:$B,{"licence","community"},'caseload data'!$C:$C,'community %'!$B$29)),"")</f>
        <v/>
      </c>
      <c r="R34" s="167" t="str">
        <f>IFERROR(SUM(SUMIFS('caseload data'!T:T,'caseload data'!$C:$C,'community %'!$B$29,'caseload data'!$D:$D,"SPO",'caseload data'!$B:$B,{"licence","community"}))/SUM(SUMIFS('caseload data'!T:T,'caseload data'!$B:$B,{"licence","community"},'caseload data'!$C:$C,'community %'!$B$29)),"")</f>
        <v/>
      </c>
      <c r="S34" s="64"/>
      <c r="T34" s="98" t="s">
        <v>954</v>
      </c>
      <c r="U34" s="167" t="str">
        <f>IFERROR(SUM(SUMIFS('caseload data'!E:E,'caseload data'!$C:$C,'community %'!$T$29,'caseload data'!$D:$D,"SPO",'caseload data'!$B:$B,{"licence","community"}))/SUM(SUMIFS('caseload data'!E:E,'caseload data'!$B:$B,{"licence","community"},'caseload data'!$C:$C,'community %'!$T$29)),"")</f>
        <v/>
      </c>
      <c r="V34" s="167" t="str">
        <f>IFERROR(SUM(SUMIFS('caseload data'!F:F,'caseload data'!$C:$C,'community %'!$T$29,'caseload data'!$D:$D,"SPO",'caseload data'!$B:$B,{"licence","community"}))/SUM(SUMIFS('caseload data'!F:F,'caseload data'!$B:$B,{"licence","community"},'caseload data'!$C:$C,'community %'!$T$29)),"")</f>
        <v/>
      </c>
      <c r="W34" s="167" t="str">
        <f>IFERROR(SUM(SUMIFS('caseload data'!G:G,'caseload data'!$C:$C,'community %'!$T$29,'caseload data'!$D:$D,"SPO",'caseload data'!$B:$B,{"licence","community"}))/SUM(SUMIFS('caseload data'!G:G,'caseload data'!$B:$B,{"licence","community"},'caseload data'!$C:$C,'community %'!$T$29)),"")</f>
        <v/>
      </c>
      <c r="X34" s="167" t="str">
        <f>IFERROR(SUM(SUMIFS('caseload data'!H:H,'caseload data'!$C:$C,'community %'!$T$29,'caseload data'!$D:$D,"SPO",'caseload data'!$B:$B,{"licence","community"}))/SUM(SUMIFS('caseload data'!H:H,'caseload data'!$B:$B,{"licence","community"},'caseload data'!$C:$C,'community %'!$T$29)),"")</f>
        <v/>
      </c>
      <c r="Y34" s="167" t="str">
        <f>IFERROR(SUM(SUMIFS('caseload data'!I:I,'caseload data'!$C:$C,'community %'!$T$29,'caseload data'!$D:$D,"SPO",'caseload data'!$B:$B,{"licence","community"}))/SUM(SUMIFS('caseload data'!I:I,'caseload data'!$B:$B,{"licence","community"},'caseload data'!$C:$C,'community %'!$T$29)),"")</f>
        <v/>
      </c>
      <c r="Z34" s="167" t="str">
        <f>IFERROR(SUM(SUMIFS('caseload data'!J:J,'caseload data'!$C:$C,'community %'!$T$29,'caseload data'!$D:$D,"SPO",'caseload data'!$B:$B,{"licence","community"}))/SUM(SUMIFS('caseload data'!J:J,'caseload data'!$B:$B,{"licence","community"},'caseload data'!$C:$C,'community %'!$T$29)),"")</f>
        <v/>
      </c>
      <c r="AA34" s="167" t="str">
        <f>IFERROR(SUM(SUMIFS('caseload data'!K:K,'caseload data'!$C:$C,'community %'!$T$29,'caseload data'!$D:$D,"SPO",'caseload data'!$B:$B,{"licence","community"}))/SUM(SUMIFS('caseload data'!K:K,'caseload data'!$B:$B,{"licence","community"},'caseload data'!$C:$C,'community %'!$T$29)),"")</f>
        <v/>
      </c>
      <c r="AB34" s="167" t="str">
        <f>IFERROR(SUM(SUMIFS('caseload data'!L:L,'caseload data'!$C:$C,'community %'!$T$29,'caseload data'!$D:$D,"SPO",'caseload data'!$B:$B,{"licence","community"}))/SUM(SUMIFS('caseload data'!L:L,'caseload data'!$B:$B,{"licence","community"},'caseload data'!$C:$C,'community %'!$T$29)),"")</f>
        <v/>
      </c>
      <c r="AC34" s="167" t="str">
        <f>IFERROR(SUM(SUMIFS('caseload data'!M:M,'caseload data'!$C:$C,'community %'!$T$29,'caseload data'!$D:$D,"SPO",'caseload data'!$B:$B,{"licence","community"}))/SUM(SUMIFS('caseload data'!M:M,'caseload data'!$B:$B,{"licence","community"},'caseload data'!$C:$C,'community %'!$T$29)),"")</f>
        <v/>
      </c>
      <c r="AD34" s="167" t="str">
        <f>IFERROR(SUM(SUMIFS('caseload data'!N:N,'caseload data'!$C:$C,'community %'!$T$29,'caseload data'!$D:$D,"SPO",'caseload data'!$B:$B,{"licence","community"}))/SUM(SUMIFS('caseload data'!N:N,'caseload data'!$B:$B,{"licence","community"},'caseload data'!$C:$C,'community %'!$T$29)),"")</f>
        <v/>
      </c>
      <c r="AE34" s="167" t="str">
        <f>IFERROR(SUM(SUMIFS('caseload data'!O:O,'caseload data'!$C:$C,'community %'!$T$29,'caseload data'!$D:$D,"SPO",'caseload data'!$B:$B,{"licence","community"}))/SUM(SUMIFS('caseload data'!O:O,'caseload data'!$B:$B,{"licence","community"},'caseload data'!$C:$C,'community %'!$T$29)),"")</f>
        <v/>
      </c>
      <c r="AF34" s="167" t="str">
        <f>IFERROR(SUM(SUMIFS('caseload data'!P:P,'caseload data'!$C:$C,'community %'!$T$29,'caseload data'!$D:$D,"SPO",'caseload data'!$B:$B,{"licence","community"}))/SUM(SUMIFS('caseload data'!P:P,'caseload data'!$B:$B,{"licence","community"},'caseload data'!$C:$C,'community %'!$T$29)),"")</f>
        <v/>
      </c>
      <c r="AG34" s="167" t="str">
        <f>IFERROR(SUM(SUMIFS('caseload data'!Q:Q,'caseload data'!$C:$C,'community %'!$T$29,'caseload data'!$D:$D,"SPO",'caseload data'!$B:$B,{"licence","community"}))/SUM(SUMIFS('caseload data'!Q:Q,'caseload data'!$B:$B,{"licence","community"},'caseload data'!$C:$C,'community %'!$T$29)),"")</f>
        <v/>
      </c>
      <c r="AH34" s="167" t="str">
        <f>IFERROR(SUM(SUMIFS('caseload data'!R:R,'caseload data'!$C:$C,'community %'!$T$29,'caseload data'!$D:$D,"SPO",'caseload data'!$B:$B,{"licence","community"}))/SUM(SUMIFS('caseload data'!R:R,'caseload data'!$B:$B,{"licence","community"},'caseload data'!$C:$C,'community %'!$T$29)),"")</f>
        <v/>
      </c>
      <c r="AI34" s="167" t="str">
        <f>IFERROR(SUM(SUMIFS('caseload data'!S:S,'caseload data'!$C:$C,'community %'!$T$29,'caseload data'!$D:$D,"SPO",'caseload data'!$B:$B,{"licence","community"}))/SUM(SUMIFS('caseload data'!S:S,'caseload data'!$B:$B,{"licence","community"},'caseload data'!$C:$C,'community %'!$T$29)),"")</f>
        <v/>
      </c>
      <c r="AJ34" s="167" t="str">
        <f>IFERROR(SUM(SUMIFS('caseload data'!T:T,'caseload data'!$C:$C,'community %'!$T$29,'caseload data'!$D:$D,"SPO",'caseload data'!$B:$B,{"licence","community"}))/SUM(SUMIFS('caseload data'!T:T,'caseload data'!$B:$B,{"licence","community"},'caseload data'!$C:$C,'community %'!$T$29)),"")</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0" customHeight="1" x14ac:dyDescent="0.15">
      <c r="B36" s="288">
        <f>HLOOKUP($B$5,Region_Table,10,0)</f>
        <v>0</v>
      </c>
      <c r="C36" s="540" t="s">
        <v>1081</v>
      </c>
      <c r="D36" s="541"/>
      <c r="E36" s="541"/>
      <c r="F36" s="541"/>
      <c r="G36" s="541"/>
      <c r="H36" s="541"/>
      <c r="I36" s="541"/>
      <c r="J36" s="541"/>
      <c r="K36" s="541"/>
      <c r="L36" s="541"/>
      <c r="M36" s="570"/>
      <c r="N36" s="570"/>
      <c r="O36" s="571"/>
      <c r="P36" s="543" cm="1">
        <f t="array" ref="P36">SUM(SUMIFS('caseload data'!V:V,'caseload data'!B:B,{"licence","community"},'caseload data'!$C:$C,B36))</f>
        <v>0</v>
      </c>
      <c r="Q36" s="560"/>
      <c r="R36" s="561"/>
      <c r="S36" s="64"/>
      <c r="T36" s="288">
        <f>HLOOKUP($B$5,Region_Table,11,0)</f>
        <v>0</v>
      </c>
      <c r="U36" s="540" t="s">
        <v>1081</v>
      </c>
      <c r="V36" s="541"/>
      <c r="W36" s="541"/>
      <c r="X36" s="541"/>
      <c r="Y36" s="541"/>
      <c r="Z36" s="541"/>
      <c r="AA36" s="541"/>
      <c r="AB36" s="541"/>
      <c r="AC36" s="541"/>
      <c r="AD36" s="541"/>
      <c r="AE36" s="570"/>
      <c r="AF36" s="570"/>
      <c r="AG36" s="571"/>
      <c r="AH36" s="543" cm="1">
        <f t="array" ref="AH36">SUM(SUMIFS('caseload data'!V:V,'caseload data'!B:B,{"licence","community"},'caseload data'!$C:$C,T36))</f>
        <v>0</v>
      </c>
      <c r="AI36" s="560"/>
      <c r="AJ36" s="561"/>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167" t="str">
        <f>IFERROR(SUM(SUMIFS('caseload data'!E:E,'caseload data'!$C:$C,'community %'!$B$36,'caseload data'!$D:$D,"PO",'caseload data'!$B:$B,{"licence","community"}))/SUM(SUMIFS('caseload data'!E:E,'caseload data'!$B:$B,{"licence","community"},'caseload data'!$C:$C,'community %'!$B$36)),"")</f>
        <v/>
      </c>
      <c r="D38" s="167" t="str">
        <f>IFERROR(SUM(SUMIFS('caseload data'!F:F,'caseload data'!$C:$C,'community %'!$B$36,'caseload data'!$D:$D,"PO",'caseload data'!$B:$B,{"licence","community"}))/SUM(SUMIFS('caseload data'!F:F,'caseload data'!$B:$B,{"licence","community"},'caseload data'!$C:$C,'community %'!$B$36)),"")</f>
        <v/>
      </c>
      <c r="E38" s="167" t="str">
        <f>IFERROR(SUM(SUMIFS('caseload data'!G:G,'caseload data'!$C:$C,'community %'!$B$36,'caseload data'!$D:$D,"PO",'caseload data'!$B:$B,{"licence","community"}))/SUM(SUMIFS('caseload data'!G:G,'caseload data'!$B:$B,{"licence","community"},'caseload data'!$C:$C,'community %'!$B$36)),"")</f>
        <v/>
      </c>
      <c r="F38" s="167" t="str">
        <f>IFERROR(SUM(SUMIFS('caseload data'!H:H,'caseload data'!$C:$C,'community %'!$B$36,'caseload data'!$D:$D,"PO",'caseload data'!$B:$B,{"licence","community"}))/SUM(SUMIFS('caseload data'!H:H,'caseload data'!$B:$B,{"licence","community"},'caseload data'!$C:$C,'community %'!$B$36)),"")</f>
        <v/>
      </c>
      <c r="G38" s="167" t="str">
        <f>IFERROR(SUM(SUMIFS('caseload data'!I:I,'caseload data'!$C:$C,'community %'!$B$36,'caseload data'!$D:$D,"PO",'caseload data'!$B:$B,{"licence","community"}))/SUM(SUMIFS('caseload data'!I:I,'caseload data'!$B:$B,{"licence","community"},'caseload data'!$C:$C,'community %'!$B$36)),"")</f>
        <v/>
      </c>
      <c r="H38" s="167" t="str">
        <f>IFERROR(SUM(SUMIFS('caseload data'!J:J,'caseload data'!$C:$C,'community %'!$B$36,'caseload data'!$D:$D,"PO",'caseload data'!$B:$B,{"licence","community"}))/SUM(SUMIFS('caseload data'!J:J,'caseload data'!$B:$B,{"licence","community"},'caseload data'!$C:$C,'community %'!$B$36)),"")</f>
        <v/>
      </c>
      <c r="I38" s="167" t="str">
        <f>IFERROR(SUM(SUMIFS('caseload data'!K:K,'caseload data'!$C:$C,'community %'!$B$36,'caseload data'!$D:$D,"PO",'caseload data'!$B:$B,{"licence","community"}))/SUM(SUMIFS('caseload data'!K:K,'caseload data'!$B:$B,{"licence","community"},'caseload data'!$C:$C,'community %'!$B$36)),"")</f>
        <v/>
      </c>
      <c r="J38" s="167" t="str">
        <f>IFERROR(SUM(SUMIFS('caseload data'!L:L,'caseload data'!$C:$C,'community %'!$B$36,'caseload data'!$D:$D,"PO",'caseload data'!$B:$B,{"licence","community"}))/SUM(SUMIFS('caseload data'!L:L,'caseload data'!$B:$B,{"licence","community"},'caseload data'!$C:$C,'community %'!$B$36)),"")</f>
        <v/>
      </c>
      <c r="K38" s="167" t="str">
        <f>IFERROR(SUM(SUMIFS('caseload data'!M:M,'caseload data'!$C:$C,'community %'!$B$36,'caseload data'!$D:$D,"PO",'caseload data'!$B:$B,{"licence","community"}))/SUM(SUMIFS('caseload data'!M:M,'caseload data'!$B:$B,{"licence","community"},'caseload data'!$C:$C,'community %'!$B$36)),"")</f>
        <v/>
      </c>
      <c r="L38" s="167" t="str">
        <f>IFERROR(SUM(SUMIFS('caseload data'!N:N,'caseload data'!$C:$C,'community %'!$B$36,'caseload data'!$D:$D,"PO",'caseload data'!$B:$B,{"licence","community"}))/SUM(SUMIFS('caseload data'!N:N,'caseload data'!$B:$B,{"licence","community"},'caseload data'!$C:$C,'community %'!$B$36)),"")</f>
        <v/>
      </c>
      <c r="M38" s="167" t="str">
        <f>IFERROR(SUM(SUMIFS('caseload data'!O:O,'caseload data'!$C:$C,'community %'!$B$36,'caseload data'!$D:$D,"PO",'caseload data'!$B:$B,{"licence","community"}))/SUM(SUMIFS('caseload data'!O:O,'caseload data'!$B:$B,{"licence","community"},'caseload data'!$C:$C,'community %'!$B$36)),"")</f>
        <v/>
      </c>
      <c r="N38" s="167" t="str">
        <f>IFERROR(SUM(SUMIFS('caseload data'!P:P,'caseload data'!$C:$C,'community %'!$B$36,'caseload data'!$D:$D,"PO",'caseload data'!$B:$B,{"licence","community"}))/SUM(SUMIFS('caseload data'!P:P,'caseload data'!$B:$B,{"licence","community"},'caseload data'!$C:$C,'community %'!$B$36)),"")</f>
        <v/>
      </c>
      <c r="O38" s="167" t="str">
        <f>IFERROR(SUM(SUMIFS('caseload data'!Q:Q,'caseload data'!$C:$C,'community %'!$B$36,'caseload data'!$D:$D,"PO",'caseload data'!$B:$B,{"licence","community"}))/SUM(SUMIFS('caseload data'!Q:Q,'caseload data'!$B:$B,{"licence","community"},'caseload data'!$C:$C,'community %'!$B$36)),"")</f>
        <v/>
      </c>
      <c r="P38" s="167" t="str">
        <f>IFERROR(SUM(SUMIFS('caseload data'!R:R,'caseload data'!$C:$C,'community %'!$B$36,'caseload data'!$D:$D,"PO",'caseload data'!$B:$B,{"licence","community"}))/SUM(SUMIFS('caseload data'!R:R,'caseload data'!$B:$B,{"licence","community"},'caseload data'!$C:$C,'community %'!$B$36)),"")</f>
        <v/>
      </c>
      <c r="Q38" s="167" t="str">
        <f>IFERROR(SUM(SUMIFS('caseload data'!S:S,'caseload data'!$C:$C,'community %'!$B$36,'caseload data'!$D:$D,"PO",'caseload data'!$B:$B,{"licence","community"}))/SUM(SUMIFS('caseload data'!S:S,'caseload data'!$B:$B,{"licence","community"},'caseload data'!$C:$C,'community %'!$B$36)),"")</f>
        <v/>
      </c>
      <c r="R38" s="167" t="str">
        <f>IFERROR(SUM(SUMIFS('caseload data'!T:T,'caseload data'!$C:$C,'community %'!$B$36,'caseload data'!$D:$D,"PO",'caseload data'!$B:$B,{"licence","community"}))/SUM(SUMIFS('caseload data'!T:T,'caseload data'!$B:$B,{"licence","community"},'caseload data'!$C:$C,'community %'!$B$36)),"")</f>
        <v/>
      </c>
      <c r="S38" s="64"/>
      <c r="T38" s="96" t="s">
        <v>947</v>
      </c>
      <c r="U38" s="167" t="str">
        <f>IFERROR(SUM(SUMIFS('caseload data'!E:E,'caseload data'!$C:$C,'community %'!$T$36,'caseload data'!$D:$D,"PO",'caseload data'!$B:$B,{"licence","community"}))/SUM(SUMIFS('caseload data'!E:E,'caseload data'!$B:$B,{"licence","community"},'caseload data'!$C:$C,'community %'!$T$36)),"")</f>
        <v/>
      </c>
      <c r="V38" s="167" t="str">
        <f>IFERROR(SUM(SUMIFS('caseload data'!F:F,'caseload data'!$C:$C,'community %'!$T$36,'caseload data'!$D:$D,"PO",'caseload data'!$B:$B,{"licence","community"}))/SUM(SUMIFS('caseload data'!F:F,'caseload data'!$B:$B,{"licence","community"},'caseload data'!$C:$C,'community %'!$T$36)),"")</f>
        <v/>
      </c>
      <c r="W38" s="167" t="str">
        <f>IFERROR(SUM(SUMIFS('caseload data'!G:G,'caseload data'!$C:$C,'community %'!$T$36,'caseload data'!$D:$D,"PO",'caseload data'!$B:$B,{"licence","community"}))/SUM(SUMIFS('caseload data'!G:G,'caseload data'!$B:$B,{"licence","community"},'caseload data'!$C:$C,'community %'!$T$36)),"")</f>
        <v/>
      </c>
      <c r="X38" s="167" t="str">
        <f>IFERROR(SUM(SUMIFS('caseload data'!H:H,'caseload data'!$C:$C,'community %'!$T$36,'caseload data'!$D:$D,"PO",'caseload data'!$B:$B,{"licence","community"}))/SUM(SUMIFS('caseload data'!H:H,'caseload data'!$B:$B,{"licence","community"},'caseload data'!$C:$C,'community %'!$T$36)),"")</f>
        <v/>
      </c>
      <c r="Y38" s="167" t="str">
        <f>IFERROR(SUM(SUMIFS('caseload data'!I:I,'caseload data'!$C:$C,'community %'!$T$36,'caseload data'!$D:$D,"PO",'caseload data'!$B:$B,{"licence","community"}))/SUM(SUMIFS('caseload data'!I:I,'caseload data'!$B:$B,{"licence","community"},'caseload data'!$C:$C,'community %'!$T$36)),"")</f>
        <v/>
      </c>
      <c r="Z38" s="167" t="str">
        <f>IFERROR(SUM(SUMIFS('caseload data'!J:J,'caseload data'!$C:$C,'community %'!$T$36,'caseload data'!$D:$D,"PO",'caseload data'!$B:$B,{"licence","community"}))/SUM(SUMIFS('caseload data'!J:J,'caseload data'!$B:$B,{"licence","community"},'caseload data'!$C:$C,'community %'!$T$36)),"")</f>
        <v/>
      </c>
      <c r="AA38" s="167" t="str">
        <f>IFERROR(SUM(SUMIFS('caseload data'!K:K,'caseload data'!$C:$C,'community %'!$T$36,'caseload data'!$D:$D,"PO",'caseload data'!$B:$B,{"licence","community"}))/SUM(SUMIFS('caseload data'!K:K,'caseload data'!$B:$B,{"licence","community"},'caseload data'!$C:$C,'community %'!$T$36)),"")</f>
        <v/>
      </c>
      <c r="AB38" s="167" t="str">
        <f>IFERROR(SUM(SUMIFS('caseload data'!L:L,'caseload data'!$C:$C,'community %'!$T$36,'caseload data'!$D:$D,"PO",'caseload data'!$B:$B,{"licence","community"}))/SUM(SUMIFS('caseload data'!L:L,'caseload data'!$B:$B,{"licence","community"},'caseload data'!$C:$C,'community %'!$T$36)),"")</f>
        <v/>
      </c>
      <c r="AC38" s="167" t="str">
        <f>IFERROR(SUM(SUMIFS('caseload data'!M:M,'caseload data'!$C:$C,'community %'!$T$36,'caseload data'!$D:$D,"PO",'caseload data'!$B:$B,{"licence","community"}))/SUM(SUMIFS('caseload data'!M:M,'caseload data'!$B:$B,{"licence","community"},'caseload data'!$C:$C,'community %'!$T$36)),"")</f>
        <v/>
      </c>
      <c r="AD38" s="167" t="str">
        <f>IFERROR(SUM(SUMIFS('caseload data'!N:N,'caseload data'!$C:$C,'community %'!$T$36,'caseload data'!$D:$D,"PO",'caseload data'!$B:$B,{"licence","community"}))/SUM(SUMIFS('caseload data'!N:N,'caseload data'!$B:$B,{"licence","community"},'caseload data'!$C:$C,'community %'!$T$36)),"")</f>
        <v/>
      </c>
      <c r="AE38" s="167" t="str">
        <f>IFERROR(SUM(SUMIFS('caseload data'!O:O,'caseload data'!$C:$C,'community %'!$T$36,'caseload data'!$D:$D,"PO",'caseload data'!$B:$B,{"licence","community"}))/SUM(SUMIFS('caseload data'!O:O,'caseload data'!$B:$B,{"licence","community"},'caseload data'!$C:$C,'community %'!$T$36)),"")</f>
        <v/>
      </c>
      <c r="AF38" s="167" t="str">
        <f>IFERROR(SUM(SUMIFS('caseload data'!P:P,'caseload data'!$C:$C,'community %'!$T$36,'caseload data'!$D:$D,"PO",'caseload data'!$B:$B,{"licence","community"}))/SUM(SUMIFS('caseload data'!P:P,'caseload data'!$B:$B,{"licence","community"},'caseload data'!$C:$C,'community %'!$T$36)),"")</f>
        <v/>
      </c>
      <c r="AG38" s="167" t="str">
        <f>IFERROR(SUM(SUMIFS('caseload data'!Q:Q,'caseload data'!$C:$C,'community %'!$T$36,'caseload data'!$D:$D,"PO",'caseload data'!$B:$B,{"licence","community"}))/SUM(SUMIFS('caseload data'!Q:Q,'caseload data'!$B:$B,{"licence","community"},'caseload data'!$C:$C,'community %'!$T$36)),"")</f>
        <v/>
      </c>
      <c r="AH38" s="167" t="str">
        <f>IFERROR(SUM(SUMIFS('caseload data'!R:R,'caseload data'!$C:$C,'community %'!$T$36,'caseload data'!$D:$D,"PO",'caseload data'!$B:$B,{"licence","community"}))/SUM(SUMIFS('caseload data'!R:R,'caseload data'!$B:$B,{"licence","community"},'caseload data'!$C:$C,'community %'!$T$36)),"")</f>
        <v/>
      </c>
      <c r="AI38" s="167" t="str">
        <f>IFERROR(SUM(SUMIFS('caseload data'!S:S,'caseload data'!$C:$C,'community %'!$T$36,'caseload data'!$D:$D,"PO",'caseload data'!$B:$B,{"licence","community"}))/SUM(SUMIFS('caseload data'!S:S,'caseload data'!$B:$B,{"licence","community"},'caseload data'!$C:$C,'community %'!$T$36)),"")</f>
        <v/>
      </c>
      <c r="AJ38" s="167" t="str">
        <f>IFERROR(SUM(SUMIFS('caseload data'!T:T,'caseload data'!$C:$C,'community %'!$T$36,'caseload data'!$D:$D,"PO",'caseload data'!$B:$B,{"licence","community"}))/SUM(SUMIFS('caseload data'!T:T,'caseload data'!$B:$B,{"licence","community"},'caseload data'!$C:$C,'community %'!$T$36)),"")</f>
        <v/>
      </c>
    </row>
    <row r="39" spans="2:36" x14ac:dyDescent="0.15">
      <c r="B39" s="97" t="s">
        <v>952</v>
      </c>
      <c r="C39" s="167" t="str">
        <f>IFERROR(SUM(SUMIFS('caseload data'!E:E,'caseload data'!$C:$C,'community %'!$B$36,'caseload data'!$D:$D,"PSO",'caseload data'!$B:$B,{"licence","community"}))/SUM(SUMIFS('caseload data'!E:E,'caseload data'!$B:$B,{"licence","community"},'caseload data'!$C:$C,'community %'!$B$36)),"")</f>
        <v/>
      </c>
      <c r="D39" s="167" t="str">
        <f>IFERROR(SUM(SUMIFS('caseload data'!F:F,'caseload data'!$C:$C,'community %'!$B$36,'caseload data'!$D:$D,"PSO",'caseload data'!$B:$B,{"licence","community"}))/SUM(SUMIFS('caseload data'!F:F,'caseload data'!$B:$B,{"licence","community"},'caseload data'!$C:$C,'community %'!$B$36)),"")</f>
        <v/>
      </c>
      <c r="E39" s="167" t="str">
        <f>IFERROR(SUM(SUMIFS('caseload data'!G:G,'caseload data'!$C:$C,'community %'!$B$36,'caseload data'!$D:$D,"PSO",'caseload data'!$B:$B,{"licence","community"}))/SUM(SUMIFS('caseload data'!G:G,'caseload data'!$B:$B,{"licence","community"},'caseload data'!$C:$C,'community %'!$B$36)),"")</f>
        <v/>
      </c>
      <c r="F39" s="167" t="str">
        <f>IFERROR(SUM(SUMIFS('caseload data'!H:H,'caseload data'!$C:$C,'community %'!$B$36,'caseload data'!$D:$D,"PSO",'caseload data'!$B:$B,{"licence","community"}))/SUM(SUMIFS('caseload data'!H:H,'caseload data'!$B:$B,{"licence","community"},'caseload data'!$C:$C,'community %'!$B$36)),"")</f>
        <v/>
      </c>
      <c r="G39" s="167" t="str">
        <f>IFERROR(SUM(SUMIFS('caseload data'!I:I,'caseload data'!$C:$C,'community %'!$B$36,'caseload data'!$D:$D,"PSO",'caseload data'!$B:$B,{"licence","community"}))/SUM(SUMIFS('caseload data'!I:I,'caseload data'!$B:$B,{"licence","community"},'caseload data'!$C:$C,'community %'!$B$36)),"")</f>
        <v/>
      </c>
      <c r="H39" s="167" t="str">
        <f>IFERROR(SUM(SUMIFS('caseload data'!J:J,'caseload data'!$C:$C,'community %'!$B$36,'caseload data'!$D:$D,"PSO",'caseload data'!$B:$B,{"licence","community"}))/SUM(SUMIFS('caseload data'!J:J,'caseload data'!$B:$B,{"licence","community"},'caseload data'!$C:$C,'community %'!$B$36)),"")</f>
        <v/>
      </c>
      <c r="I39" s="167" t="str">
        <f>IFERROR(SUM(SUMIFS('caseload data'!K:K,'caseload data'!$C:$C,'community %'!$B$36,'caseload data'!$D:$D,"PSO",'caseload data'!$B:$B,{"licence","community"}))/SUM(SUMIFS('caseload data'!K:K,'caseload data'!$B:$B,{"licence","community"},'caseload data'!$C:$C,'community %'!$B$36)),"")</f>
        <v/>
      </c>
      <c r="J39" s="167" t="str">
        <f>IFERROR(SUM(SUMIFS('caseload data'!L:L,'caseload data'!$C:$C,'community %'!$B$36,'caseload data'!$D:$D,"PSO",'caseload data'!$B:$B,{"licence","community"}))/SUM(SUMIFS('caseload data'!L:L,'caseload data'!$B:$B,{"licence","community"},'caseload data'!$C:$C,'community %'!$B$36)),"")</f>
        <v/>
      </c>
      <c r="K39" s="167" t="str">
        <f>IFERROR(SUM(SUMIFS('caseload data'!M:M,'caseload data'!$C:$C,'community %'!$B$36,'caseload data'!$D:$D,"PSO",'caseload data'!$B:$B,{"licence","community"}))/SUM(SUMIFS('caseload data'!M:M,'caseload data'!$B:$B,{"licence","community"},'caseload data'!$C:$C,'community %'!$B$36)),"")</f>
        <v/>
      </c>
      <c r="L39" s="167" t="str">
        <f>IFERROR(SUM(SUMIFS('caseload data'!N:N,'caseload data'!$C:$C,'community %'!$B$36,'caseload data'!$D:$D,"PSO",'caseload data'!$B:$B,{"licence","community"}))/SUM(SUMIFS('caseload data'!N:N,'caseload data'!$B:$B,{"licence","community"},'caseload data'!$C:$C,'community %'!$B$36)),"")</f>
        <v/>
      </c>
      <c r="M39" s="167" t="str">
        <f>IFERROR(SUM(SUMIFS('caseload data'!O:O,'caseload data'!$C:$C,'community %'!$B$36,'caseload data'!$D:$D,"PSO",'caseload data'!$B:$B,{"licence","community"}))/SUM(SUMIFS('caseload data'!O:O,'caseload data'!$B:$B,{"licence","community"},'caseload data'!$C:$C,'community %'!$B$36)),"")</f>
        <v/>
      </c>
      <c r="N39" s="167" t="str">
        <f>IFERROR(SUM(SUMIFS('caseload data'!P:P,'caseload data'!$C:$C,'community %'!$B$36,'caseload data'!$D:$D,"PSO",'caseload data'!$B:$B,{"licence","community"}))/SUM(SUMIFS('caseload data'!P:P,'caseload data'!$B:$B,{"licence","community"},'caseload data'!$C:$C,'community %'!$B$36)),"")</f>
        <v/>
      </c>
      <c r="O39" s="167" t="str">
        <f>IFERROR(SUM(SUMIFS('caseload data'!Q:Q,'caseload data'!$C:$C,'community %'!$B$36,'caseload data'!$D:$D,"PSO",'caseload data'!$B:$B,{"licence","community"}))/SUM(SUMIFS('caseload data'!Q:Q,'caseload data'!$B:$B,{"licence","community"},'caseload data'!$C:$C,'community %'!$B$36)),"")</f>
        <v/>
      </c>
      <c r="P39" s="167" t="str">
        <f>IFERROR(SUM(SUMIFS('caseload data'!R:R,'caseload data'!$C:$C,'community %'!$B$36,'caseload data'!$D:$D,"PSO",'caseload data'!$B:$B,{"licence","community"}))/SUM(SUMIFS('caseload data'!R:R,'caseload data'!$B:$B,{"licence","community"},'caseload data'!$C:$C,'community %'!$B$36)),"")</f>
        <v/>
      </c>
      <c r="Q39" s="167" t="str">
        <f>IFERROR(SUM(SUMIFS('caseload data'!S:S,'caseload data'!$C:$C,'community %'!$B$36,'caseload data'!$D:$D,"PSO",'caseload data'!$B:$B,{"licence","community"}))/SUM(SUMIFS('caseload data'!S:S,'caseload data'!$B:$B,{"licence","community"},'caseload data'!$C:$C,'community %'!$B$36)),"")</f>
        <v/>
      </c>
      <c r="R39" s="167" t="str">
        <f>IFERROR(SUM(SUMIFS('caseload data'!T:T,'caseload data'!$C:$C,'community %'!$B$36,'caseload data'!$D:$D,"PSO",'caseload data'!$B:$B,{"licence","community"}))/SUM(SUMIFS('caseload data'!T:T,'caseload data'!$B:$B,{"licence","community"},'caseload data'!$C:$C,'community %'!$B$36)),"")</f>
        <v/>
      </c>
      <c r="S39" s="64"/>
      <c r="T39" s="97" t="s">
        <v>952</v>
      </c>
      <c r="U39" s="167" t="str">
        <f>IFERROR(SUM(SUMIFS('caseload data'!E:E,'caseload data'!$C:$C,'community %'!$T$36,'caseload data'!$D:$D,"PSO",'caseload data'!$B:$B,{"licence","community"}))/SUM(SUMIFS('caseload data'!E:E,'caseload data'!$B:$B,{"licence","community"},'caseload data'!$C:$C,'community %'!$T$36)),"")</f>
        <v/>
      </c>
      <c r="V39" s="167" t="str">
        <f>IFERROR(SUM(SUMIFS('caseload data'!F:F,'caseload data'!$C:$C,'community %'!$T$36,'caseload data'!$D:$D,"PSO",'caseload data'!$B:$B,{"licence","community"}))/SUM(SUMIFS('caseload data'!F:F,'caseload data'!$B:$B,{"licence","community"},'caseload data'!$C:$C,'community %'!$T$36)),"")</f>
        <v/>
      </c>
      <c r="W39" s="167" t="str">
        <f>IFERROR(SUM(SUMIFS('caseload data'!G:G,'caseload data'!$C:$C,'community %'!$T$36,'caseload data'!$D:$D,"PSO",'caseload data'!$B:$B,{"licence","community"}))/SUM(SUMIFS('caseload data'!G:G,'caseload data'!$B:$B,{"licence","community"},'caseload data'!$C:$C,'community %'!$T$36)),"")</f>
        <v/>
      </c>
      <c r="X39" s="167" t="str">
        <f>IFERROR(SUM(SUMIFS('caseload data'!H:H,'caseload data'!$C:$C,'community %'!$T$36,'caseload data'!$D:$D,"PSO",'caseload data'!$B:$B,{"licence","community"}))/SUM(SUMIFS('caseload data'!H:H,'caseload data'!$B:$B,{"licence","community"},'caseload data'!$C:$C,'community %'!$T$36)),"")</f>
        <v/>
      </c>
      <c r="Y39" s="167" t="str">
        <f>IFERROR(SUM(SUMIFS('caseload data'!I:I,'caseload data'!$C:$C,'community %'!$T$36,'caseload data'!$D:$D,"PSO",'caseload data'!$B:$B,{"licence","community"}))/SUM(SUMIFS('caseload data'!I:I,'caseload data'!$B:$B,{"licence","community"},'caseload data'!$C:$C,'community %'!$T$36)),"")</f>
        <v/>
      </c>
      <c r="Z39" s="167" t="str">
        <f>IFERROR(SUM(SUMIFS('caseload data'!J:J,'caseload data'!$C:$C,'community %'!$T$36,'caseload data'!$D:$D,"PSO",'caseload data'!$B:$B,{"licence","community"}))/SUM(SUMIFS('caseload data'!J:J,'caseload data'!$B:$B,{"licence","community"},'caseload data'!$C:$C,'community %'!$T$36)),"")</f>
        <v/>
      </c>
      <c r="AA39" s="167" t="str">
        <f>IFERROR(SUM(SUMIFS('caseload data'!K:K,'caseload data'!$C:$C,'community %'!$T$36,'caseload data'!$D:$D,"PSO",'caseload data'!$B:$B,{"licence","community"}))/SUM(SUMIFS('caseload data'!K:K,'caseload data'!$B:$B,{"licence","community"},'caseload data'!$C:$C,'community %'!$T$36)),"")</f>
        <v/>
      </c>
      <c r="AB39" s="167" t="str">
        <f>IFERROR(SUM(SUMIFS('caseload data'!L:L,'caseload data'!$C:$C,'community %'!$T$36,'caseload data'!$D:$D,"PSO",'caseload data'!$B:$B,{"licence","community"}))/SUM(SUMIFS('caseload data'!L:L,'caseload data'!$B:$B,{"licence","community"},'caseload data'!$C:$C,'community %'!$T$36)),"")</f>
        <v/>
      </c>
      <c r="AC39" s="167" t="str">
        <f>IFERROR(SUM(SUMIFS('caseload data'!M:M,'caseload data'!$C:$C,'community %'!$T$36,'caseload data'!$D:$D,"PSO",'caseload data'!$B:$B,{"licence","community"}))/SUM(SUMIFS('caseload data'!M:M,'caseload data'!$B:$B,{"licence","community"},'caseload data'!$C:$C,'community %'!$T$36)),"")</f>
        <v/>
      </c>
      <c r="AD39" s="167" t="str">
        <f>IFERROR(SUM(SUMIFS('caseload data'!N:N,'caseload data'!$C:$C,'community %'!$T$36,'caseload data'!$D:$D,"PSO",'caseload data'!$B:$B,{"licence","community"}))/SUM(SUMIFS('caseload data'!N:N,'caseload data'!$B:$B,{"licence","community"},'caseload data'!$C:$C,'community %'!$T$36)),"")</f>
        <v/>
      </c>
      <c r="AE39" s="167" t="str">
        <f>IFERROR(SUM(SUMIFS('caseload data'!O:O,'caseload data'!$C:$C,'community %'!$T$36,'caseload data'!$D:$D,"PSO",'caseload data'!$B:$B,{"licence","community"}))/SUM(SUMIFS('caseload data'!O:O,'caseload data'!$B:$B,{"licence","community"},'caseload data'!$C:$C,'community %'!$T$36)),"")</f>
        <v/>
      </c>
      <c r="AF39" s="167" t="str">
        <f>IFERROR(SUM(SUMIFS('caseload data'!P:P,'caseload data'!$C:$C,'community %'!$T$36,'caseload data'!$D:$D,"PSO",'caseload data'!$B:$B,{"licence","community"}))/SUM(SUMIFS('caseload data'!P:P,'caseload data'!$B:$B,{"licence","community"},'caseload data'!$C:$C,'community %'!$T$36)),"")</f>
        <v/>
      </c>
      <c r="AG39" s="167" t="str">
        <f>IFERROR(SUM(SUMIFS('caseload data'!Q:Q,'caseload data'!$C:$C,'community %'!$T$36,'caseload data'!$D:$D,"PSO",'caseload data'!$B:$B,{"licence","community"}))/SUM(SUMIFS('caseload data'!Q:Q,'caseload data'!$B:$B,{"licence","community"},'caseload data'!$C:$C,'community %'!$T$36)),"")</f>
        <v/>
      </c>
      <c r="AH39" s="167" t="str">
        <f>IFERROR(SUM(SUMIFS('caseload data'!R:R,'caseload data'!$C:$C,'community %'!$T$36,'caseload data'!$D:$D,"PSO",'caseload data'!$B:$B,{"licence","community"}))/SUM(SUMIFS('caseload data'!R:R,'caseload data'!$B:$B,{"licence","community"},'caseload data'!$C:$C,'community %'!$T$36)),"")</f>
        <v/>
      </c>
      <c r="AI39" s="167" t="str">
        <f>IFERROR(SUM(SUMIFS('caseload data'!S:S,'caseload data'!$C:$C,'community %'!$T$36,'caseload data'!$D:$D,"PSO",'caseload data'!$B:$B,{"licence","community"}))/SUM(SUMIFS('caseload data'!S:S,'caseload data'!$B:$B,{"licence","community"},'caseload data'!$C:$C,'community %'!$T$36)),"")</f>
        <v/>
      </c>
      <c r="AJ39" s="167" t="str">
        <f>IFERROR(SUM(SUMIFS('caseload data'!T:T,'caseload data'!$C:$C,'community %'!$T$36,'caseload data'!$D:$D,"PSO",'caseload data'!$B:$B,{"licence","community"}))/SUM(SUMIFS('caseload data'!T:T,'caseload data'!$B:$B,{"licence","community"},'caseload data'!$C:$C,'community %'!$T$36)),"")</f>
        <v/>
      </c>
    </row>
    <row r="40" spans="2:36" x14ac:dyDescent="0.15">
      <c r="B40" s="97" t="s">
        <v>953</v>
      </c>
      <c r="C40" s="167" t="str">
        <f>IFERROR(SUM(SUMIFS('caseload data'!E:E,'caseload data'!$C:$C,'community %'!$B$36,'caseload data'!$D:$D,"TPO",'caseload data'!$B:$B,{"licence","community"}))/SUM(SUMIFS('caseload data'!E:E,'caseload data'!$B:$B,{"licence","community"},'caseload data'!$C:$C,'community %'!$B$36)),"")</f>
        <v/>
      </c>
      <c r="D40" s="167" t="str">
        <f>IFERROR(SUM(SUMIFS('caseload data'!F:F,'caseload data'!$C:$C,'community %'!$B$36,'caseload data'!$D:$D,"TPO",'caseload data'!$B:$B,{"licence","community"}))/SUM(SUMIFS('caseload data'!F:F,'caseload data'!$B:$B,{"licence","community"},'caseload data'!$C:$C,'community %'!$B$36)),"")</f>
        <v/>
      </c>
      <c r="E40" s="167" t="str">
        <f>IFERROR(SUM(SUMIFS('caseload data'!G:G,'caseload data'!$C:$C,'community %'!$B$36,'caseload data'!$D:$D,"TPO",'caseload data'!$B:$B,{"licence","community"}))/SUM(SUMIFS('caseload data'!G:G,'caseload data'!$B:$B,{"licence","community"},'caseload data'!$C:$C,'community %'!$B$36)),"")</f>
        <v/>
      </c>
      <c r="F40" s="167" t="str">
        <f>IFERROR(SUM(SUMIFS('caseload data'!H:H,'caseload data'!$C:$C,'community %'!$B$36,'caseload data'!$D:$D,"TPO",'caseload data'!$B:$B,{"licence","community"}))/SUM(SUMIFS('caseload data'!H:H,'caseload data'!$B:$B,{"licence","community"},'caseload data'!$C:$C,'community %'!$B$36)),"")</f>
        <v/>
      </c>
      <c r="G40" s="167" t="str">
        <f>IFERROR(SUM(SUMIFS('caseload data'!I:I,'caseload data'!$C:$C,'community %'!$B$36,'caseload data'!$D:$D,"TPO",'caseload data'!$B:$B,{"licence","community"}))/SUM(SUMIFS('caseload data'!I:I,'caseload data'!$B:$B,{"licence","community"},'caseload data'!$C:$C,'community %'!$B$36)),"")</f>
        <v/>
      </c>
      <c r="H40" s="167" t="str">
        <f>IFERROR(SUM(SUMIFS('caseload data'!J:J,'caseload data'!$C:$C,'community %'!$B$36,'caseload data'!$D:$D,"TPO",'caseload data'!$B:$B,{"licence","community"}))/SUM(SUMIFS('caseload data'!J:J,'caseload data'!$B:$B,{"licence","community"},'caseload data'!$C:$C,'community %'!$B$36)),"")</f>
        <v/>
      </c>
      <c r="I40" s="167" t="str">
        <f>IFERROR(SUM(SUMIFS('caseload data'!K:K,'caseload data'!$C:$C,'community %'!$B$36,'caseload data'!$D:$D,"TPO",'caseload data'!$B:$B,{"licence","community"}))/SUM(SUMIFS('caseload data'!K:K,'caseload data'!$B:$B,{"licence","community"},'caseload data'!$C:$C,'community %'!$B$36)),"")</f>
        <v/>
      </c>
      <c r="J40" s="167" t="str">
        <f>IFERROR(SUM(SUMIFS('caseload data'!L:L,'caseload data'!$C:$C,'community %'!$B$36,'caseload data'!$D:$D,"TPO",'caseload data'!$B:$B,{"licence","community"}))/SUM(SUMIFS('caseload data'!L:L,'caseload data'!$B:$B,{"licence","community"},'caseload data'!$C:$C,'community %'!$B$36)),"")</f>
        <v/>
      </c>
      <c r="K40" s="167" t="str">
        <f>IFERROR(SUM(SUMIFS('caseload data'!M:M,'caseload data'!$C:$C,'community %'!$B$36,'caseload data'!$D:$D,"TPO",'caseload data'!$B:$B,{"licence","community"}))/SUM(SUMIFS('caseload data'!M:M,'caseload data'!$B:$B,{"licence","community"},'caseload data'!$C:$C,'community %'!$B$36)),"")</f>
        <v/>
      </c>
      <c r="L40" s="167" t="str">
        <f>IFERROR(SUM(SUMIFS('caseload data'!N:N,'caseload data'!$C:$C,'community %'!$B$36,'caseload data'!$D:$D,"TPO",'caseload data'!$B:$B,{"licence","community"}))/SUM(SUMIFS('caseload data'!N:N,'caseload data'!$B:$B,{"licence","community"},'caseload data'!$C:$C,'community %'!$B$36)),"")</f>
        <v/>
      </c>
      <c r="M40" s="167" t="str">
        <f>IFERROR(SUM(SUMIFS('caseload data'!O:O,'caseload data'!$C:$C,'community %'!$B$36,'caseload data'!$D:$D,"TPO",'caseload data'!$B:$B,{"licence","community"}))/SUM(SUMIFS('caseload data'!O:O,'caseload data'!$B:$B,{"licence","community"},'caseload data'!$C:$C,'community %'!$B$36)),"")</f>
        <v/>
      </c>
      <c r="N40" s="167" t="str">
        <f>IFERROR(SUM(SUMIFS('caseload data'!P:P,'caseload data'!$C:$C,'community %'!$B$36,'caseload data'!$D:$D,"TPO",'caseload data'!$B:$B,{"licence","community"}))/SUM(SUMIFS('caseload data'!P:P,'caseload data'!$B:$B,{"licence","community"},'caseload data'!$C:$C,'community %'!$B$36)),"")</f>
        <v/>
      </c>
      <c r="O40" s="167" t="str">
        <f>IFERROR(SUM(SUMIFS('caseload data'!Q:Q,'caseload data'!$C:$C,'community %'!$B$36,'caseload data'!$D:$D,"TPO",'caseload data'!$B:$B,{"licence","community"}))/SUM(SUMIFS('caseload data'!Q:Q,'caseload data'!$B:$B,{"licence","community"},'caseload data'!$C:$C,'community %'!$B$36)),"")</f>
        <v/>
      </c>
      <c r="P40" s="167" t="str">
        <f>IFERROR(SUM(SUMIFS('caseload data'!R:R,'caseload data'!$C:$C,'community %'!$B$36,'caseload data'!$D:$D,"TPO",'caseload data'!$B:$B,{"licence","community"}))/SUM(SUMIFS('caseload data'!R:R,'caseload data'!$B:$B,{"licence","community"},'caseload data'!$C:$C,'community %'!$B$36)),"")</f>
        <v/>
      </c>
      <c r="Q40" s="167" t="str">
        <f>IFERROR(SUM(SUMIFS('caseload data'!S:S,'caseload data'!$C:$C,'community %'!$B$36,'caseload data'!$D:$D,"TPO",'caseload data'!$B:$B,{"licence","community"}))/SUM(SUMIFS('caseload data'!S:S,'caseload data'!$B:$B,{"licence","community"},'caseload data'!$C:$C,'community %'!$B$36)),"")</f>
        <v/>
      </c>
      <c r="R40" s="167" t="str">
        <f>IFERROR(SUM(SUMIFS('caseload data'!T:T,'caseload data'!$C:$C,'community %'!$B$36,'caseload data'!$D:$D,"TPO",'caseload data'!$B:$B,{"licence","community"}))/SUM(SUMIFS('caseload data'!T:T,'caseload data'!$B:$B,{"licence","community"},'caseload data'!$C:$C,'community %'!$B$36)),"")</f>
        <v/>
      </c>
      <c r="S40" s="64"/>
      <c r="T40" s="97" t="s">
        <v>953</v>
      </c>
      <c r="U40" s="167" t="str">
        <f>IFERROR(SUM(SUMIFS('caseload data'!E:E,'caseload data'!$C:$C,'community %'!$T$36,'caseload data'!$D:$D,"TPO",'caseload data'!$B:$B,{"licence","community"}))/SUM(SUMIFS('caseload data'!E:E,'caseload data'!$B:$B,{"licence","community"},'caseload data'!$C:$C,'community %'!$T$36)),"")</f>
        <v/>
      </c>
      <c r="V40" s="167" t="str">
        <f>IFERROR(SUM(SUMIFS('caseload data'!F:F,'caseload data'!$C:$C,'community %'!$T$36,'caseload data'!$D:$D,"TPO",'caseload data'!$B:$B,{"licence","community"}))/SUM(SUMIFS('caseload data'!F:F,'caseload data'!$B:$B,{"licence","community"},'caseload data'!$C:$C,'community %'!$T$36)),"")</f>
        <v/>
      </c>
      <c r="W40" s="167" t="str">
        <f>IFERROR(SUM(SUMIFS('caseload data'!G:G,'caseload data'!$C:$C,'community %'!$T$36,'caseload data'!$D:$D,"TPO",'caseload data'!$B:$B,{"licence","community"}))/SUM(SUMIFS('caseload data'!G:G,'caseload data'!$B:$B,{"licence","community"},'caseload data'!$C:$C,'community %'!$T$36)),"")</f>
        <v/>
      </c>
      <c r="X40" s="167" t="str">
        <f>IFERROR(SUM(SUMIFS('caseload data'!H:H,'caseload data'!$C:$C,'community %'!$T$36,'caseload data'!$D:$D,"TPO",'caseload data'!$B:$B,{"licence","community"}))/SUM(SUMIFS('caseload data'!H:H,'caseload data'!$B:$B,{"licence","community"},'caseload data'!$C:$C,'community %'!$T$36)),"")</f>
        <v/>
      </c>
      <c r="Y40" s="167" t="str">
        <f>IFERROR(SUM(SUMIFS('caseload data'!I:I,'caseload data'!$C:$C,'community %'!$T$36,'caseload data'!$D:$D,"TPO",'caseload data'!$B:$B,{"licence","community"}))/SUM(SUMIFS('caseload data'!I:I,'caseload data'!$B:$B,{"licence","community"},'caseload data'!$C:$C,'community %'!$T$36)),"")</f>
        <v/>
      </c>
      <c r="Z40" s="167" t="str">
        <f>IFERROR(SUM(SUMIFS('caseload data'!J:J,'caseload data'!$C:$C,'community %'!$T$36,'caseload data'!$D:$D,"TPO",'caseload data'!$B:$B,{"licence","community"}))/SUM(SUMIFS('caseload data'!J:J,'caseload data'!$B:$B,{"licence","community"},'caseload data'!$C:$C,'community %'!$T$36)),"")</f>
        <v/>
      </c>
      <c r="AA40" s="167" t="str">
        <f>IFERROR(SUM(SUMIFS('caseload data'!K:K,'caseload data'!$C:$C,'community %'!$T$36,'caseload data'!$D:$D,"TPO",'caseload data'!$B:$B,{"licence","community"}))/SUM(SUMIFS('caseload data'!K:K,'caseload data'!$B:$B,{"licence","community"},'caseload data'!$C:$C,'community %'!$T$36)),"")</f>
        <v/>
      </c>
      <c r="AB40" s="167" t="str">
        <f>IFERROR(SUM(SUMIFS('caseload data'!L:L,'caseload data'!$C:$C,'community %'!$T$36,'caseload data'!$D:$D,"TPO",'caseload data'!$B:$B,{"licence","community"}))/SUM(SUMIFS('caseload data'!L:L,'caseload data'!$B:$B,{"licence","community"},'caseload data'!$C:$C,'community %'!$T$36)),"")</f>
        <v/>
      </c>
      <c r="AC40" s="167" t="str">
        <f>IFERROR(SUM(SUMIFS('caseload data'!M:M,'caseload data'!$C:$C,'community %'!$T$36,'caseload data'!$D:$D,"TPO",'caseload data'!$B:$B,{"licence","community"}))/SUM(SUMIFS('caseload data'!M:M,'caseload data'!$B:$B,{"licence","community"},'caseload data'!$C:$C,'community %'!$T$36)),"")</f>
        <v/>
      </c>
      <c r="AD40" s="167" t="str">
        <f>IFERROR(SUM(SUMIFS('caseload data'!N:N,'caseload data'!$C:$C,'community %'!$T$36,'caseload data'!$D:$D,"TPO",'caseload data'!$B:$B,{"licence","community"}))/SUM(SUMIFS('caseload data'!N:N,'caseload data'!$B:$B,{"licence","community"},'caseload data'!$C:$C,'community %'!$T$36)),"")</f>
        <v/>
      </c>
      <c r="AE40" s="167" t="str">
        <f>IFERROR(SUM(SUMIFS('caseload data'!O:O,'caseload data'!$C:$C,'community %'!$T$36,'caseload data'!$D:$D,"TPO",'caseload data'!$B:$B,{"licence","community"}))/SUM(SUMIFS('caseload data'!O:O,'caseload data'!$B:$B,{"licence","community"},'caseload data'!$C:$C,'community %'!$T$36)),"")</f>
        <v/>
      </c>
      <c r="AF40" s="167" t="str">
        <f>IFERROR(SUM(SUMIFS('caseload data'!P:P,'caseload data'!$C:$C,'community %'!$T$36,'caseload data'!$D:$D,"TPO",'caseload data'!$B:$B,{"licence","community"}))/SUM(SUMIFS('caseload data'!P:P,'caseload data'!$B:$B,{"licence","community"},'caseload data'!$C:$C,'community %'!$T$36)),"")</f>
        <v/>
      </c>
      <c r="AG40" s="167" t="str">
        <f>IFERROR(SUM(SUMIFS('caseload data'!Q:Q,'caseload data'!$C:$C,'community %'!$T$36,'caseload data'!$D:$D,"TPO",'caseload data'!$B:$B,{"licence","community"}))/SUM(SUMIFS('caseload data'!Q:Q,'caseload data'!$B:$B,{"licence","community"},'caseload data'!$C:$C,'community %'!$T$36)),"")</f>
        <v/>
      </c>
      <c r="AH40" s="167" t="str">
        <f>IFERROR(SUM(SUMIFS('caseload data'!R:R,'caseload data'!$C:$C,'community %'!$T$36,'caseload data'!$D:$D,"TPO",'caseload data'!$B:$B,{"licence","community"}))/SUM(SUMIFS('caseload data'!R:R,'caseload data'!$B:$B,{"licence","community"},'caseload data'!$C:$C,'community %'!$T$36)),"")</f>
        <v/>
      </c>
      <c r="AI40" s="167" t="str">
        <f>IFERROR(SUM(SUMIFS('caseload data'!S:S,'caseload data'!$C:$C,'community %'!$T$36,'caseload data'!$D:$D,"TPO",'caseload data'!$B:$B,{"licence","community"}))/SUM(SUMIFS('caseload data'!S:S,'caseload data'!$B:$B,{"licence","community"},'caseload data'!$C:$C,'community %'!$T$36)),"")</f>
        <v/>
      </c>
      <c r="AJ40" s="167" t="str">
        <f>IFERROR(SUM(SUMIFS('caseload data'!T:T,'caseload data'!$C:$C,'community %'!$T$36,'caseload data'!$D:$D,"TPO",'caseload data'!$B:$B,{"licence","community"}))/SUM(SUMIFS('caseload data'!T:T,'caseload data'!$B:$B,{"licence","community"},'caseload data'!$C:$C,'community %'!$T$36)),"")</f>
        <v/>
      </c>
    </row>
    <row r="41" spans="2:36" x14ac:dyDescent="0.15">
      <c r="B41" s="98" t="s">
        <v>954</v>
      </c>
      <c r="C41" s="167" t="str">
        <f>IFERROR(SUM(SUMIFS('caseload data'!E:E,'caseload data'!$C:$C,'community %'!$B$36,'caseload data'!$D:$D,"SPO",'caseload data'!$B:$B,{"licence","community"}))/SUM(SUMIFS('caseload data'!E:E,'caseload data'!$B:$B,{"licence","community"},'caseload data'!$C:$C,'community %'!$B$36)),"")</f>
        <v/>
      </c>
      <c r="D41" s="167" t="str">
        <f>IFERROR(SUM(SUMIFS('caseload data'!F:F,'caseload data'!$C:$C,'community %'!$B$36,'caseload data'!$D:$D,"SPO",'caseload data'!$B:$B,{"licence","community"}))/SUM(SUMIFS('caseload data'!F:F,'caseload data'!$B:$B,{"licence","community"},'caseload data'!$C:$C,'community %'!$B$36)),"")</f>
        <v/>
      </c>
      <c r="E41" s="167" t="str">
        <f>IFERROR(SUM(SUMIFS('caseload data'!G:G,'caseload data'!$C:$C,'community %'!$B$36,'caseload data'!$D:$D,"SPO",'caseload data'!$B:$B,{"licence","community"}))/SUM(SUMIFS('caseload data'!G:G,'caseload data'!$B:$B,{"licence","community"},'caseload data'!$C:$C,'community %'!$B$36)),"")</f>
        <v/>
      </c>
      <c r="F41" s="167" t="str">
        <f>IFERROR(SUM(SUMIFS('caseload data'!H:H,'caseload data'!$C:$C,'community %'!$B$36,'caseload data'!$D:$D,"SPO",'caseload data'!$B:$B,{"licence","community"}))/SUM(SUMIFS('caseload data'!H:H,'caseload data'!$B:$B,{"licence","community"},'caseload data'!$C:$C,'community %'!$B$36)),"")</f>
        <v/>
      </c>
      <c r="G41" s="167" t="str">
        <f>IFERROR(SUM(SUMIFS('caseload data'!I:I,'caseload data'!$C:$C,'community %'!$B$36,'caseload data'!$D:$D,"SPO",'caseload data'!$B:$B,{"licence","community"}))/SUM(SUMIFS('caseload data'!I:I,'caseload data'!$B:$B,{"licence","community"},'caseload data'!$C:$C,'community %'!$B$36)),"")</f>
        <v/>
      </c>
      <c r="H41" s="167" t="str">
        <f>IFERROR(SUM(SUMIFS('caseload data'!J:J,'caseload data'!$C:$C,'community %'!$B$36,'caseload data'!$D:$D,"SPO",'caseload data'!$B:$B,{"licence","community"}))/SUM(SUMIFS('caseload data'!J:J,'caseload data'!$B:$B,{"licence","community"},'caseload data'!$C:$C,'community %'!$B$36)),"")</f>
        <v/>
      </c>
      <c r="I41" s="167" t="str">
        <f>IFERROR(SUM(SUMIFS('caseload data'!K:K,'caseload data'!$C:$C,'community %'!$B$36,'caseload data'!$D:$D,"SPO",'caseload data'!$B:$B,{"licence","community"}))/SUM(SUMIFS('caseload data'!K:K,'caseload data'!$B:$B,{"licence","community"},'caseload data'!$C:$C,'community %'!$B$36)),"")</f>
        <v/>
      </c>
      <c r="J41" s="167" t="str">
        <f>IFERROR(SUM(SUMIFS('caseload data'!L:L,'caseload data'!$C:$C,'community %'!$B$36,'caseload data'!$D:$D,"SPO",'caseload data'!$B:$B,{"licence","community"}))/SUM(SUMIFS('caseload data'!L:L,'caseload data'!$B:$B,{"licence","community"},'caseload data'!$C:$C,'community %'!$B$36)),"")</f>
        <v/>
      </c>
      <c r="K41" s="167" t="str">
        <f>IFERROR(SUM(SUMIFS('caseload data'!M:M,'caseload data'!$C:$C,'community %'!$B$36,'caseload data'!$D:$D,"SPO",'caseload data'!$B:$B,{"licence","community"}))/SUM(SUMIFS('caseload data'!M:M,'caseload data'!$B:$B,{"licence","community"},'caseload data'!$C:$C,'community %'!$B$36)),"")</f>
        <v/>
      </c>
      <c r="L41" s="167" t="str">
        <f>IFERROR(SUM(SUMIFS('caseload data'!N:N,'caseload data'!$C:$C,'community %'!$B$36,'caseload data'!$D:$D,"SPO",'caseload data'!$B:$B,{"licence","community"}))/SUM(SUMIFS('caseload data'!N:N,'caseload data'!$B:$B,{"licence","community"},'caseload data'!$C:$C,'community %'!$B$36)),"")</f>
        <v/>
      </c>
      <c r="M41" s="167" t="str">
        <f>IFERROR(SUM(SUMIFS('caseload data'!O:O,'caseload data'!$C:$C,'community %'!$B$36,'caseload data'!$D:$D,"SPO",'caseload data'!$B:$B,{"licence","community"}))/SUM(SUMIFS('caseload data'!O:O,'caseload data'!$B:$B,{"licence","community"},'caseload data'!$C:$C,'community %'!$B$36)),"")</f>
        <v/>
      </c>
      <c r="N41" s="167" t="str">
        <f>IFERROR(SUM(SUMIFS('caseload data'!P:P,'caseload data'!$C:$C,'community %'!$B$36,'caseload data'!$D:$D,"SPO",'caseload data'!$B:$B,{"licence","community"}))/SUM(SUMIFS('caseload data'!P:P,'caseload data'!$B:$B,{"licence","community"},'caseload data'!$C:$C,'community %'!$B$36)),"")</f>
        <v/>
      </c>
      <c r="O41" s="167" t="str">
        <f>IFERROR(SUM(SUMIFS('caseload data'!Q:Q,'caseload data'!$C:$C,'community %'!$B$36,'caseload data'!$D:$D,"SPO",'caseload data'!$B:$B,{"licence","community"}))/SUM(SUMIFS('caseload data'!Q:Q,'caseload data'!$B:$B,{"licence","community"},'caseload data'!$C:$C,'community %'!$B$36)),"")</f>
        <v/>
      </c>
      <c r="P41" s="167" t="str">
        <f>IFERROR(SUM(SUMIFS('caseload data'!R:R,'caseload data'!$C:$C,'community %'!$B$36,'caseload data'!$D:$D,"SPO",'caseload data'!$B:$B,{"licence","community"}))/SUM(SUMIFS('caseload data'!R:R,'caseload data'!$B:$B,{"licence","community"},'caseload data'!$C:$C,'community %'!$B$36)),"")</f>
        <v/>
      </c>
      <c r="Q41" s="167" t="str">
        <f>IFERROR(SUM(SUMIFS('caseload data'!S:S,'caseload data'!$C:$C,'community %'!$B$36,'caseload data'!$D:$D,"SPO",'caseload data'!$B:$B,{"licence","community"}))/SUM(SUMIFS('caseload data'!S:S,'caseload data'!$B:$B,{"licence","community"},'caseload data'!$C:$C,'community %'!$B$36)),"")</f>
        <v/>
      </c>
      <c r="R41" s="167" t="str">
        <f>IFERROR(SUM(SUMIFS('caseload data'!T:T,'caseload data'!$C:$C,'community %'!$B$36,'caseload data'!$D:$D,"SPO",'caseload data'!$B:$B,{"licence","community"}))/SUM(SUMIFS('caseload data'!T:T,'caseload data'!$B:$B,{"licence","community"},'caseload data'!$C:$C,'community %'!$B$36)),"")</f>
        <v/>
      </c>
      <c r="S41" s="64"/>
      <c r="T41" s="98" t="s">
        <v>954</v>
      </c>
      <c r="U41" s="167" t="str">
        <f>IFERROR(SUM(SUMIFS('caseload data'!E:E,'caseload data'!$C:$C,'community %'!$T$36,'caseload data'!$D:$D,"SPO",'caseload data'!$B:$B,{"licence","community"}))/SUM(SUMIFS('caseload data'!E:E,'caseload data'!$B:$B,{"licence","community"},'caseload data'!$C:$C,'community %'!$T$36)),"")</f>
        <v/>
      </c>
      <c r="V41" s="167" t="str">
        <f>IFERROR(SUM(SUMIFS('caseload data'!F:F,'caseload data'!$C:$C,'community %'!$T$36,'caseload data'!$D:$D,"SPO",'caseload data'!$B:$B,{"licence","community"}))/SUM(SUMIFS('caseload data'!F:F,'caseload data'!$B:$B,{"licence","community"},'caseload data'!$C:$C,'community %'!$T$36)),"")</f>
        <v/>
      </c>
      <c r="W41" s="167" t="str">
        <f>IFERROR(SUM(SUMIFS('caseload data'!G:G,'caseload data'!$C:$C,'community %'!$T$36,'caseload data'!$D:$D,"SPO",'caseload data'!$B:$B,{"licence","community"}))/SUM(SUMIFS('caseload data'!G:G,'caseload data'!$B:$B,{"licence","community"},'caseload data'!$C:$C,'community %'!$T$36)),"")</f>
        <v/>
      </c>
      <c r="X41" s="167" t="str">
        <f>IFERROR(SUM(SUMIFS('caseload data'!H:H,'caseload data'!$C:$C,'community %'!$T$36,'caseload data'!$D:$D,"SPO",'caseload data'!$B:$B,{"licence","community"}))/SUM(SUMIFS('caseload data'!H:H,'caseload data'!$B:$B,{"licence","community"},'caseload data'!$C:$C,'community %'!$T$36)),"")</f>
        <v/>
      </c>
      <c r="Y41" s="167" t="str">
        <f>IFERROR(SUM(SUMIFS('caseload data'!I:I,'caseload data'!$C:$C,'community %'!$T$36,'caseload data'!$D:$D,"SPO",'caseload data'!$B:$B,{"licence","community"}))/SUM(SUMIFS('caseload data'!I:I,'caseload data'!$B:$B,{"licence","community"},'caseload data'!$C:$C,'community %'!$T$36)),"")</f>
        <v/>
      </c>
      <c r="Z41" s="167" t="str">
        <f>IFERROR(SUM(SUMIFS('caseload data'!J:J,'caseload data'!$C:$C,'community %'!$T$36,'caseload data'!$D:$D,"SPO",'caseload data'!$B:$B,{"licence","community"}))/SUM(SUMIFS('caseload data'!J:J,'caseload data'!$B:$B,{"licence","community"},'caseload data'!$C:$C,'community %'!$T$36)),"")</f>
        <v/>
      </c>
      <c r="AA41" s="167" t="str">
        <f>IFERROR(SUM(SUMIFS('caseload data'!K:K,'caseload data'!$C:$C,'community %'!$T$36,'caseload data'!$D:$D,"SPO",'caseload data'!$B:$B,{"licence","community"}))/SUM(SUMIFS('caseload data'!K:K,'caseload data'!$B:$B,{"licence","community"},'caseload data'!$C:$C,'community %'!$T$36)),"")</f>
        <v/>
      </c>
      <c r="AB41" s="167" t="str">
        <f>IFERROR(SUM(SUMIFS('caseload data'!L:L,'caseload data'!$C:$C,'community %'!$T$36,'caseload data'!$D:$D,"SPO",'caseload data'!$B:$B,{"licence","community"}))/SUM(SUMIFS('caseload data'!L:L,'caseload data'!$B:$B,{"licence","community"},'caseload data'!$C:$C,'community %'!$T$36)),"")</f>
        <v/>
      </c>
      <c r="AC41" s="167" t="str">
        <f>IFERROR(SUM(SUMIFS('caseload data'!M:M,'caseload data'!$C:$C,'community %'!$T$36,'caseload data'!$D:$D,"SPO",'caseload data'!$B:$B,{"licence","community"}))/SUM(SUMIFS('caseload data'!M:M,'caseload data'!$B:$B,{"licence","community"},'caseload data'!$C:$C,'community %'!$T$36)),"")</f>
        <v/>
      </c>
      <c r="AD41" s="167" t="str">
        <f>IFERROR(SUM(SUMIFS('caseload data'!N:N,'caseload data'!$C:$C,'community %'!$T$36,'caseload data'!$D:$D,"SPO",'caseload data'!$B:$B,{"licence","community"}))/SUM(SUMIFS('caseload data'!N:N,'caseload data'!$B:$B,{"licence","community"},'caseload data'!$C:$C,'community %'!$T$36)),"")</f>
        <v/>
      </c>
      <c r="AE41" s="167" t="str">
        <f>IFERROR(SUM(SUMIFS('caseload data'!O:O,'caseload data'!$C:$C,'community %'!$T$36,'caseload data'!$D:$D,"SPO",'caseload data'!$B:$B,{"licence","community"}))/SUM(SUMIFS('caseload data'!O:O,'caseload data'!$B:$B,{"licence","community"},'caseload data'!$C:$C,'community %'!$T$36)),"")</f>
        <v/>
      </c>
      <c r="AF41" s="167" t="str">
        <f>IFERROR(SUM(SUMIFS('caseload data'!P:P,'caseload data'!$C:$C,'community %'!$T$36,'caseload data'!$D:$D,"SPO",'caseload data'!$B:$B,{"licence","community"}))/SUM(SUMIFS('caseload data'!P:P,'caseload data'!$B:$B,{"licence","community"},'caseload data'!$C:$C,'community %'!$T$36)),"")</f>
        <v/>
      </c>
      <c r="AG41" s="167" t="str">
        <f>IFERROR(SUM(SUMIFS('caseload data'!Q:Q,'caseload data'!$C:$C,'community %'!$T$36,'caseload data'!$D:$D,"SPO",'caseload data'!$B:$B,{"licence","community"}))/SUM(SUMIFS('caseload data'!Q:Q,'caseload data'!$B:$B,{"licence","community"},'caseload data'!$C:$C,'community %'!$T$36)),"")</f>
        <v/>
      </c>
      <c r="AH41" s="167" t="str">
        <f>IFERROR(SUM(SUMIFS('caseload data'!R:R,'caseload data'!$C:$C,'community %'!$T$36,'caseload data'!$D:$D,"SPO",'caseload data'!$B:$B,{"licence","community"}))/SUM(SUMIFS('caseload data'!R:R,'caseload data'!$B:$B,{"licence","community"},'caseload data'!$C:$C,'community %'!$T$36)),"")</f>
        <v/>
      </c>
      <c r="AI41" s="167" t="str">
        <f>IFERROR(SUM(SUMIFS('caseload data'!S:S,'caseload data'!$C:$C,'community %'!$T$36,'caseload data'!$D:$D,"SPO",'caseload data'!$B:$B,{"licence","community"}))/SUM(SUMIFS('caseload data'!S:S,'caseload data'!$B:$B,{"licence","community"},'caseload data'!$C:$C,'community %'!$T$36)),"")</f>
        <v/>
      </c>
      <c r="AJ41" s="167" t="str">
        <f>IFERROR(SUM(SUMIFS('caseload data'!T:T,'caseload data'!$C:$C,'community %'!$T$36,'caseload data'!$D:$D,"SPO",'caseload data'!$B:$B,{"licence","community"}))/SUM(SUMIFS('caseload data'!T:T,'caseload data'!$B:$B,{"licence","community"},'caseload data'!$C:$C,'community %'!$T$36)),"")</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3.75" customHeight="1" x14ac:dyDescent="0.15">
      <c r="B43" s="288">
        <f>HLOOKUP($B$5,Region_Table,12,0)</f>
        <v>0</v>
      </c>
      <c r="C43" s="540" t="s">
        <v>1081</v>
      </c>
      <c r="D43" s="541"/>
      <c r="E43" s="541"/>
      <c r="F43" s="541"/>
      <c r="G43" s="541"/>
      <c r="H43" s="541"/>
      <c r="I43" s="541"/>
      <c r="J43" s="541"/>
      <c r="K43" s="541"/>
      <c r="L43" s="541"/>
      <c r="M43" s="570"/>
      <c r="N43" s="570"/>
      <c r="O43" s="571"/>
      <c r="P43" s="543" cm="1">
        <f t="array" ref="P43">SUM(SUMIFS('caseload data'!V:V,'caseload data'!B:B,{"licence","community"},'caseload data'!$C:$C,B43))</f>
        <v>0</v>
      </c>
      <c r="Q43" s="560"/>
      <c r="R43" s="561"/>
      <c r="S43" s="64"/>
      <c r="T43" s="288">
        <f>HLOOKUP($B$5,Region_Table,13,0)</f>
        <v>0</v>
      </c>
      <c r="U43" s="540" t="s">
        <v>1081</v>
      </c>
      <c r="V43" s="541"/>
      <c r="W43" s="541"/>
      <c r="X43" s="541"/>
      <c r="Y43" s="541"/>
      <c r="Z43" s="541"/>
      <c r="AA43" s="541"/>
      <c r="AB43" s="541"/>
      <c r="AC43" s="541"/>
      <c r="AD43" s="541"/>
      <c r="AE43" s="570"/>
      <c r="AF43" s="570"/>
      <c r="AG43" s="571"/>
      <c r="AH43" s="543" cm="1">
        <f t="array" ref="AH43">SUM(SUMIFS('caseload data'!V:V,'caseload data'!B:B,{"licence","community"},'caseload data'!$C:$C,T43))</f>
        <v>0</v>
      </c>
      <c r="AI43" s="560"/>
      <c r="AJ43" s="561"/>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167" t="str">
        <f>IFERROR(SUM(SUMIFS('caseload data'!E:E,'caseload data'!$C:$C,'community %'!$B$43,'caseload data'!$D:$D,"PO",'caseload data'!$B:$B,{"licence","community"}))/SUM(SUMIFS('caseload data'!E:E,'caseload data'!$B:$B,{"licence","community"},'caseload data'!$C:$C,'community %'!$B$43)),"")</f>
        <v/>
      </c>
      <c r="D45" s="167" t="str">
        <f>IFERROR(SUM(SUMIFS('caseload data'!F:F,'caseload data'!$C:$C,'community %'!$B$43,'caseload data'!$D:$D,"PO",'caseload data'!$B:$B,{"licence","community"}))/SUM(SUMIFS('caseload data'!F:F,'caseload data'!$B:$B,{"licence","community"},'caseload data'!$C:$C,'community %'!$B$43)),"")</f>
        <v/>
      </c>
      <c r="E45" s="167" t="str">
        <f>IFERROR(SUM(SUMIFS('caseload data'!G:G,'caseload data'!$C:$C,'community %'!$B$43,'caseload data'!$D:$D,"PO",'caseload data'!$B:$B,{"licence","community"}))/SUM(SUMIFS('caseload data'!G:G,'caseload data'!$B:$B,{"licence","community"},'caseload data'!$C:$C,'community %'!$B$43)),"")</f>
        <v/>
      </c>
      <c r="F45" s="167" t="str">
        <f>IFERROR(SUM(SUMIFS('caseload data'!H:H,'caseload data'!$C:$C,'community %'!$B$43,'caseload data'!$D:$D,"PO",'caseload data'!$B:$B,{"licence","community"}))/SUM(SUMIFS('caseload data'!H:H,'caseload data'!$B:$B,{"licence","community"},'caseload data'!$C:$C,'community %'!$B$43)),"")</f>
        <v/>
      </c>
      <c r="G45" s="167" t="str">
        <f>IFERROR(SUM(SUMIFS('caseload data'!I:I,'caseload data'!$C:$C,'community %'!$B$43,'caseload data'!$D:$D,"PO",'caseload data'!$B:$B,{"licence","community"}))/SUM(SUMIFS('caseload data'!I:I,'caseload data'!$B:$B,{"licence","community"},'caseload data'!$C:$C,'community %'!$B$43)),"")</f>
        <v/>
      </c>
      <c r="H45" s="167" t="str">
        <f>IFERROR(SUM(SUMIFS('caseload data'!J:J,'caseload data'!$C:$C,'community %'!$B$43,'caseload data'!$D:$D,"PO",'caseload data'!$B:$B,{"licence","community"}))/SUM(SUMIFS('caseload data'!J:J,'caseload data'!$B:$B,{"licence","community"},'caseload data'!$C:$C,'community %'!$B$43)),"")</f>
        <v/>
      </c>
      <c r="I45" s="167" t="str">
        <f>IFERROR(SUM(SUMIFS('caseload data'!K:K,'caseload data'!$C:$C,'community %'!$B$43,'caseload data'!$D:$D,"PO",'caseload data'!$B:$B,{"licence","community"}))/SUM(SUMIFS('caseload data'!K:K,'caseload data'!$B:$B,{"licence","community"},'caseload data'!$C:$C,'community %'!$B$43)),"")</f>
        <v/>
      </c>
      <c r="J45" s="167" t="str">
        <f>IFERROR(SUM(SUMIFS('caseload data'!L:L,'caseload data'!$C:$C,'community %'!$B$43,'caseload data'!$D:$D,"PO",'caseload data'!$B:$B,{"licence","community"}))/SUM(SUMIFS('caseload data'!L:L,'caseload data'!$B:$B,{"licence","community"},'caseload data'!$C:$C,'community %'!$B$43)),"")</f>
        <v/>
      </c>
      <c r="K45" s="167" t="str">
        <f>IFERROR(SUM(SUMIFS('caseload data'!M:M,'caseload data'!$C:$C,'community %'!$B$43,'caseload data'!$D:$D,"PO",'caseload data'!$B:$B,{"licence","community"}))/SUM(SUMIFS('caseload data'!M:M,'caseload data'!$B:$B,{"licence","community"},'caseload data'!$C:$C,'community %'!$B$43)),"")</f>
        <v/>
      </c>
      <c r="L45" s="167" t="str">
        <f>IFERROR(SUM(SUMIFS('caseload data'!N:N,'caseload data'!$C:$C,'community %'!$B$43,'caseload data'!$D:$D,"PO",'caseload data'!$B:$B,{"licence","community"}))/SUM(SUMIFS('caseload data'!N:N,'caseload data'!$B:$B,{"licence","community"},'caseload data'!$C:$C,'community %'!$B$43)),"")</f>
        <v/>
      </c>
      <c r="M45" s="167" t="str">
        <f>IFERROR(SUM(SUMIFS('caseload data'!O:O,'caseload data'!$C:$C,'community %'!$B$43,'caseload data'!$D:$D,"PO",'caseload data'!$B:$B,{"licence","community"}))/SUM(SUMIFS('caseload data'!O:O,'caseload data'!$B:$B,{"licence","community"},'caseload data'!$C:$C,'community %'!$B$43)),"")</f>
        <v/>
      </c>
      <c r="N45" s="167" t="str">
        <f>IFERROR(SUM(SUMIFS('caseload data'!P:P,'caseload data'!$C:$C,'community %'!$B$43,'caseload data'!$D:$D,"PO",'caseload data'!$B:$B,{"licence","community"}))/SUM(SUMIFS('caseload data'!P:P,'caseload data'!$B:$B,{"licence","community"},'caseload data'!$C:$C,'community %'!$B$43)),"")</f>
        <v/>
      </c>
      <c r="O45" s="167" t="str">
        <f>IFERROR(SUM(SUMIFS('caseload data'!Q:Q,'caseload data'!$C:$C,'community %'!$B$43,'caseload data'!$D:$D,"PO",'caseload data'!$B:$B,{"licence","community"}))/SUM(SUMIFS('caseload data'!Q:Q,'caseload data'!$B:$B,{"licence","community"},'caseload data'!$C:$C,'community %'!$B$43)),"")</f>
        <v/>
      </c>
      <c r="P45" s="167" t="str">
        <f>IFERROR(SUM(SUMIFS('caseload data'!R:R,'caseload data'!$C:$C,'community %'!$B$43,'caseload data'!$D:$D,"PO",'caseload data'!$B:$B,{"licence","community"}))/SUM(SUMIFS('caseload data'!R:R,'caseload data'!$B:$B,{"licence","community"},'caseload data'!$C:$C,'community %'!$B$43)),"")</f>
        <v/>
      </c>
      <c r="Q45" s="167" t="str">
        <f>IFERROR(SUM(SUMIFS('caseload data'!S:S,'caseload data'!$C:$C,'community %'!$B$43,'caseload data'!$D:$D,"PO",'caseload data'!$B:$B,{"licence","community"}))/SUM(SUMIFS('caseload data'!S:S,'caseload data'!$B:$B,{"licence","community"},'caseload data'!$C:$C,'community %'!$B$43)),"")</f>
        <v/>
      </c>
      <c r="R45" s="167" t="str">
        <f>IFERROR(SUM(SUMIFS('caseload data'!T:T,'caseload data'!$C:$C,'community %'!$B$43,'caseload data'!$D:$D,"PO",'caseload data'!$B:$B,{"licence","community"}))/SUM(SUMIFS('caseload data'!T:T,'caseload data'!$B:$B,{"licence","community"},'caseload data'!$C:$C,'community %'!$B$43)),"")</f>
        <v/>
      </c>
      <c r="S45" s="64"/>
      <c r="T45" s="96" t="s">
        <v>947</v>
      </c>
      <c r="U45" s="167" t="str">
        <f>IFERROR(SUM(SUMIFS('caseload data'!E:E,'caseload data'!$C:$C,'community %'!$T$43,'caseload data'!$D:$D,"PO",'caseload data'!$B:$B,{"licence","community"}))/SUM(SUMIFS('caseload data'!E:E,'caseload data'!$B:$B,{"licence","community"},'caseload data'!$C:$C,'community %'!$T$43)),"")</f>
        <v/>
      </c>
      <c r="V45" s="167" t="str">
        <f>IFERROR(SUM(SUMIFS('caseload data'!F:F,'caseload data'!$C:$C,'community %'!$T$43,'caseload data'!$D:$D,"PO",'caseload data'!$B:$B,{"licence","community"}))/SUM(SUMIFS('caseload data'!F:F,'caseload data'!$B:$B,{"licence","community"},'caseload data'!$C:$C,'community %'!$T$43)),"")</f>
        <v/>
      </c>
      <c r="W45" s="167" t="str">
        <f>IFERROR(SUM(SUMIFS('caseload data'!G:G,'caseload data'!$C:$C,'community %'!$T$43,'caseload data'!$D:$D,"PO",'caseload data'!$B:$B,{"licence","community"}))/SUM(SUMIFS('caseload data'!G:G,'caseload data'!$B:$B,{"licence","community"},'caseload data'!$C:$C,'community %'!$T$43)),"")</f>
        <v/>
      </c>
      <c r="X45" s="167" t="str">
        <f>IFERROR(SUM(SUMIFS('caseload data'!H:H,'caseload data'!$C:$C,'community %'!$T$43,'caseload data'!$D:$D,"PO",'caseload data'!$B:$B,{"licence","community"}))/SUM(SUMIFS('caseload data'!H:H,'caseload data'!$B:$B,{"licence","community"},'caseload data'!$C:$C,'community %'!$T$43)),"")</f>
        <v/>
      </c>
      <c r="Y45" s="167" t="str">
        <f>IFERROR(SUM(SUMIFS('caseload data'!I:I,'caseload data'!$C:$C,'community %'!$T$43,'caseload data'!$D:$D,"PO",'caseload data'!$B:$B,{"licence","community"}))/SUM(SUMIFS('caseload data'!I:I,'caseload data'!$B:$B,{"licence","community"},'caseload data'!$C:$C,'community %'!$T$43)),"")</f>
        <v/>
      </c>
      <c r="Z45" s="167" t="str">
        <f>IFERROR(SUM(SUMIFS('caseload data'!J:J,'caseload data'!$C:$C,'community %'!$T$43,'caseload data'!$D:$D,"PO",'caseload data'!$B:$B,{"licence","community"}))/SUM(SUMIFS('caseload data'!J:J,'caseload data'!$B:$B,{"licence","community"},'caseload data'!$C:$C,'community %'!$T$43)),"")</f>
        <v/>
      </c>
      <c r="AA45" s="167" t="str">
        <f>IFERROR(SUM(SUMIFS('caseload data'!K:K,'caseload data'!$C:$C,'community %'!$T$43,'caseload data'!$D:$D,"PO",'caseload data'!$B:$B,{"licence","community"}))/SUM(SUMIFS('caseload data'!K:K,'caseload data'!$B:$B,{"licence","community"},'caseload data'!$C:$C,'community %'!$T$43)),"")</f>
        <v/>
      </c>
      <c r="AB45" s="167" t="str">
        <f>IFERROR(SUM(SUMIFS('caseload data'!L:L,'caseload data'!$C:$C,'community %'!$T$43,'caseload data'!$D:$D,"PO",'caseload data'!$B:$B,{"licence","community"}))/SUM(SUMIFS('caseload data'!L:L,'caseload data'!$B:$B,{"licence","community"},'caseload data'!$C:$C,'community %'!$T$43)),"")</f>
        <v/>
      </c>
      <c r="AC45" s="167" t="str">
        <f>IFERROR(SUM(SUMIFS('caseload data'!M:M,'caseload data'!$C:$C,'community %'!$T$43,'caseload data'!$D:$D,"PO",'caseload data'!$B:$B,{"licence","community"}))/SUM(SUMIFS('caseload data'!M:M,'caseload data'!$B:$B,{"licence","community"},'caseload data'!$C:$C,'community %'!$T$43)),"")</f>
        <v/>
      </c>
      <c r="AD45" s="167" t="str">
        <f>IFERROR(SUM(SUMIFS('caseload data'!N:N,'caseload data'!$C:$C,'community %'!$T$43,'caseload data'!$D:$D,"PO",'caseload data'!$B:$B,{"licence","community"}))/SUM(SUMIFS('caseload data'!N:N,'caseload data'!$B:$B,{"licence","community"},'caseload data'!$C:$C,'community %'!$T$43)),"")</f>
        <v/>
      </c>
      <c r="AE45" s="167" t="str">
        <f>IFERROR(SUM(SUMIFS('caseload data'!O:O,'caseload data'!$C:$C,'community %'!$T$43,'caseload data'!$D:$D,"PO",'caseload data'!$B:$B,{"licence","community"}))/SUM(SUMIFS('caseload data'!O:O,'caseload data'!$B:$B,{"licence","community"},'caseload data'!$C:$C,'community %'!$T$43)),"")</f>
        <v/>
      </c>
      <c r="AF45" s="167" t="str">
        <f>IFERROR(SUM(SUMIFS('caseload data'!P:P,'caseload data'!$C:$C,'community %'!$T$43,'caseload data'!$D:$D,"PO",'caseload data'!$B:$B,{"licence","community"}))/SUM(SUMIFS('caseload data'!P:P,'caseload data'!$B:$B,{"licence","community"},'caseload data'!$C:$C,'community %'!$T$43)),"")</f>
        <v/>
      </c>
      <c r="AG45" s="167" t="str">
        <f>IFERROR(SUM(SUMIFS('caseload data'!Q:Q,'caseload data'!$C:$C,'community %'!$T$43,'caseload data'!$D:$D,"PO",'caseload data'!$B:$B,{"licence","community"}))/SUM(SUMIFS('caseload data'!Q:Q,'caseload data'!$B:$B,{"licence","community"},'caseload data'!$C:$C,'community %'!$T$43)),"")</f>
        <v/>
      </c>
      <c r="AH45" s="167" t="str">
        <f>IFERROR(SUM(SUMIFS('caseload data'!R:R,'caseload data'!$C:$C,'community %'!$T$43,'caseload data'!$D:$D,"PO",'caseload data'!$B:$B,{"licence","community"}))/SUM(SUMIFS('caseload data'!R:R,'caseload data'!$B:$B,{"licence","community"},'caseload data'!$C:$C,'community %'!$T$43)),"")</f>
        <v/>
      </c>
      <c r="AI45" s="167" t="str">
        <f>IFERROR(SUM(SUMIFS('caseload data'!S:S,'caseload data'!$C:$C,'community %'!$T$43,'caseload data'!$D:$D,"PO",'caseload data'!$B:$B,{"licence","community"}))/SUM(SUMIFS('caseload data'!S:S,'caseload data'!$B:$B,{"licence","community"},'caseload data'!$C:$C,'community %'!$T$43)),"")</f>
        <v/>
      </c>
      <c r="AJ45" s="167" t="str">
        <f>IFERROR(SUM(SUMIFS('caseload data'!T:T,'caseload data'!$C:$C,'community %'!$T$43,'caseload data'!$D:$D,"PO",'caseload data'!$B:$B,{"licence","community"}))/SUM(SUMIFS('caseload data'!T:T,'caseload data'!$B:$B,{"licence","community"},'caseload data'!$C:$C,'community %'!$T$43)),"")</f>
        <v/>
      </c>
    </row>
    <row r="46" spans="2:36" x14ac:dyDescent="0.15">
      <c r="B46" s="97" t="s">
        <v>952</v>
      </c>
      <c r="C46" s="167" t="str">
        <f>IFERROR(SUM(SUMIFS('caseload data'!E:E,'caseload data'!$C:$C,'community %'!$B$43,'caseload data'!$D:$D,"PSO",'caseload data'!$B:$B,{"licence","community"}))/SUM(SUMIFS('caseload data'!E:E,'caseload data'!$B:$B,{"licence","community"},'caseload data'!$C:$C,'community %'!$B$43)),"")</f>
        <v/>
      </c>
      <c r="D46" s="167" t="str">
        <f>IFERROR(SUM(SUMIFS('caseload data'!F:F,'caseload data'!$C:$C,'community %'!$B$43,'caseload data'!$D:$D,"PSO",'caseload data'!$B:$B,{"licence","community"}))/SUM(SUMIFS('caseload data'!F:F,'caseload data'!$B:$B,{"licence","community"},'caseload data'!$C:$C,'community %'!$B$43)),"")</f>
        <v/>
      </c>
      <c r="E46" s="167" t="str">
        <f>IFERROR(SUM(SUMIFS('caseload data'!G:G,'caseload data'!$C:$C,'community %'!$B$43,'caseload data'!$D:$D,"PSO",'caseload data'!$B:$B,{"licence","community"}))/SUM(SUMIFS('caseload data'!G:G,'caseload data'!$B:$B,{"licence","community"},'caseload data'!$C:$C,'community %'!$B$43)),"")</f>
        <v/>
      </c>
      <c r="F46" s="167" t="str">
        <f>IFERROR(SUM(SUMIFS('caseload data'!H:H,'caseload data'!$C:$C,'community %'!$B$43,'caseload data'!$D:$D,"PSO",'caseload data'!$B:$B,{"licence","community"}))/SUM(SUMIFS('caseload data'!H:H,'caseload data'!$B:$B,{"licence","community"},'caseload data'!$C:$C,'community %'!$B$43)),"")</f>
        <v/>
      </c>
      <c r="G46" s="167" t="str">
        <f>IFERROR(SUM(SUMIFS('caseload data'!I:I,'caseload data'!$C:$C,'community %'!$B$43,'caseload data'!$D:$D,"PSO",'caseload data'!$B:$B,{"licence","community"}))/SUM(SUMIFS('caseload data'!I:I,'caseload data'!$B:$B,{"licence","community"},'caseload data'!$C:$C,'community %'!$B$43)),"")</f>
        <v/>
      </c>
      <c r="H46" s="167" t="str">
        <f>IFERROR(SUM(SUMIFS('caseload data'!J:J,'caseload data'!$C:$C,'community %'!$B$43,'caseload data'!$D:$D,"PSO",'caseload data'!$B:$B,{"licence","community"}))/SUM(SUMIFS('caseload data'!J:J,'caseload data'!$B:$B,{"licence","community"},'caseload data'!$C:$C,'community %'!$B$43)),"")</f>
        <v/>
      </c>
      <c r="I46" s="167" t="str">
        <f>IFERROR(SUM(SUMIFS('caseload data'!K:K,'caseload data'!$C:$C,'community %'!$B$43,'caseload data'!$D:$D,"PSO",'caseload data'!$B:$B,{"licence","community"}))/SUM(SUMIFS('caseload data'!K:K,'caseload data'!$B:$B,{"licence","community"},'caseload data'!$C:$C,'community %'!$B$43)),"")</f>
        <v/>
      </c>
      <c r="J46" s="167" t="str">
        <f>IFERROR(SUM(SUMIFS('caseload data'!L:L,'caseload data'!$C:$C,'community %'!$B$43,'caseload data'!$D:$D,"PSO",'caseload data'!$B:$B,{"licence","community"}))/SUM(SUMIFS('caseload data'!L:L,'caseload data'!$B:$B,{"licence","community"},'caseload data'!$C:$C,'community %'!$B$43)),"")</f>
        <v/>
      </c>
      <c r="K46" s="167" t="str">
        <f>IFERROR(SUM(SUMIFS('caseload data'!M:M,'caseload data'!$C:$C,'community %'!$B$43,'caseload data'!$D:$D,"PSO",'caseload data'!$B:$B,{"licence","community"}))/SUM(SUMIFS('caseload data'!M:M,'caseload data'!$B:$B,{"licence","community"},'caseload data'!$C:$C,'community %'!$B$43)),"")</f>
        <v/>
      </c>
      <c r="L46" s="167" t="str">
        <f>IFERROR(SUM(SUMIFS('caseload data'!N:N,'caseload data'!$C:$C,'community %'!$B$43,'caseload data'!$D:$D,"PSO",'caseload data'!$B:$B,{"licence","community"}))/SUM(SUMIFS('caseload data'!N:N,'caseload data'!$B:$B,{"licence","community"},'caseload data'!$C:$C,'community %'!$B$43)),"")</f>
        <v/>
      </c>
      <c r="M46" s="167" t="str">
        <f>IFERROR(SUM(SUMIFS('caseload data'!O:O,'caseload data'!$C:$C,'community %'!$B$43,'caseload data'!$D:$D,"PSO",'caseload data'!$B:$B,{"licence","community"}))/SUM(SUMIFS('caseload data'!O:O,'caseload data'!$B:$B,{"licence","community"},'caseload data'!$C:$C,'community %'!$B$43)),"")</f>
        <v/>
      </c>
      <c r="N46" s="167" t="str">
        <f>IFERROR(SUM(SUMIFS('caseload data'!P:P,'caseload data'!$C:$C,'community %'!$B$43,'caseload data'!$D:$D,"PSO",'caseload data'!$B:$B,{"licence","community"}))/SUM(SUMIFS('caseload data'!P:P,'caseload data'!$B:$B,{"licence","community"},'caseload data'!$C:$C,'community %'!$B$43)),"")</f>
        <v/>
      </c>
      <c r="O46" s="167" t="str">
        <f>IFERROR(SUM(SUMIFS('caseload data'!Q:Q,'caseload data'!$C:$C,'community %'!$B$43,'caseload data'!$D:$D,"PSO",'caseload data'!$B:$B,{"licence","community"}))/SUM(SUMIFS('caseload data'!Q:Q,'caseload data'!$B:$B,{"licence","community"},'caseload data'!$C:$C,'community %'!$B$43)),"")</f>
        <v/>
      </c>
      <c r="P46" s="167" t="str">
        <f>IFERROR(SUM(SUMIFS('caseload data'!R:R,'caseload data'!$C:$C,'community %'!$B$43,'caseload data'!$D:$D,"PSO",'caseload data'!$B:$B,{"licence","community"}))/SUM(SUMIFS('caseload data'!R:R,'caseload data'!$B:$B,{"licence","community"},'caseload data'!$C:$C,'community %'!$B$43)),"")</f>
        <v/>
      </c>
      <c r="Q46" s="167" t="str">
        <f>IFERROR(SUM(SUMIFS('caseload data'!S:S,'caseload data'!$C:$C,'community %'!$B$43,'caseload data'!$D:$D,"PSO",'caseload data'!$B:$B,{"licence","community"}))/SUM(SUMIFS('caseload data'!S:S,'caseload data'!$B:$B,{"licence","community"},'caseload data'!$C:$C,'community %'!$B$43)),"")</f>
        <v/>
      </c>
      <c r="R46" s="167" t="str">
        <f>IFERROR(SUM(SUMIFS('caseload data'!T:T,'caseload data'!$C:$C,'community %'!$B$43,'caseload data'!$D:$D,"PSO",'caseload data'!$B:$B,{"licence","community"}))/SUM(SUMIFS('caseload data'!T:T,'caseload data'!$B:$B,{"licence","community"},'caseload data'!$C:$C,'community %'!$B$43)),"")</f>
        <v/>
      </c>
      <c r="S46" s="64"/>
      <c r="T46" s="97" t="s">
        <v>952</v>
      </c>
      <c r="U46" s="167" t="str">
        <f>IFERROR(SUM(SUMIFS('caseload data'!E:E,'caseload data'!$C:$C,'community %'!$T$43,'caseload data'!$D:$D,"PSO",'caseload data'!$B:$B,{"licence","community"}))/SUM(SUMIFS('caseload data'!E:E,'caseload data'!$B:$B,{"licence","community"},'caseload data'!$C:$C,'community %'!$T$43)),"")</f>
        <v/>
      </c>
      <c r="V46" s="167" t="str">
        <f>IFERROR(SUM(SUMIFS('caseload data'!F:F,'caseload data'!$C:$C,'community %'!$T$43,'caseload data'!$D:$D,"PSO",'caseload data'!$B:$B,{"licence","community"}))/SUM(SUMIFS('caseload data'!F:F,'caseload data'!$B:$B,{"licence","community"},'caseload data'!$C:$C,'community %'!$T$43)),"")</f>
        <v/>
      </c>
      <c r="W46" s="167" t="str">
        <f>IFERROR(SUM(SUMIFS('caseload data'!G:G,'caseload data'!$C:$C,'community %'!$T$43,'caseload data'!$D:$D,"PSO",'caseload data'!$B:$B,{"licence","community"}))/SUM(SUMIFS('caseload data'!G:G,'caseload data'!$B:$B,{"licence","community"},'caseload data'!$C:$C,'community %'!$T$43)),"")</f>
        <v/>
      </c>
      <c r="X46" s="167" t="str">
        <f>IFERROR(SUM(SUMIFS('caseload data'!H:H,'caseload data'!$C:$C,'community %'!$T$43,'caseload data'!$D:$D,"PSO",'caseload data'!$B:$B,{"licence","community"}))/SUM(SUMIFS('caseload data'!H:H,'caseload data'!$B:$B,{"licence","community"},'caseload data'!$C:$C,'community %'!$T$43)),"")</f>
        <v/>
      </c>
      <c r="Y46" s="167" t="str">
        <f>IFERROR(SUM(SUMIFS('caseload data'!I:I,'caseload data'!$C:$C,'community %'!$T$43,'caseload data'!$D:$D,"PSO",'caseload data'!$B:$B,{"licence","community"}))/SUM(SUMIFS('caseload data'!I:I,'caseload data'!$B:$B,{"licence","community"},'caseload data'!$C:$C,'community %'!$T$43)),"")</f>
        <v/>
      </c>
      <c r="Z46" s="167" t="str">
        <f>IFERROR(SUM(SUMIFS('caseload data'!J:J,'caseload data'!$C:$C,'community %'!$T$43,'caseload data'!$D:$D,"PSO",'caseload data'!$B:$B,{"licence","community"}))/SUM(SUMIFS('caseload data'!J:J,'caseload data'!$B:$B,{"licence","community"},'caseload data'!$C:$C,'community %'!$T$43)),"")</f>
        <v/>
      </c>
      <c r="AA46" s="167" t="str">
        <f>IFERROR(SUM(SUMIFS('caseload data'!K:K,'caseload data'!$C:$C,'community %'!$T$43,'caseload data'!$D:$D,"PSO",'caseload data'!$B:$B,{"licence","community"}))/SUM(SUMIFS('caseload data'!K:K,'caseload data'!$B:$B,{"licence","community"},'caseload data'!$C:$C,'community %'!$T$43)),"")</f>
        <v/>
      </c>
      <c r="AB46" s="167" t="str">
        <f>IFERROR(SUM(SUMIFS('caseload data'!L:L,'caseload data'!$C:$C,'community %'!$T$43,'caseload data'!$D:$D,"PSO",'caseload data'!$B:$B,{"licence","community"}))/SUM(SUMIFS('caseload data'!L:L,'caseload data'!$B:$B,{"licence","community"},'caseload data'!$C:$C,'community %'!$T$43)),"")</f>
        <v/>
      </c>
      <c r="AC46" s="167" t="str">
        <f>IFERROR(SUM(SUMIFS('caseload data'!M:M,'caseload data'!$C:$C,'community %'!$T$43,'caseload data'!$D:$D,"PSO",'caseload data'!$B:$B,{"licence","community"}))/SUM(SUMIFS('caseload data'!M:M,'caseload data'!$B:$B,{"licence","community"},'caseload data'!$C:$C,'community %'!$T$43)),"")</f>
        <v/>
      </c>
      <c r="AD46" s="167" t="str">
        <f>IFERROR(SUM(SUMIFS('caseload data'!N:N,'caseload data'!$C:$C,'community %'!$T$43,'caseload data'!$D:$D,"PSO",'caseload data'!$B:$B,{"licence","community"}))/SUM(SUMIFS('caseload data'!N:N,'caseload data'!$B:$B,{"licence","community"},'caseload data'!$C:$C,'community %'!$T$43)),"")</f>
        <v/>
      </c>
      <c r="AE46" s="167" t="str">
        <f>IFERROR(SUM(SUMIFS('caseload data'!O:O,'caseload data'!$C:$C,'community %'!$T$43,'caseload data'!$D:$D,"PSO",'caseload data'!$B:$B,{"licence","community"}))/SUM(SUMIFS('caseload data'!O:O,'caseload data'!$B:$B,{"licence","community"},'caseload data'!$C:$C,'community %'!$T$43)),"")</f>
        <v/>
      </c>
      <c r="AF46" s="167" t="str">
        <f>IFERROR(SUM(SUMIFS('caseload data'!P:P,'caseload data'!$C:$C,'community %'!$T$43,'caseload data'!$D:$D,"PSO",'caseload data'!$B:$B,{"licence","community"}))/SUM(SUMIFS('caseload data'!P:P,'caseload data'!$B:$B,{"licence","community"},'caseload data'!$C:$C,'community %'!$T$43)),"")</f>
        <v/>
      </c>
      <c r="AG46" s="167" t="str">
        <f>IFERROR(SUM(SUMIFS('caseload data'!Q:Q,'caseload data'!$C:$C,'community %'!$T$43,'caseload data'!$D:$D,"PSO",'caseload data'!$B:$B,{"licence","community"}))/SUM(SUMIFS('caseload data'!Q:Q,'caseload data'!$B:$B,{"licence","community"},'caseload data'!$C:$C,'community %'!$T$43)),"")</f>
        <v/>
      </c>
      <c r="AH46" s="167" t="str">
        <f>IFERROR(SUM(SUMIFS('caseload data'!R:R,'caseload data'!$C:$C,'community %'!$T$43,'caseload data'!$D:$D,"PSO",'caseload data'!$B:$B,{"licence","community"}))/SUM(SUMIFS('caseload data'!R:R,'caseload data'!$B:$B,{"licence","community"},'caseload data'!$C:$C,'community %'!$T$43)),"")</f>
        <v/>
      </c>
      <c r="AI46" s="167" t="str">
        <f>IFERROR(SUM(SUMIFS('caseload data'!S:S,'caseload data'!$C:$C,'community %'!$T$43,'caseload data'!$D:$D,"PSO",'caseload data'!$B:$B,{"licence","community"}))/SUM(SUMIFS('caseload data'!S:S,'caseload data'!$B:$B,{"licence","community"},'caseload data'!$C:$C,'community %'!$T$43)),"")</f>
        <v/>
      </c>
      <c r="AJ46" s="167" t="str">
        <f>IFERROR(SUM(SUMIFS('caseload data'!T:T,'caseload data'!$C:$C,'community %'!$T$43,'caseload data'!$D:$D,"PSO",'caseload data'!$B:$B,{"licence","community"}))/SUM(SUMIFS('caseload data'!T:T,'caseload data'!$B:$B,{"licence","community"},'caseload data'!$C:$C,'community %'!$T$43)),"")</f>
        <v/>
      </c>
    </row>
    <row r="47" spans="2:36" x14ac:dyDescent="0.15">
      <c r="B47" s="97" t="s">
        <v>953</v>
      </c>
      <c r="C47" s="167" t="str">
        <f>IFERROR(SUM(SUMIFS('caseload data'!E:E,'caseload data'!$C:$C,'community %'!$B$43,'caseload data'!$D:$D,"TPO",'caseload data'!$B:$B,{"licence","community"}))/SUM(SUMIFS('caseload data'!E:E,'caseload data'!$B:$B,{"licence","community"},'caseload data'!$C:$C,'community %'!$B$43)),"")</f>
        <v/>
      </c>
      <c r="D47" s="167" t="str">
        <f>IFERROR(SUM(SUMIFS('caseload data'!F:F,'caseload data'!$C:$C,'community %'!$B$43,'caseload data'!$D:$D,"TPO",'caseload data'!$B:$B,{"licence","community"}))/SUM(SUMIFS('caseload data'!F:F,'caseload data'!$B:$B,{"licence","community"},'caseload data'!$C:$C,'community %'!$B$43)),"")</f>
        <v/>
      </c>
      <c r="E47" s="167" t="str">
        <f>IFERROR(SUM(SUMIFS('caseload data'!G:G,'caseload data'!$C:$C,'community %'!$B$43,'caseload data'!$D:$D,"TPO",'caseload data'!$B:$B,{"licence","community"}))/SUM(SUMIFS('caseload data'!G:G,'caseload data'!$B:$B,{"licence","community"},'caseload data'!$C:$C,'community %'!$B$43)),"")</f>
        <v/>
      </c>
      <c r="F47" s="167" t="str">
        <f>IFERROR(SUM(SUMIFS('caseload data'!H:H,'caseload data'!$C:$C,'community %'!$B$43,'caseload data'!$D:$D,"TPO",'caseload data'!$B:$B,{"licence","community"}))/SUM(SUMIFS('caseload data'!H:H,'caseload data'!$B:$B,{"licence","community"},'caseload data'!$C:$C,'community %'!$B$43)),"")</f>
        <v/>
      </c>
      <c r="G47" s="167" t="str">
        <f>IFERROR(SUM(SUMIFS('caseload data'!I:I,'caseload data'!$C:$C,'community %'!$B$43,'caseload data'!$D:$D,"TPO",'caseload data'!$B:$B,{"licence","community"}))/SUM(SUMIFS('caseload data'!I:I,'caseload data'!$B:$B,{"licence","community"},'caseload data'!$C:$C,'community %'!$B$43)),"")</f>
        <v/>
      </c>
      <c r="H47" s="167" t="str">
        <f>IFERROR(SUM(SUMIFS('caseload data'!J:J,'caseload data'!$C:$C,'community %'!$B$43,'caseload data'!$D:$D,"TPO",'caseload data'!$B:$B,{"licence","community"}))/SUM(SUMIFS('caseload data'!J:J,'caseload data'!$B:$B,{"licence","community"},'caseload data'!$C:$C,'community %'!$B$43)),"")</f>
        <v/>
      </c>
      <c r="I47" s="167" t="str">
        <f>IFERROR(SUM(SUMIFS('caseload data'!K:K,'caseload data'!$C:$C,'community %'!$B$43,'caseload data'!$D:$D,"TPO",'caseload data'!$B:$B,{"licence","community"}))/SUM(SUMIFS('caseload data'!K:K,'caseload data'!$B:$B,{"licence","community"},'caseload data'!$C:$C,'community %'!$B$43)),"")</f>
        <v/>
      </c>
      <c r="J47" s="167" t="str">
        <f>IFERROR(SUM(SUMIFS('caseload data'!L:L,'caseload data'!$C:$C,'community %'!$B$43,'caseload data'!$D:$D,"TPO",'caseload data'!$B:$B,{"licence","community"}))/SUM(SUMIFS('caseload data'!L:L,'caseload data'!$B:$B,{"licence","community"},'caseload data'!$C:$C,'community %'!$B$43)),"")</f>
        <v/>
      </c>
      <c r="K47" s="167" t="str">
        <f>IFERROR(SUM(SUMIFS('caseload data'!M:M,'caseload data'!$C:$C,'community %'!$B$43,'caseload data'!$D:$D,"TPO",'caseload data'!$B:$B,{"licence","community"}))/SUM(SUMIFS('caseload data'!M:M,'caseload data'!$B:$B,{"licence","community"},'caseload data'!$C:$C,'community %'!$B$43)),"")</f>
        <v/>
      </c>
      <c r="L47" s="167" t="str">
        <f>IFERROR(SUM(SUMIFS('caseload data'!N:N,'caseload data'!$C:$C,'community %'!$B$43,'caseload data'!$D:$D,"TPO",'caseload data'!$B:$B,{"licence","community"}))/SUM(SUMIFS('caseload data'!N:N,'caseload data'!$B:$B,{"licence","community"},'caseload data'!$C:$C,'community %'!$B$43)),"")</f>
        <v/>
      </c>
      <c r="M47" s="167" t="str">
        <f>IFERROR(SUM(SUMIFS('caseload data'!O:O,'caseload data'!$C:$C,'community %'!$B$43,'caseload data'!$D:$D,"TPO",'caseload data'!$B:$B,{"licence","community"}))/SUM(SUMIFS('caseload data'!O:O,'caseload data'!$B:$B,{"licence","community"},'caseload data'!$C:$C,'community %'!$B$43)),"")</f>
        <v/>
      </c>
      <c r="N47" s="167" t="str">
        <f>IFERROR(SUM(SUMIFS('caseload data'!P:P,'caseload data'!$C:$C,'community %'!$B$43,'caseload data'!$D:$D,"TPO",'caseload data'!$B:$B,{"licence","community"}))/SUM(SUMIFS('caseload data'!P:P,'caseload data'!$B:$B,{"licence","community"},'caseload data'!$C:$C,'community %'!$B$43)),"")</f>
        <v/>
      </c>
      <c r="O47" s="167" t="str">
        <f>IFERROR(SUM(SUMIFS('caseload data'!Q:Q,'caseload data'!$C:$C,'community %'!$B$43,'caseload data'!$D:$D,"TPO",'caseload data'!$B:$B,{"licence","community"}))/SUM(SUMIFS('caseload data'!Q:Q,'caseload data'!$B:$B,{"licence","community"},'caseload data'!$C:$C,'community %'!$B$43)),"")</f>
        <v/>
      </c>
      <c r="P47" s="167" t="str">
        <f>IFERROR(SUM(SUMIFS('caseload data'!R:R,'caseload data'!$C:$C,'community %'!$B$43,'caseload data'!$D:$D,"TPO",'caseload data'!$B:$B,{"licence","community"}))/SUM(SUMIFS('caseload data'!R:R,'caseload data'!$B:$B,{"licence","community"},'caseload data'!$C:$C,'community %'!$B$43)),"")</f>
        <v/>
      </c>
      <c r="Q47" s="167" t="str">
        <f>IFERROR(SUM(SUMIFS('caseload data'!S:S,'caseload data'!$C:$C,'community %'!$B$43,'caseload data'!$D:$D,"TPO",'caseload data'!$B:$B,{"licence","community"}))/SUM(SUMIFS('caseload data'!S:S,'caseload data'!$B:$B,{"licence","community"},'caseload data'!$C:$C,'community %'!$B$43)),"")</f>
        <v/>
      </c>
      <c r="R47" s="167" t="str">
        <f>IFERROR(SUM(SUMIFS('caseload data'!T:T,'caseload data'!$C:$C,'community %'!$B$43,'caseload data'!$D:$D,"TPO",'caseload data'!$B:$B,{"licence","community"}))/SUM(SUMIFS('caseload data'!T:T,'caseload data'!$B:$B,{"licence","community"},'caseload data'!$C:$C,'community %'!$B$43)),"")</f>
        <v/>
      </c>
      <c r="S47" s="64"/>
      <c r="T47" s="97" t="s">
        <v>953</v>
      </c>
      <c r="U47" s="167" t="str">
        <f>IFERROR(SUM(SUMIFS('caseload data'!E:E,'caseload data'!$C:$C,'community %'!$T$43,'caseload data'!$D:$D,"TPO",'caseload data'!$B:$B,{"licence","community"}))/SUM(SUMIFS('caseload data'!E:E,'caseload data'!$B:$B,{"licence","community"},'caseload data'!$C:$C,'community %'!$T$43)),"")</f>
        <v/>
      </c>
      <c r="V47" s="167" t="str">
        <f>IFERROR(SUM(SUMIFS('caseload data'!F:F,'caseload data'!$C:$C,'community %'!$T$43,'caseload data'!$D:$D,"TPO",'caseload data'!$B:$B,{"licence","community"}))/SUM(SUMIFS('caseload data'!F:F,'caseload data'!$B:$B,{"licence","community"},'caseload data'!$C:$C,'community %'!$T$43)),"")</f>
        <v/>
      </c>
      <c r="W47" s="167" t="str">
        <f>IFERROR(SUM(SUMIFS('caseload data'!G:G,'caseload data'!$C:$C,'community %'!$T$43,'caseload data'!$D:$D,"TPO",'caseload data'!$B:$B,{"licence","community"}))/SUM(SUMIFS('caseload data'!G:G,'caseload data'!$B:$B,{"licence","community"},'caseload data'!$C:$C,'community %'!$T$43)),"")</f>
        <v/>
      </c>
      <c r="X47" s="167" t="str">
        <f>IFERROR(SUM(SUMIFS('caseload data'!H:H,'caseload data'!$C:$C,'community %'!$T$43,'caseload data'!$D:$D,"TPO",'caseload data'!$B:$B,{"licence","community"}))/SUM(SUMIFS('caseload data'!H:H,'caseload data'!$B:$B,{"licence","community"},'caseload data'!$C:$C,'community %'!$T$43)),"")</f>
        <v/>
      </c>
      <c r="Y47" s="167" t="str">
        <f>IFERROR(SUM(SUMIFS('caseload data'!I:I,'caseload data'!$C:$C,'community %'!$T$43,'caseload data'!$D:$D,"TPO",'caseload data'!$B:$B,{"licence","community"}))/SUM(SUMIFS('caseload data'!I:I,'caseload data'!$B:$B,{"licence","community"},'caseload data'!$C:$C,'community %'!$T$43)),"")</f>
        <v/>
      </c>
      <c r="Z47" s="167" t="str">
        <f>IFERROR(SUM(SUMIFS('caseload data'!J:J,'caseload data'!$C:$C,'community %'!$T$43,'caseload data'!$D:$D,"TPO",'caseload data'!$B:$B,{"licence","community"}))/SUM(SUMIFS('caseload data'!J:J,'caseload data'!$B:$B,{"licence","community"},'caseload data'!$C:$C,'community %'!$T$43)),"")</f>
        <v/>
      </c>
      <c r="AA47" s="167" t="str">
        <f>IFERROR(SUM(SUMIFS('caseload data'!K:K,'caseload data'!$C:$C,'community %'!$T$43,'caseload data'!$D:$D,"TPO",'caseload data'!$B:$B,{"licence","community"}))/SUM(SUMIFS('caseload data'!K:K,'caseload data'!$B:$B,{"licence","community"},'caseload data'!$C:$C,'community %'!$T$43)),"")</f>
        <v/>
      </c>
      <c r="AB47" s="167" t="str">
        <f>IFERROR(SUM(SUMIFS('caseload data'!L:L,'caseload data'!$C:$C,'community %'!$T$43,'caseload data'!$D:$D,"TPO",'caseload data'!$B:$B,{"licence","community"}))/SUM(SUMIFS('caseload data'!L:L,'caseload data'!$B:$B,{"licence","community"},'caseload data'!$C:$C,'community %'!$T$43)),"")</f>
        <v/>
      </c>
      <c r="AC47" s="167" t="str">
        <f>IFERROR(SUM(SUMIFS('caseload data'!M:M,'caseload data'!$C:$C,'community %'!$T$43,'caseload data'!$D:$D,"TPO",'caseload data'!$B:$B,{"licence","community"}))/SUM(SUMIFS('caseload data'!M:M,'caseload data'!$B:$B,{"licence","community"},'caseload data'!$C:$C,'community %'!$T$43)),"")</f>
        <v/>
      </c>
      <c r="AD47" s="167" t="str">
        <f>IFERROR(SUM(SUMIFS('caseload data'!N:N,'caseload data'!$C:$C,'community %'!$T$43,'caseload data'!$D:$D,"TPO",'caseload data'!$B:$B,{"licence","community"}))/SUM(SUMIFS('caseload data'!N:N,'caseload data'!$B:$B,{"licence","community"},'caseload data'!$C:$C,'community %'!$T$43)),"")</f>
        <v/>
      </c>
      <c r="AE47" s="167" t="str">
        <f>IFERROR(SUM(SUMIFS('caseload data'!O:O,'caseload data'!$C:$C,'community %'!$T$43,'caseload data'!$D:$D,"TPO",'caseload data'!$B:$B,{"licence","community"}))/SUM(SUMIFS('caseload data'!O:O,'caseload data'!$B:$B,{"licence","community"},'caseload data'!$C:$C,'community %'!$T$43)),"")</f>
        <v/>
      </c>
      <c r="AF47" s="167" t="str">
        <f>IFERROR(SUM(SUMIFS('caseload data'!P:P,'caseload data'!$C:$C,'community %'!$T$43,'caseload data'!$D:$D,"TPO",'caseload data'!$B:$B,{"licence","community"}))/SUM(SUMIFS('caseload data'!P:P,'caseload data'!$B:$B,{"licence","community"},'caseload data'!$C:$C,'community %'!$T$43)),"")</f>
        <v/>
      </c>
      <c r="AG47" s="167" t="str">
        <f>IFERROR(SUM(SUMIFS('caseload data'!Q:Q,'caseload data'!$C:$C,'community %'!$T$43,'caseload data'!$D:$D,"TPO",'caseload data'!$B:$B,{"licence","community"}))/SUM(SUMIFS('caseload data'!Q:Q,'caseload data'!$B:$B,{"licence","community"},'caseload data'!$C:$C,'community %'!$T$43)),"")</f>
        <v/>
      </c>
      <c r="AH47" s="167" t="str">
        <f>IFERROR(SUM(SUMIFS('caseload data'!R:R,'caseload data'!$C:$C,'community %'!$T$43,'caseload data'!$D:$D,"TPO",'caseload data'!$B:$B,{"licence","community"}))/SUM(SUMIFS('caseload data'!R:R,'caseload data'!$B:$B,{"licence","community"},'caseload data'!$C:$C,'community %'!$T$43)),"")</f>
        <v/>
      </c>
      <c r="AI47" s="167" t="str">
        <f>IFERROR(SUM(SUMIFS('caseload data'!S:S,'caseload data'!$C:$C,'community %'!$T$43,'caseload data'!$D:$D,"TPO",'caseload data'!$B:$B,{"licence","community"}))/SUM(SUMIFS('caseload data'!S:S,'caseload data'!$B:$B,{"licence","community"},'caseload data'!$C:$C,'community %'!$T$43)),"")</f>
        <v/>
      </c>
      <c r="AJ47" s="167" t="str">
        <f>IFERROR(SUM(SUMIFS('caseload data'!T:T,'caseload data'!$C:$C,'community %'!$T$43,'caseload data'!$D:$D,"TPO",'caseload data'!$B:$B,{"licence","community"}))/SUM(SUMIFS('caseload data'!T:T,'caseload data'!$B:$B,{"licence","community"},'caseload data'!$C:$C,'community %'!$T$43)),"")</f>
        <v/>
      </c>
    </row>
    <row r="48" spans="2:36" x14ac:dyDescent="0.15">
      <c r="B48" s="98" t="s">
        <v>954</v>
      </c>
      <c r="C48" s="167" t="str">
        <f>IFERROR(SUM(SUMIFS('caseload data'!E:E,'caseload data'!$C:$C,'community %'!$B$43,'caseload data'!$D:$D,"SPO",'caseload data'!$B:$B,{"licence","community"}))/SUM(SUMIFS('caseload data'!E:E,'caseload data'!$B:$B,{"licence","community"},'caseload data'!$C:$C,'community %'!$B$43)),"")</f>
        <v/>
      </c>
      <c r="D48" s="167" t="str">
        <f>IFERROR(SUM(SUMIFS('caseload data'!F:F,'caseload data'!$C:$C,'community %'!$B$43,'caseload data'!$D:$D,"SPO",'caseload data'!$B:$B,{"licence","community"}))/SUM(SUMIFS('caseload data'!F:F,'caseload data'!$B:$B,{"licence","community"},'caseload data'!$C:$C,'community %'!$B$43)),"")</f>
        <v/>
      </c>
      <c r="E48" s="167" t="str">
        <f>IFERROR(SUM(SUMIFS('caseload data'!G:G,'caseload data'!$C:$C,'community %'!$B$43,'caseload data'!$D:$D,"SPO",'caseload data'!$B:$B,{"licence","community"}))/SUM(SUMIFS('caseload data'!G:G,'caseload data'!$B:$B,{"licence","community"},'caseload data'!$C:$C,'community %'!$B$43)),"")</f>
        <v/>
      </c>
      <c r="F48" s="167" t="str">
        <f>IFERROR(SUM(SUMIFS('caseload data'!H:H,'caseload data'!$C:$C,'community %'!$B$43,'caseload data'!$D:$D,"SPO",'caseload data'!$B:$B,{"licence","community"}))/SUM(SUMIFS('caseload data'!H:H,'caseload data'!$B:$B,{"licence","community"},'caseload data'!$C:$C,'community %'!$B$43)),"")</f>
        <v/>
      </c>
      <c r="G48" s="167" t="str">
        <f>IFERROR(SUM(SUMIFS('caseload data'!I:I,'caseload data'!$C:$C,'community %'!$B$43,'caseload data'!$D:$D,"SPO",'caseload data'!$B:$B,{"licence","community"}))/SUM(SUMIFS('caseload data'!I:I,'caseload data'!$B:$B,{"licence","community"},'caseload data'!$C:$C,'community %'!$B$43)),"")</f>
        <v/>
      </c>
      <c r="H48" s="167" t="str">
        <f>IFERROR(SUM(SUMIFS('caseload data'!J:J,'caseload data'!$C:$C,'community %'!$B$43,'caseload data'!$D:$D,"SPO",'caseload data'!$B:$B,{"licence","community"}))/SUM(SUMIFS('caseload data'!J:J,'caseload data'!$B:$B,{"licence","community"},'caseload data'!$C:$C,'community %'!$B$43)),"")</f>
        <v/>
      </c>
      <c r="I48" s="167" t="str">
        <f>IFERROR(SUM(SUMIFS('caseload data'!K:K,'caseload data'!$C:$C,'community %'!$B$43,'caseload data'!$D:$D,"SPO",'caseload data'!$B:$B,{"licence","community"}))/SUM(SUMIFS('caseload data'!K:K,'caseload data'!$B:$B,{"licence","community"},'caseload data'!$C:$C,'community %'!$B$43)),"")</f>
        <v/>
      </c>
      <c r="J48" s="167" t="str">
        <f>IFERROR(SUM(SUMIFS('caseload data'!L:L,'caseload data'!$C:$C,'community %'!$B$43,'caseload data'!$D:$D,"SPO",'caseload data'!$B:$B,{"licence","community"}))/SUM(SUMIFS('caseload data'!L:L,'caseload data'!$B:$B,{"licence","community"},'caseload data'!$C:$C,'community %'!$B$43)),"")</f>
        <v/>
      </c>
      <c r="K48" s="167" t="str">
        <f>IFERROR(SUM(SUMIFS('caseload data'!M:M,'caseload data'!$C:$C,'community %'!$B$43,'caseload data'!$D:$D,"SPO",'caseload data'!$B:$B,{"licence","community"}))/SUM(SUMIFS('caseload data'!M:M,'caseload data'!$B:$B,{"licence","community"},'caseload data'!$C:$C,'community %'!$B$43)),"")</f>
        <v/>
      </c>
      <c r="L48" s="167" t="str">
        <f>IFERROR(SUM(SUMIFS('caseload data'!N:N,'caseload data'!$C:$C,'community %'!$B$43,'caseload data'!$D:$D,"SPO",'caseload data'!$B:$B,{"licence","community"}))/SUM(SUMIFS('caseload data'!N:N,'caseload data'!$B:$B,{"licence","community"},'caseload data'!$C:$C,'community %'!$B$43)),"")</f>
        <v/>
      </c>
      <c r="M48" s="167" t="str">
        <f>IFERROR(SUM(SUMIFS('caseload data'!O:O,'caseload data'!$C:$C,'community %'!$B$43,'caseload data'!$D:$D,"SPO",'caseload data'!$B:$B,{"licence","community"}))/SUM(SUMIFS('caseload data'!O:O,'caseload data'!$B:$B,{"licence","community"},'caseload data'!$C:$C,'community %'!$B$43)),"")</f>
        <v/>
      </c>
      <c r="N48" s="167" t="str">
        <f>IFERROR(SUM(SUMIFS('caseload data'!P:P,'caseload data'!$C:$C,'community %'!$B$43,'caseload data'!$D:$D,"SPO",'caseload data'!$B:$B,{"licence","community"}))/SUM(SUMIFS('caseload data'!P:P,'caseload data'!$B:$B,{"licence","community"},'caseload data'!$C:$C,'community %'!$B$43)),"")</f>
        <v/>
      </c>
      <c r="O48" s="167" t="str">
        <f>IFERROR(SUM(SUMIFS('caseload data'!Q:Q,'caseload data'!$C:$C,'community %'!$B$43,'caseload data'!$D:$D,"SPO",'caseload data'!$B:$B,{"licence","community"}))/SUM(SUMIFS('caseload data'!Q:Q,'caseload data'!$B:$B,{"licence","community"},'caseload data'!$C:$C,'community %'!$B$43)),"")</f>
        <v/>
      </c>
      <c r="P48" s="167" t="str">
        <f>IFERROR(SUM(SUMIFS('caseload data'!R:R,'caseload data'!$C:$C,'community %'!$B$43,'caseload data'!$D:$D,"SPO",'caseload data'!$B:$B,{"licence","community"}))/SUM(SUMIFS('caseload data'!R:R,'caseload data'!$B:$B,{"licence","community"},'caseload data'!$C:$C,'community %'!$B$43)),"")</f>
        <v/>
      </c>
      <c r="Q48" s="167" t="str">
        <f>IFERROR(SUM(SUMIFS('caseload data'!S:S,'caseload data'!$C:$C,'community %'!$B$43,'caseload data'!$D:$D,"SPO",'caseload data'!$B:$B,{"licence","community"}))/SUM(SUMIFS('caseload data'!S:S,'caseload data'!$B:$B,{"licence","community"},'caseload data'!$C:$C,'community %'!$B$43)),"")</f>
        <v/>
      </c>
      <c r="R48" s="167" t="str">
        <f>IFERROR(SUM(SUMIFS('caseload data'!T:T,'caseload data'!$C:$C,'community %'!$B$43,'caseload data'!$D:$D,"SPO",'caseload data'!$B:$B,{"licence","community"}))/SUM(SUMIFS('caseload data'!T:T,'caseload data'!$B:$B,{"licence","community"},'caseload data'!$C:$C,'community %'!$B$43)),"")</f>
        <v/>
      </c>
      <c r="S48" s="64"/>
      <c r="T48" s="98" t="s">
        <v>954</v>
      </c>
      <c r="U48" s="167" t="str">
        <f>IFERROR(SUM(SUMIFS('caseload data'!E:E,'caseload data'!$C:$C,'community %'!$T$43,'caseload data'!$D:$D,"SPO",'caseload data'!$B:$B,{"licence","community"}))/SUM(SUMIFS('caseload data'!E:E,'caseload data'!$B:$B,{"licence","community"},'caseload data'!$C:$C,'community %'!$T$43)),"")</f>
        <v/>
      </c>
      <c r="V48" s="167" t="str">
        <f>IFERROR(SUM(SUMIFS('caseload data'!F:F,'caseload data'!$C:$C,'community %'!$T$43,'caseload data'!$D:$D,"SPO",'caseload data'!$B:$B,{"licence","community"}))/SUM(SUMIFS('caseload data'!F:F,'caseload data'!$B:$B,{"licence","community"},'caseload data'!$C:$C,'community %'!$T$43)),"")</f>
        <v/>
      </c>
      <c r="W48" s="167" t="str">
        <f>IFERROR(SUM(SUMIFS('caseload data'!G:G,'caseload data'!$C:$C,'community %'!$T$43,'caseload data'!$D:$D,"SPO",'caseload data'!$B:$B,{"licence","community"}))/SUM(SUMIFS('caseload data'!G:G,'caseload data'!$B:$B,{"licence","community"},'caseload data'!$C:$C,'community %'!$T$43)),"")</f>
        <v/>
      </c>
      <c r="X48" s="167" t="str">
        <f>IFERROR(SUM(SUMIFS('caseload data'!H:H,'caseload data'!$C:$C,'community %'!$T$43,'caseload data'!$D:$D,"SPO",'caseload data'!$B:$B,{"licence","community"}))/SUM(SUMIFS('caseload data'!H:H,'caseload data'!$B:$B,{"licence","community"},'caseload data'!$C:$C,'community %'!$T$43)),"")</f>
        <v/>
      </c>
      <c r="Y48" s="167" t="str">
        <f>IFERROR(SUM(SUMIFS('caseload data'!I:I,'caseload data'!$C:$C,'community %'!$T$43,'caseload data'!$D:$D,"SPO",'caseload data'!$B:$B,{"licence","community"}))/SUM(SUMIFS('caseload data'!I:I,'caseload data'!$B:$B,{"licence","community"},'caseload data'!$C:$C,'community %'!$T$43)),"")</f>
        <v/>
      </c>
      <c r="Z48" s="167" t="str">
        <f>IFERROR(SUM(SUMIFS('caseload data'!J:J,'caseload data'!$C:$C,'community %'!$T$43,'caseload data'!$D:$D,"SPO",'caseload data'!$B:$B,{"licence","community"}))/SUM(SUMIFS('caseload data'!J:J,'caseload data'!$B:$B,{"licence","community"},'caseload data'!$C:$C,'community %'!$T$43)),"")</f>
        <v/>
      </c>
      <c r="AA48" s="167" t="str">
        <f>IFERROR(SUM(SUMIFS('caseload data'!K:K,'caseload data'!$C:$C,'community %'!$T$43,'caseload data'!$D:$D,"SPO",'caseload data'!$B:$B,{"licence","community"}))/SUM(SUMIFS('caseload data'!K:K,'caseload data'!$B:$B,{"licence","community"},'caseload data'!$C:$C,'community %'!$T$43)),"")</f>
        <v/>
      </c>
      <c r="AB48" s="167" t="str">
        <f>IFERROR(SUM(SUMIFS('caseload data'!L:L,'caseload data'!$C:$C,'community %'!$T$43,'caseload data'!$D:$D,"SPO",'caseload data'!$B:$B,{"licence","community"}))/SUM(SUMIFS('caseload data'!L:L,'caseload data'!$B:$B,{"licence","community"},'caseload data'!$C:$C,'community %'!$T$43)),"")</f>
        <v/>
      </c>
      <c r="AC48" s="167" t="str">
        <f>IFERROR(SUM(SUMIFS('caseload data'!M:M,'caseload data'!$C:$C,'community %'!$T$43,'caseload data'!$D:$D,"SPO",'caseload data'!$B:$B,{"licence","community"}))/SUM(SUMIFS('caseload data'!M:M,'caseload data'!$B:$B,{"licence","community"},'caseload data'!$C:$C,'community %'!$T$43)),"")</f>
        <v/>
      </c>
      <c r="AD48" s="167" t="str">
        <f>IFERROR(SUM(SUMIFS('caseload data'!N:N,'caseload data'!$C:$C,'community %'!$T$43,'caseload data'!$D:$D,"SPO",'caseload data'!$B:$B,{"licence","community"}))/SUM(SUMIFS('caseload data'!N:N,'caseload data'!$B:$B,{"licence","community"},'caseload data'!$C:$C,'community %'!$T$43)),"")</f>
        <v/>
      </c>
      <c r="AE48" s="167" t="str">
        <f>IFERROR(SUM(SUMIFS('caseload data'!O:O,'caseload data'!$C:$C,'community %'!$T$43,'caseload data'!$D:$D,"SPO",'caseload data'!$B:$B,{"licence","community"}))/SUM(SUMIFS('caseload data'!O:O,'caseload data'!$B:$B,{"licence","community"},'caseload data'!$C:$C,'community %'!$T$43)),"")</f>
        <v/>
      </c>
      <c r="AF48" s="167" t="str">
        <f>IFERROR(SUM(SUMIFS('caseload data'!P:P,'caseload data'!$C:$C,'community %'!$T$43,'caseload data'!$D:$D,"SPO",'caseload data'!$B:$B,{"licence","community"}))/SUM(SUMIFS('caseload data'!P:P,'caseload data'!$B:$B,{"licence","community"},'caseload data'!$C:$C,'community %'!$T$43)),"")</f>
        <v/>
      </c>
      <c r="AG48" s="167" t="str">
        <f>IFERROR(SUM(SUMIFS('caseload data'!Q:Q,'caseload data'!$C:$C,'community %'!$T$43,'caseload data'!$D:$D,"SPO",'caseload data'!$B:$B,{"licence","community"}))/SUM(SUMIFS('caseload data'!Q:Q,'caseload data'!$B:$B,{"licence","community"},'caseload data'!$C:$C,'community %'!$T$43)),"")</f>
        <v/>
      </c>
      <c r="AH48" s="167" t="str">
        <f>IFERROR(SUM(SUMIFS('caseload data'!R:R,'caseload data'!$C:$C,'community %'!$T$43,'caseload data'!$D:$D,"SPO",'caseload data'!$B:$B,{"licence","community"}))/SUM(SUMIFS('caseload data'!R:R,'caseload data'!$B:$B,{"licence","community"},'caseload data'!$C:$C,'community %'!$T$43)),"")</f>
        <v/>
      </c>
      <c r="AI48" s="167" t="str">
        <f>IFERROR(SUM(SUMIFS('caseload data'!S:S,'caseload data'!$C:$C,'community %'!$T$43,'caseload data'!$D:$D,"SPO",'caseload data'!$B:$B,{"licence","community"}))/SUM(SUMIFS('caseload data'!S:S,'caseload data'!$B:$B,{"licence","community"},'caseload data'!$C:$C,'community %'!$T$43)),"")</f>
        <v/>
      </c>
      <c r="AJ48" s="167" t="str">
        <f>IFERROR(SUM(SUMIFS('caseload data'!T:T,'caseload data'!$C:$C,'community %'!$T$43,'caseload data'!$D:$D,"SPO",'caseload data'!$B:$B,{"licence","community"}))/SUM(SUMIFS('caseload data'!T:T,'caseload data'!$B:$B,{"licence","community"},'caseload data'!$C:$C,'community %'!$T$43)),"")</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4.75" customHeight="1" x14ac:dyDescent="0.15">
      <c r="B50" s="288">
        <f>HLOOKUP($B$5,Region_Table,14,0)</f>
        <v>0</v>
      </c>
      <c r="C50" s="540" t="s">
        <v>1081</v>
      </c>
      <c r="D50" s="541"/>
      <c r="E50" s="541"/>
      <c r="F50" s="541"/>
      <c r="G50" s="541"/>
      <c r="H50" s="541"/>
      <c r="I50" s="541"/>
      <c r="J50" s="541"/>
      <c r="K50" s="541"/>
      <c r="L50" s="541"/>
      <c r="M50" s="570"/>
      <c r="N50" s="570"/>
      <c r="O50" s="571"/>
      <c r="P50" s="543" cm="1">
        <f t="array" ref="P50">SUM(SUMIFS('caseload data'!V:V,'caseload data'!B:B,{"licence","community"},'caseload data'!$C:$C,B50))</f>
        <v>0</v>
      </c>
      <c r="Q50" s="560"/>
      <c r="R50" s="561"/>
      <c r="S50" s="64"/>
      <c r="T50" s="288">
        <f>HLOOKUP($B$5,Region_Table,15,0)</f>
        <v>0</v>
      </c>
      <c r="U50" s="540" t="s">
        <v>1081</v>
      </c>
      <c r="V50" s="541"/>
      <c r="W50" s="541"/>
      <c r="X50" s="541"/>
      <c r="Y50" s="541"/>
      <c r="Z50" s="541"/>
      <c r="AA50" s="541"/>
      <c r="AB50" s="541"/>
      <c r="AC50" s="541"/>
      <c r="AD50" s="541"/>
      <c r="AE50" s="570"/>
      <c r="AF50" s="570"/>
      <c r="AG50" s="571"/>
      <c r="AH50" s="543" cm="1">
        <f t="array" ref="AH50">SUM(SUMIFS('caseload data'!V:V,'caseload data'!B:B,{"licence","community"},'caseload data'!$C:$C,T50))</f>
        <v>0</v>
      </c>
      <c r="AI50" s="560"/>
      <c r="AJ50" s="561"/>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167" t="str">
        <f>IFERROR(SUM(SUMIFS('caseload data'!E:E,'caseload data'!$C:$C,'community %'!$B$50,'caseload data'!$D:$D,"PO",'caseload data'!$B:$B,{"licence","community"}))/SUM(SUMIFS('caseload data'!E:E,'caseload data'!$B:$B,{"licence","community"},'caseload data'!$C:$C,'community %'!$B$50)),"")</f>
        <v/>
      </c>
      <c r="D52" s="167" t="str">
        <f>IFERROR(SUM(SUMIFS('caseload data'!F:F,'caseload data'!$C:$C,'community %'!$B$50,'caseload data'!$D:$D,"PO",'caseload data'!$B:$B,{"licence","community"}))/SUM(SUMIFS('caseload data'!F:F,'caseload data'!$B:$B,{"licence","community"},'caseload data'!$C:$C,'community %'!$B$50)),"")</f>
        <v/>
      </c>
      <c r="E52" s="167" t="str">
        <f>IFERROR(SUM(SUMIFS('caseload data'!G:G,'caseload data'!$C:$C,'community %'!$B$50,'caseload data'!$D:$D,"PO",'caseload data'!$B:$B,{"licence","community"}))/SUM(SUMIFS('caseload data'!G:G,'caseload data'!$B:$B,{"licence","community"},'caseload data'!$C:$C,'community %'!$B$50)),"")</f>
        <v/>
      </c>
      <c r="F52" s="167" t="str">
        <f>IFERROR(SUM(SUMIFS('caseload data'!H:H,'caseload data'!$C:$C,'community %'!$B$50,'caseload data'!$D:$D,"PO",'caseload data'!$B:$B,{"licence","community"}))/SUM(SUMIFS('caseload data'!H:H,'caseload data'!$B:$B,{"licence","community"},'caseload data'!$C:$C,'community %'!$B$50)),"")</f>
        <v/>
      </c>
      <c r="G52" s="167" t="str">
        <f>IFERROR(SUM(SUMIFS('caseload data'!I:I,'caseload data'!$C:$C,'community %'!$B$50,'caseload data'!$D:$D,"PO",'caseload data'!$B:$B,{"licence","community"}))/SUM(SUMIFS('caseload data'!I:I,'caseload data'!$B:$B,{"licence","community"},'caseload data'!$C:$C,'community %'!$B$50)),"")</f>
        <v/>
      </c>
      <c r="H52" s="167" t="str">
        <f>IFERROR(SUM(SUMIFS('caseload data'!J:J,'caseload data'!$C:$C,'community %'!$B$50,'caseload data'!$D:$D,"PO",'caseload data'!$B:$B,{"licence","community"}))/SUM(SUMIFS('caseload data'!J:J,'caseload data'!$B:$B,{"licence","community"},'caseload data'!$C:$C,'community %'!$B$50)),"")</f>
        <v/>
      </c>
      <c r="I52" s="167" t="str">
        <f>IFERROR(SUM(SUMIFS('caseload data'!K:K,'caseload data'!$C:$C,'community %'!$B$50,'caseload data'!$D:$D,"PO",'caseload data'!$B:$B,{"licence","community"}))/SUM(SUMIFS('caseload data'!K:K,'caseload data'!$B:$B,{"licence","community"},'caseload data'!$C:$C,'community %'!$B$50)),"")</f>
        <v/>
      </c>
      <c r="J52" s="167" t="str">
        <f>IFERROR(SUM(SUMIFS('caseload data'!L:L,'caseload data'!$C:$C,'community %'!$B$50,'caseload data'!$D:$D,"PO",'caseload data'!$B:$B,{"licence","community"}))/SUM(SUMIFS('caseload data'!L:L,'caseload data'!$B:$B,{"licence","community"},'caseload data'!$C:$C,'community %'!$B$50)),"")</f>
        <v/>
      </c>
      <c r="K52" s="167" t="str">
        <f>IFERROR(SUM(SUMIFS('caseload data'!M:M,'caseload data'!$C:$C,'community %'!$B$50,'caseload data'!$D:$D,"PO",'caseload data'!$B:$B,{"licence","community"}))/SUM(SUMIFS('caseload data'!M:M,'caseload data'!$B:$B,{"licence","community"},'caseload data'!$C:$C,'community %'!$B$50)),"")</f>
        <v/>
      </c>
      <c r="L52" s="167" t="str">
        <f>IFERROR(SUM(SUMIFS('caseload data'!N:N,'caseload data'!$C:$C,'community %'!$B$50,'caseload data'!$D:$D,"PO",'caseload data'!$B:$B,{"licence","community"}))/SUM(SUMIFS('caseload data'!N:N,'caseload data'!$B:$B,{"licence","community"},'caseload data'!$C:$C,'community %'!$B$50)),"")</f>
        <v/>
      </c>
      <c r="M52" s="167" t="str">
        <f>IFERROR(SUM(SUMIFS('caseload data'!O:O,'caseload data'!$C:$C,'community %'!$B$50,'caseload data'!$D:$D,"PO",'caseload data'!$B:$B,{"licence","community"}))/SUM(SUMIFS('caseload data'!O:O,'caseload data'!$B:$B,{"licence","community"},'caseload data'!$C:$C,'community %'!$B$50)),"")</f>
        <v/>
      </c>
      <c r="N52" s="167" t="str">
        <f>IFERROR(SUM(SUMIFS('caseload data'!P:P,'caseload data'!$C:$C,'community %'!$B$50,'caseload data'!$D:$D,"PO",'caseload data'!$B:$B,{"licence","community"}))/SUM(SUMIFS('caseload data'!P:P,'caseload data'!$B:$B,{"licence","community"},'caseload data'!$C:$C,'community %'!$B$50)),"")</f>
        <v/>
      </c>
      <c r="O52" s="167" t="str">
        <f>IFERROR(SUM(SUMIFS('caseload data'!Q:Q,'caseload data'!$C:$C,'community %'!$B$50,'caseload data'!$D:$D,"PO",'caseload data'!$B:$B,{"licence","community"}))/SUM(SUMIFS('caseload data'!Q:Q,'caseload data'!$B:$B,{"licence","community"},'caseload data'!$C:$C,'community %'!$B$50)),"")</f>
        <v/>
      </c>
      <c r="P52" s="167" t="str">
        <f>IFERROR(SUM(SUMIFS('caseload data'!R:R,'caseload data'!$C:$C,'community %'!$B$50,'caseload data'!$D:$D,"PO",'caseload data'!$B:$B,{"licence","community"}))/SUM(SUMIFS('caseload data'!R:R,'caseload data'!$B:$B,{"licence","community"},'caseload data'!$C:$C,'community %'!$B$50)),"")</f>
        <v/>
      </c>
      <c r="Q52" s="167" t="str">
        <f>IFERROR(SUM(SUMIFS('caseload data'!S:S,'caseload data'!$C:$C,'community %'!$B$50,'caseload data'!$D:$D,"PO",'caseload data'!$B:$B,{"licence","community"}))/SUM(SUMIFS('caseload data'!S:S,'caseload data'!$B:$B,{"licence","community"},'caseload data'!$C:$C,'community %'!$B$50)),"")</f>
        <v/>
      </c>
      <c r="R52" s="167" t="str">
        <f>IFERROR(SUM(SUMIFS('caseload data'!T:T,'caseload data'!$C:$C,'community %'!$B$50,'caseload data'!$D:$D,"PO",'caseload data'!$B:$B,{"licence","community"}))/SUM(SUMIFS('caseload data'!T:T,'caseload data'!$B:$B,{"licence","community"},'caseload data'!$C:$C,'community %'!$B$50)),"")</f>
        <v/>
      </c>
      <c r="S52" s="64"/>
      <c r="T52" s="96" t="s">
        <v>947</v>
      </c>
      <c r="U52" s="167" t="str">
        <f>IFERROR(SUM(SUMIFS('caseload data'!E:E,'caseload data'!$C:$C,'community %'!$T$50,'caseload data'!$D:$D,"PO",'caseload data'!$B:$B,{"licence","community"}))/SUM(SUMIFS('caseload data'!E:E,'caseload data'!$B:$B,{"licence","community"},'caseload data'!$C:$C,'community %'!$T$50)),"")</f>
        <v/>
      </c>
      <c r="V52" s="167" t="str">
        <f>IFERROR(SUM(SUMIFS('caseload data'!F:F,'caseload data'!$C:$C,'community %'!$T$50,'caseload data'!$D:$D,"PO",'caseload data'!$B:$B,{"licence","community"}))/SUM(SUMIFS('caseload data'!F:F,'caseload data'!$B:$B,{"licence","community"},'caseload data'!$C:$C,'community %'!$T$50)),"")</f>
        <v/>
      </c>
      <c r="W52" s="167" t="str">
        <f>IFERROR(SUM(SUMIFS('caseload data'!G:G,'caseload data'!$C:$C,'community %'!$T$50,'caseload data'!$D:$D,"PO",'caseload data'!$B:$B,{"licence","community"}))/SUM(SUMIFS('caseload data'!G:G,'caseload data'!$B:$B,{"licence","community"},'caseload data'!$C:$C,'community %'!$T$50)),"")</f>
        <v/>
      </c>
      <c r="X52" s="167" t="str">
        <f>IFERROR(SUM(SUMIFS('caseload data'!H:H,'caseload data'!$C:$C,'community %'!$T$50,'caseload data'!$D:$D,"PO",'caseload data'!$B:$B,{"licence","community"}))/SUM(SUMIFS('caseload data'!H:H,'caseload data'!$B:$B,{"licence","community"},'caseload data'!$C:$C,'community %'!$T$50)),"")</f>
        <v/>
      </c>
      <c r="Y52" s="167" t="str">
        <f>IFERROR(SUM(SUMIFS('caseload data'!I:I,'caseload data'!$C:$C,'community %'!$T$50,'caseload data'!$D:$D,"PO",'caseload data'!$B:$B,{"licence","community"}))/SUM(SUMIFS('caseload data'!I:I,'caseload data'!$B:$B,{"licence","community"},'caseload data'!$C:$C,'community %'!$T$50)),"")</f>
        <v/>
      </c>
      <c r="Z52" s="167" t="str">
        <f>IFERROR(SUM(SUMIFS('caseload data'!J:J,'caseload data'!$C:$C,'community %'!$T$50,'caseload data'!$D:$D,"PO",'caseload data'!$B:$B,{"licence","community"}))/SUM(SUMIFS('caseload data'!J:J,'caseload data'!$B:$B,{"licence","community"},'caseload data'!$C:$C,'community %'!$T$50)),"")</f>
        <v/>
      </c>
      <c r="AA52" s="167" t="str">
        <f>IFERROR(SUM(SUMIFS('caseload data'!K:K,'caseload data'!$C:$C,'community %'!$T$50,'caseload data'!$D:$D,"PO",'caseload data'!$B:$B,{"licence","community"}))/SUM(SUMIFS('caseload data'!K:K,'caseload data'!$B:$B,{"licence","community"},'caseload data'!$C:$C,'community %'!$T$50)),"")</f>
        <v/>
      </c>
      <c r="AB52" s="167" t="str">
        <f>IFERROR(SUM(SUMIFS('caseload data'!L:L,'caseload data'!$C:$C,'community %'!$T$50,'caseload data'!$D:$D,"PO",'caseload data'!$B:$B,{"licence","community"}))/SUM(SUMIFS('caseload data'!L:L,'caseload data'!$B:$B,{"licence","community"},'caseload data'!$C:$C,'community %'!$T$50)),"")</f>
        <v/>
      </c>
      <c r="AC52" s="167" t="str">
        <f>IFERROR(SUM(SUMIFS('caseload data'!M:M,'caseload data'!$C:$C,'community %'!$T$50,'caseload data'!$D:$D,"PO",'caseload data'!$B:$B,{"licence","community"}))/SUM(SUMIFS('caseload data'!M:M,'caseload data'!$B:$B,{"licence","community"},'caseload data'!$C:$C,'community %'!$T$50)),"")</f>
        <v/>
      </c>
      <c r="AD52" s="167" t="str">
        <f>IFERROR(SUM(SUMIFS('caseload data'!N:N,'caseload data'!$C:$C,'community %'!$T$50,'caseload data'!$D:$D,"PO",'caseload data'!$B:$B,{"licence","community"}))/SUM(SUMIFS('caseload data'!N:N,'caseload data'!$B:$B,{"licence","community"},'caseload data'!$C:$C,'community %'!$T$50)),"")</f>
        <v/>
      </c>
      <c r="AE52" s="167" t="str">
        <f>IFERROR(SUM(SUMIFS('caseload data'!O:O,'caseload data'!$C:$C,'community %'!$T$50,'caseload data'!$D:$D,"PO",'caseload data'!$B:$B,{"licence","community"}))/SUM(SUMIFS('caseload data'!O:O,'caseload data'!$B:$B,{"licence","community"},'caseload data'!$C:$C,'community %'!$T$50)),"")</f>
        <v/>
      </c>
      <c r="AF52" s="167" t="str">
        <f>IFERROR(SUM(SUMIFS('caseload data'!P:P,'caseload data'!$C:$C,'community %'!$T$50,'caseload data'!$D:$D,"PO",'caseload data'!$B:$B,{"licence","community"}))/SUM(SUMIFS('caseload data'!P:P,'caseload data'!$B:$B,{"licence","community"},'caseload data'!$C:$C,'community %'!$T$50)),"")</f>
        <v/>
      </c>
      <c r="AG52" s="167" t="str">
        <f>IFERROR(SUM(SUMIFS('caseload data'!Q:Q,'caseload data'!$C:$C,'community %'!$T$50,'caseload data'!$D:$D,"PO",'caseload data'!$B:$B,{"licence","community"}))/SUM(SUMIFS('caseload data'!Q:Q,'caseload data'!$B:$B,{"licence","community"},'caseload data'!$C:$C,'community %'!$T$50)),"")</f>
        <v/>
      </c>
      <c r="AH52" s="167" t="str">
        <f>IFERROR(SUM(SUMIFS('caseload data'!R:R,'caseload data'!$C:$C,'community %'!$T$50,'caseload data'!$D:$D,"PO",'caseload data'!$B:$B,{"licence","community"}))/SUM(SUMIFS('caseload data'!R:R,'caseload data'!$B:$B,{"licence","community"},'caseload data'!$C:$C,'community %'!$T$50)),"")</f>
        <v/>
      </c>
      <c r="AI52" s="167" t="str">
        <f>IFERROR(SUM(SUMIFS('caseload data'!S:S,'caseload data'!$C:$C,'community %'!$T$50,'caseload data'!$D:$D,"PO",'caseload data'!$B:$B,{"licence","community"}))/SUM(SUMIFS('caseload data'!S:S,'caseload data'!$B:$B,{"licence","community"},'caseload data'!$C:$C,'community %'!$T$50)),"")</f>
        <v/>
      </c>
      <c r="AJ52" s="167" t="str">
        <f>IFERROR(SUM(SUMIFS('caseload data'!T:T,'caseload data'!$C:$C,'community %'!$T$50,'caseload data'!$D:$D,"PO",'caseload data'!$B:$B,{"licence","community"}))/SUM(SUMIFS('caseload data'!T:T,'caseload data'!$B:$B,{"licence","community"},'caseload data'!$C:$C,'community %'!$T$50)),"")</f>
        <v/>
      </c>
    </row>
    <row r="53" spans="2:36" x14ac:dyDescent="0.15">
      <c r="B53" s="97" t="s">
        <v>952</v>
      </c>
      <c r="C53" s="167" t="str">
        <f>IFERROR(SUM(SUMIFS('caseload data'!E:E,'caseload data'!$C:$C,'community %'!$B$50,'caseload data'!$D:$D,"PSO",'caseload data'!$B:$B,{"licence","community"}))/SUM(SUMIFS('caseload data'!E:E,'caseload data'!$B:$B,{"licence","community"},'caseload data'!$C:$C,'community %'!$B$50)),"")</f>
        <v/>
      </c>
      <c r="D53" s="167" t="str">
        <f>IFERROR(SUM(SUMIFS('caseload data'!F:F,'caseload data'!$C:$C,'community %'!$B$50,'caseload data'!$D:$D,"PSO",'caseload data'!$B:$B,{"licence","community"}))/SUM(SUMIFS('caseload data'!F:F,'caseload data'!$B:$B,{"licence","community"},'caseload data'!$C:$C,'community %'!$B$50)),"")</f>
        <v/>
      </c>
      <c r="E53" s="167" t="str">
        <f>IFERROR(SUM(SUMIFS('caseload data'!G:G,'caseload data'!$C:$C,'community %'!$B$50,'caseload data'!$D:$D,"PSO",'caseload data'!$B:$B,{"licence","community"}))/SUM(SUMIFS('caseload data'!G:G,'caseload data'!$B:$B,{"licence","community"},'caseload data'!$C:$C,'community %'!$B$50)),"")</f>
        <v/>
      </c>
      <c r="F53" s="167" t="str">
        <f>IFERROR(SUM(SUMIFS('caseload data'!H:H,'caseload data'!$C:$C,'community %'!$B$50,'caseload data'!$D:$D,"PSO",'caseload data'!$B:$B,{"licence","community"}))/SUM(SUMIFS('caseload data'!H:H,'caseload data'!$B:$B,{"licence","community"},'caseload data'!$C:$C,'community %'!$B$50)),"")</f>
        <v/>
      </c>
      <c r="G53" s="167" t="str">
        <f>IFERROR(SUM(SUMIFS('caseload data'!I:I,'caseload data'!$C:$C,'community %'!$B$50,'caseload data'!$D:$D,"PSO",'caseload data'!$B:$B,{"licence","community"}))/SUM(SUMIFS('caseload data'!I:I,'caseload data'!$B:$B,{"licence","community"},'caseload data'!$C:$C,'community %'!$B$50)),"")</f>
        <v/>
      </c>
      <c r="H53" s="167" t="str">
        <f>IFERROR(SUM(SUMIFS('caseload data'!J:J,'caseload data'!$C:$C,'community %'!$B$50,'caseload data'!$D:$D,"PSO",'caseload data'!$B:$B,{"licence","community"}))/SUM(SUMIFS('caseload data'!J:J,'caseload data'!$B:$B,{"licence","community"},'caseload data'!$C:$C,'community %'!$B$50)),"")</f>
        <v/>
      </c>
      <c r="I53" s="167" t="str">
        <f>IFERROR(SUM(SUMIFS('caseload data'!K:K,'caseload data'!$C:$C,'community %'!$B$50,'caseload data'!$D:$D,"PSO",'caseload data'!$B:$B,{"licence","community"}))/SUM(SUMIFS('caseload data'!K:K,'caseload data'!$B:$B,{"licence","community"},'caseload data'!$C:$C,'community %'!$B$50)),"")</f>
        <v/>
      </c>
      <c r="J53" s="167" t="str">
        <f>IFERROR(SUM(SUMIFS('caseload data'!L:L,'caseload data'!$C:$C,'community %'!$B$50,'caseload data'!$D:$D,"PSO",'caseload data'!$B:$B,{"licence","community"}))/SUM(SUMIFS('caseload data'!L:L,'caseload data'!$B:$B,{"licence","community"},'caseload data'!$C:$C,'community %'!$B$50)),"")</f>
        <v/>
      </c>
      <c r="K53" s="167" t="str">
        <f>IFERROR(SUM(SUMIFS('caseload data'!M:M,'caseload data'!$C:$C,'community %'!$B$50,'caseload data'!$D:$D,"PSO",'caseload data'!$B:$B,{"licence","community"}))/SUM(SUMIFS('caseload data'!M:M,'caseload data'!$B:$B,{"licence","community"},'caseload data'!$C:$C,'community %'!$B$50)),"")</f>
        <v/>
      </c>
      <c r="L53" s="167" t="str">
        <f>IFERROR(SUM(SUMIFS('caseload data'!N:N,'caseload data'!$C:$C,'community %'!$B$50,'caseload data'!$D:$D,"PSO",'caseload data'!$B:$B,{"licence","community"}))/SUM(SUMIFS('caseload data'!N:N,'caseload data'!$B:$B,{"licence","community"},'caseload data'!$C:$C,'community %'!$B$50)),"")</f>
        <v/>
      </c>
      <c r="M53" s="167" t="str">
        <f>IFERROR(SUM(SUMIFS('caseload data'!O:O,'caseload data'!$C:$C,'community %'!$B$50,'caseload data'!$D:$D,"PSO",'caseload data'!$B:$B,{"licence","community"}))/SUM(SUMIFS('caseload data'!O:O,'caseload data'!$B:$B,{"licence","community"},'caseload data'!$C:$C,'community %'!$B$50)),"")</f>
        <v/>
      </c>
      <c r="N53" s="167" t="str">
        <f>IFERROR(SUM(SUMIFS('caseload data'!P:P,'caseload data'!$C:$C,'community %'!$B$50,'caseload data'!$D:$D,"PSO",'caseload data'!$B:$B,{"licence","community"}))/SUM(SUMIFS('caseload data'!P:P,'caseload data'!$B:$B,{"licence","community"},'caseload data'!$C:$C,'community %'!$B$50)),"")</f>
        <v/>
      </c>
      <c r="O53" s="167" t="str">
        <f>IFERROR(SUM(SUMIFS('caseload data'!Q:Q,'caseload data'!$C:$C,'community %'!$B$50,'caseload data'!$D:$D,"PSO",'caseload data'!$B:$B,{"licence","community"}))/SUM(SUMIFS('caseload data'!Q:Q,'caseload data'!$B:$B,{"licence","community"},'caseload data'!$C:$C,'community %'!$B$50)),"")</f>
        <v/>
      </c>
      <c r="P53" s="167" t="str">
        <f>IFERROR(SUM(SUMIFS('caseload data'!R:R,'caseload data'!$C:$C,'community %'!$B$50,'caseload data'!$D:$D,"PSO",'caseload data'!$B:$B,{"licence","community"}))/SUM(SUMIFS('caseload data'!R:R,'caseload data'!$B:$B,{"licence","community"},'caseload data'!$C:$C,'community %'!$B$50)),"")</f>
        <v/>
      </c>
      <c r="Q53" s="167" t="str">
        <f>IFERROR(SUM(SUMIFS('caseload data'!S:S,'caseload data'!$C:$C,'community %'!$B$50,'caseload data'!$D:$D,"PSO",'caseload data'!$B:$B,{"licence","community"}))/SUM(SUMIFS('caseload data'!S:S,'caseload data'!$B:$B,{"licence","community"},'caseload data'!$C:$C,'community %'!$B$50)),"")</f>
        <v/>
      </c>
      <c r="R53" s="167" t="str">
        <f>IFERROR(SUM(SUMIFS('caseload data'!T:T,'caseload data'!$C:$C,'community %'!$B$50,'caseload data'!$D:$D,"PSO",'caseload data'!$B:$B,{"licence","community"}))/SUM(SUMIFS('caseload data'!T:T,'caseload data'!$B:$B,{"licence","community"},'caseload data'!$C:$C,'community %'!$B$50)),"")</f>
        <v/>
      </c>
      <c r="S53" s="64"/>
      <c r="T53" s="97" t="s">
        <v>952</v>
      </c>
      <c r="U53" s="167" t="str">
        <f>IFERROR(SUM(SUMIFS('caseload data'!E:E,'caseload data'!$C:$C,'community %'!$T$50,'caseload data'!$D:$D,"PSO",'caseload data'!$B:$B,{"licence","community"}))/SUM(SUMIFS('caseload data'!E:E,'caseload data'!$B:$B,{"licence","community"},'caseload data'!$C:$C,'community %'!$T$50)),"")</f>
        <v/>
      </c>
      <c r="V53" s="167" t="str">
        <f>IFERROR(SUM(SUMIFS('caseload data'!F:F,'caseload data'!$C:$C,'community %'!$T$50,'caseload data'!$D:$D,"PSO",'caseload data'!$B:$B,{"licence","community"}))/SUM(SUMIFS('caseload data'!F:F,'caseload data'!$B:$B,{"licence","community"},'caseload data'!$C:$C,'community %'!$T$50)),"")</f>
        <v/>
      </c>
      <c r="W53" s="167" t="str">
        <f>IFERROR(SUM(SUMIFS('caseload data'!G:G,'caseload data'!$C:$C,'community %'!$T$50,'caseload data'!$D:$D,"PSO",'caseload data'!$B:$B,{"licence","community"}))/SUM(SUMIFS('caseload data'!G:G,'caseload data'!$B:$B,{"licence","community"},'caseload data'!$C:$C,'community %'!$T$50)),"")</f>
        <v/>
      </c>
      <c r="X53" s="167" t="str">
        <f>IFERROR(SUM(SUMIFS('caseload data'!H:H,'caseload data'!$C:$C,'community %'!$T$50,'caseload data'!$D:$D,"PSO",'caseload data'!$B:$B,{"licence","community"}))/SUM(SUMIFS('caseload data'!H:H,'caseload data'!$B:$B,{"licence","community"},'caseload data'!$C:$C,'community %'!$T$50)),"")</f>
        <v/>
      </c>
      <c r="Y53" s="167" t="str">
        <f>IFERROR(SUM(SUMIFS('caseload data'!I:I,'caseload data'!$C:$C,'community %'!$T$50,'caseload data'!$D:$D,"PSO",'caseload data'!$B:$B,{"licence","community"}))/SUM(SUMIFS('caseload data'!I:I,'caseload data'!$B:$B,{"licence","community"},'caseload data'!$C:$C,'community %'!$T$50)),"")</f>
        <v/>
      </c>
      <c r="Z53" s="167" t="str">
        <f>IFERROR(SUM(SUMIFS('caseload data'!J:J,'caseload data'!$C:$C,'community %'!$T$50,'caseload data'!$D:$D,"PSO",'caseload data'!$B:$B,{"licence","community"}))/SUM(SUMIFS('caseload data'!J:J,'caseload data'!$B:$B,{"licence","community"},'caseload data'!$C:$C,'community %'!$T$50)),"")</f>
        <v/>
      </c>
      <c r="AA53" s="167" t="str">
        <f>IFERROR(SUM(SUMIFS('caseload data'!K:K,'caseload data'!$C:$C,'community %'!$T$50,'caseload data'!$D:$D,"PSO",'caseload data'!$B:$B,{"licence","community"}))/SUM(SUMIFS('caseload data'!K:K,'caseload data'!$B:$B,{"licence","community"},'caseload data'!$C:$C,'community %'!$T$50)),"")</f>
        <v/>
      </c>
      <c r="AB53" s="167" t="str">
        <f>IFERROR(SUM(SUMIFS('caseload data'!L:L,'caseload data'!$C:$C,'community %'!$T$50,'caseload data'!$D:$D,"PSO",'caseload data'!$B:$B,{"licence","community"}))/SUM(SUMIFS('caseload data'!L:L,'caseload data'!$B:$B,{"licence","community"},'caseload data'!$C:$C,'community %'!$T$50)),"")</f>
        <v/>
      </c>
      <c r="AC53" s="167" t="str">
        <f>IFERROR(SUM(SUMIFS('caseload data'!M:M,'caseload data'!$C:$C,'community %'!$T$50,'caseload data'!$D:$D,"PSO",'caseload data'!$B:$B,{"licence","community"}))/SUM(SUMIFS('caseload data'!M:M,'caseload data'!$B:$B,{"licence","community"},'caseload data'!$C:$C,'community %'!$T$50)),"")</f>
        <v/>
      </c>
      <c r="AD53" s="167" t="str">
        <f>IFERROR(SUM(SUMIFS('caseload data'!N:N,'caseload data'!$C:$C,'community %'!$T$50,'caseload data'!$D:$D,"PSO",'caseload data'!$B:$B,{"licence","community"}))/SUM(SUMIFS('caseload data'!N:N,'caseload data'!$B:$B,{"licence","community"},'caseload data'!$C:$C,'community %'!$T$50)),"")</f>
        <v/>
      </c>
      <c r="AE53" s="167" t="str">
        <f>IFERROR(SUM(SUMIFS('caseload data'!O:O,'caseload data'!$C:$C,'community %'!$T$50,'caseload data'!$D:$D,"PSO",'caseload data'!$B:$B,{"licence","community"}))/SUM(SUMIFS('caseload data'!O:O,'caseload data'!$B:$B,{"licence","community"},'caseload data'!$C:$C,'community %'!$T$50)),"")</f>
        <v/>
      </c>
      <c r="AF53" s="167" t="str">
        <f>IFERROR(SUM(SUMIFS('caseload data'!P:P,'caseload data'!$C:$C,'community %'!$T$50,'caseload data'!$D:$D,"PSO",'caseload data'!$B:$B,{"licence","community"}))/SUM(SUMIFS('caseload data'!P:P,'caseload data'!$B:$B,{"licence","community"},'caseload data'!$C:$C,'community %'!$T$50)),"")</f>
        <v/>
      </c>
      <c r="AG53" s="167" t="str">
        <f>IFERROR(SUM(SUMIFS('caseload data'!Q:Q,'caseload data'!$C:$C,'community %'!$T$50,'caseload data'!$D:$D,"PSO",'caseload data'!$B:$B,{"licence","community"}))/SUM(SUMIFS('caseload data'!Q:Q,'caseload data'!$B:$B,{"licence","community"},'caseload data'!$C:$C,'community %'!$T$50)),"")</f>
        <v/>
      </c>
      <c r="AH53" s="167" t="str">
        <f>IFERROR(SUM(SUMIFS('caseload data'!R:R,'caseload data'!$C:$C,'community %'!$T$50,'caseload data'!$D:$D,"PSO",'caseload data'!$B:$B,{"licence","community"}))/SUM(SUMIFS('caseload data'!R:R,'caseload data'!$B:$B,{"licence","community"},'caseload data'!$C:$C,'community %'!$T$50)),"")</f>
        <v/>
      </c>
      <c r="AI53" s="167" t="str">
        <f>IFERROR(SUM(SUMIFS('caseload data'!S:S,'caseload data'!$C:$C,'community %'!$T$50,'caseload data'!$D:$D,"PSO",'caseload data'!$B:$B,{"licence","community"}))/SUM(SUMIFS('caseload data'!S:S,'caseload data'!$B:$B,{"licence","community"},'caseload data'!$C:$C,'community %'!$T$50)),"")</f>
        <v/>
      </c>
      <c r="AJ53" s="167" t="str">
        <f>IFERROR(SUM(SUMIFS('caseload data'!T:T,'caseload data'!$C:$C,'community %'!$T$50,'caseload data'!$D:$D,"PSO",'caseload data'!$B:$B,{"licence","community"}))/SUM(SUMIFS('caseload data'!T:T,'caseload data'!$B:$B,{"licence","community"},'caseload data'!$C:$C,'community %'!$T$50)),"")</f>
        <v/>
      </c>
    </row>
    <row r="54" spans="2:36" x14ac:dyDescent="0.15">
      <c r="B54" s="97" t="s">
        <v>953</v>
      </c>
      <c r="C54" s="167" t="str">
        <f>IFERROR(SUM(SUMIFS('caseload data'!E:E,'caseload data'!$C:$C,'community %'!$B$50,'caseload data'!$D:$D,"TPO",'caseload data'!$B:$B,{"licence","community"}))/SUM(SUMIFS('caseload data'!E:E,'caseload data'!$B:$B,{"licence","community"},'caseload data'!$C:$C,'community %'!$B$50)),"")</f>
        <v/>
      </c>
      <c r="D54" s="167" t="str">
        <f>IFERROR(SUM(SUMIFS('caseload data'!F:F,'caseload data'!$C:$C,'community %'!$B$50,'caseload data'!$D:$D,"TPO",'caseload data'!$B:$B,{"licence","community"}))/SUM(SUMIFS('caseload data'!F:F,'caseload data'!$B:$B,{"licence","community"},'caseload data'!$C:$C,'community %'!$B$50)),"")</f>
        <v/>
      </c>
      <c r="E54" s="167" t="str">
        <f>IFERROR(SUM(SUMIFS('caseload data'!G:G,'caseload data'!$C:$C,'community %'!$B$50,'caseload data'!$D:$D,"TPO",'caseload data'!$B:$B,{"licence","community"}))/SUM(SUMIFS('caseload data'!G:G,'caseload data'!$B:$B,{"licence","community"},'caseload data'!$C:$C,'community %'!$B$50)),"")</f>
        <v/>
      </c>
      <c r="F54" s="167" t="str">
        <f>IFERROR(SUM(SUMIFS('caseload data'!H:H,'caseload data'!$C:$C,'community %'!$B$50,'caseload data'!$D:$D,"TPO",'caseload data'!$B:$B,{"licence","community"}))/SUM(SUMIFS('caseload data'!H:H,'caseload data'!$B:$B,{"licence","community"},'caseload data'!$C:$C,'community %'!$B$50)),"")</f>
        <v/>
      </c>
      <c r="G54" s="167" t="str">
        <f>IFERROR(SUM(SUMIFS('caseload data'!I:I,'caseload data'!$C:$C,'community %'!$B$50,'caseload data'!$D:$D,"TPO",'caseload data'!$B:$B,{"licence","community"}))/SUM(SUMIFS('caseload data'!I:I,'caseload data'!$B:$B,{"licence","community"},'caseload data'!$C:$C,'community %'!$B$50)),"")</f>
        <v/>
      </c>
      <c r="H54" s="167" t="str">
        <f>IFERROR(SUM(SUMIFS('caseload data'!J:J,'caseload data'!$C:$C,'community %'!$B$50,'caseload data'!$D:$D,"TPO",'caseload data'!$B:$B,{"licence","community"}))/SUM(SUMIFS('caseload data'!J:J,'caseload data'!$B:$B,{"licence","community"},'caseload data'!$C:$C,'community %'!$B$50)),"")</f>
        <v/>
      </c>
      <c r="I54" s="167" t="str">
        <f>IFERROR(SUM(SUMIFS('caseload data'!K:K,'caseload data'!$C:$C,'community %'!$B$50,'caseload data'!$D:$D,"TPO",'caseload data'!$B:$B,{"licence","community"}))/SUM(SUMIFS('caseload data'!K:K,'caseload data'!$B:$B,{"licence","community"},'caseload data'!$C:$C,'community %'!$B$50)),"")</f>
        <v/>
      </c>
      <c r="J54" s="167" t="str">
        <f>IFERROR(SUM(SUMIFS('caseload data'!L:L,'caseload data'!$C:$C,'community %'!$B$50,'caseload data'!$D:$D,"TPO",'caseload data'!$B:$B,{"licence","community"}))/SUM(SUMIFS('caseload data'!L:L,'caseload data'!$B:$B,{"licence","community"},'caseload data'!$C:$C,'community %'!$B$50)),"")</f>
        <v/>
      </c>
      <c r="K54" s="167" t="str">
        <f>IFERROR(SUM(SUMIFS('caseload data'!M:M,'caseload data'!$C:$C,'community %'!$B$50,'caseload data'!$D:$D,"TPO",'caseload data'!$B:$B,{"licence","community"}))/SUM(SUMIFS('caseload data'!M:M,'caseload data'!$B:$B,{"licence","community"},'caseload data'!$C:$C,'community %'!$B$50)),"")</f>
        <v/>
      </c>
      <c r="L54" s="167" t="str">
        <f>IFERROR(SUM(SUMIFS('caseload data'!N:N,'caseload data'!$C:$C,'community %'!$B$50,'caseload data'!$D:$D,"TPO",'caseload data'!$B:$B,{"licence","community"}))/SUM(SUMIFS('caseload data'!N:N,'caseload data'!$B:$B,{"licence","community"},'caseload data'!$C:$C,'community %'!$B$50)),"")</f>
        <v/>
      </c>
      <c r="M54" s="167" t="str">
        <f>IFERROR(SUM(SUMIFS('caseload data'!O:O,'caseload data'!$C:$C,'community %'!$B$50,'caseload data'!$D:$D,"TPO",'caseload data'!$B:$B,{"licence","community"}))/SUM(SUMIFS('caseload data'!O:O,'caseload data'!$B:$B,{"licence","community"},'caseload data'!$C:$C,'community %'!$B$50)),"")</f>
        <v/>
      </c>
      <c r="N54" s="167" t="str">
        <f>IFERROR(SUM(SUMIFS('caseload data'!P:P,'caseload data'!$C:$C,'community %'!$B$50,'caseload data'!$D:$D,"TPO",'caseload data'!$B:$B,{"licence","community"}))/SUM(SUMIFS('caseload data'!P:P,'caseload data'!$B:$B,{"licence","community"},'caseload data'!$C:$C,'community %'!$B$50)),"")</f>
        <v/>
      </c>
      <c r="O54" s="167" t="str">
        <f>IFERROR(SUM(SUMIFS('caseload data'!Q:Q,'caseload data'!$C:$C,'community %'!$B$50,'caseload data'!$D:$D,"TPO",'caseload data'!$B:$B,{"licence","community"}))/SUM(SUMIFS('caseload data'!Q:Q,'caseload data'!$B:$B,{"licence","community"},'caseload data'!$C:$C,'community %'!$B$50)),"")</f>
        <v/>
      </c>
      <c r="P54" s="167" t="str">
        <f>IFERROR(SUM(SUMIFS('caseload data'!R:R,'caseload data'!$C:$C,'community %'!$B$50,'caseload data'!$D:$D,"TPO",'caseload data'!$B:$B,{"licence","community"}))/SUM(SUMIFS('caseload data'!R:R,'caseload data'!$B:$B,{"licence","community"},'caseload data'!$C:$C,'community %'!$B$50)),"")</f>
        <v/>
      </c>
      <c r="Q54" s="167" t="str">
        <f>IFERROR(SUM(SUMIFS('caseload data'!S:S,'caseload data'!$C:$C,'community %'!$B$50,'caseload data'!$D:$D,"TPO",'caseload data'!$B:$B,{"licence","community"}))/SUM(SUMIFS('caseload data'!S:S,'caseload data'!$B:$B,{"licence","community"},'caseload data'!$C:$C,'community %'!$B$50)),"")</f>
        <v/>
      </c>
      <c r="R54" s="167" t="str">
        <f>IFERROR(SUM(SUMIFS('caseload data'!T:T,'caseload data'!$C:$C,'community %'!$B$50,'caseload data'!$D:$D,"TPO",'caseload data'!$B:$B,{"licence","community"}))/SUM(SUMIFS('caseload data'!T:T,'caseload data'!$B:$B,{"licence","community"},'caseload data'!$C:$C,'community %'!$B$50)),"")</f>
        <v/>
      </c>
      <c r="S54" s="64"/>
      <c r="T54" s="97" t="s">
        <v>953</v>
      </c>
      <c r="U54" s="167" t="str">
        <f>IFERROR(SUM(SUMIFS('caseload data'!E:E,'caseload data'!$C:$C,'community %'!$T$50,'caseload data'!$D:$D,"TPO",'caseload data'!$B:$B,{"licence","community"}))/SUM(SUMIFS('caseload data'!E:E,'caseload data'!$B:$B,{"licence","community"},'caseload data'!$C:$C,'community %'!$T$50)),"")</f>
        <v/>
      </c>
      <c r="V54" s="167" t="str">
        <f>IFERROR(SUM(SUMIFS('caseload data'!F:F,'caseload data'!$C:$C,'community %'!$T$50,'caseload data'!$D:$D,"TPO",'caseload data'!$B:$B,{"licence","community"}))/SUM(SUMIFS('caseload data'!F:F,'caseload data'!$B:$B,{"licence","community"},'caseload data'!$C:$C,'community %'!$T$50)),"")</f>
        <v/>
      </c>
      <c r="W54" s="167" t="str">
        <f>IFERROR(SUM(SUMIFS('caseload data'!G:G,'caseload data'!$C:$C,'community %'!$T$50,'caseload data'!$D:$D,"TPO",'caseload data'!$B:$B,{"licence","community"}))/SUM(SUMIFS('caseload data'!G:G,'caseload data'!$B:$B,{"licence","community"},'caseload data'!$C:$C,'community %'!$T$50)),"")</f>
        <v/>
      </c>
      <c r="X54" s="167" t="str">
        <f>IFERROR(SUM(SUMIFS('caseload data'!H:H,'caseload data'!$C:$C,'community %'!$T$50,'caseload data'!$D:$D,"TPO",'caseload data'!$B:$B,{"licence","community"}))/SUM(SUMIFS('caseload data'!H:H,'caseload data'!$B:$B,{"licence","community"},'caseload data'!$C:$C,'community %'!$T$50)),"")</f>
        <v/>
      </c>
      <c r="Y54" s="167" t="str">
        <f>IFERROR(SUM(SUMIFS('caseload data'!I:I,'caseload data'!$C:$C,'community %'!$T$50,'caseload data'!$D:$D,"TPO",'caseload data'!$B:$B,{"licence","community"}))/SUM(SUMIFS('caseload data'!I:I,'caseload data'!$B:$B,{"licence","community"},'caseload data'!$C:$C,'community %'!$T$50)),"")</f>
        <v/>
      </c>
      <c r="Z54" s="167" t="str">
        <f>IFERROR(SUM(SUMIFS('caseload data'!J:J,'caseload data'!$C:$C,'community %'!$T$50,'caseload data'!$D:$D,"TPO",'caseload data'!$B:$B,{"licence","community"}))/SUM(SUMIFS('caseload data'!J:J,'caseload data'!$B:$B,{"licence","community"},'caseload data'!$C:$C,'community %'!$T$50)),"")</f>
        <v/>
      </c>
      <c r="AA54" s="167" t="str">
        <f>IFERROR(SUM(SUMIFS('caseload data'!K:K,'caseload data'!$C:$C,'community %'!$T$50,'caseload data'!$D:$D,"TPO",'caseload data'!$B:$B,{"licence","community"}))/SUM(SUMIFS('caseload data'!K:K,'caseload data'!$B:$B,{"licence","community"},'caseload data'!$C:$C,'community %'!$T$50)),"")</f>
        <v/>
      </c>
      <c r="AB54" s="167" t="str">
        <f>IFERROR(SUM(SUMIFS('caseload data'!L:L,'caseload data'!$C:$C,'community %'!$T$50,'caseload data'!$D:$D,"TPO",'caseload data'!$B:$B,{"licence","community"}))/SUM(SUMIFS('caseload data'!L:L,'caseload data'!$B:$B,{"licence","community"},'caseload data'!$C:$C,'community %'!$T$50)),"")</f>
        <v/>
      </c>
      <c r="AC54" s="167" t="str">
        <f>IFERROR(SUM(SUMIFS('caseload data'!M:M,'caseload data'!$C:$C,'community %'!$T$50,'caseload data'!$D:$D,"TPO",'caseload data'!$B:$B,{"licence","community"}))/SUM(SUMIFS('caseload data'!M:M,'caseload data'!$B:$B,{"licence","community"},'caseload data'!$C:$C,'community %'!$T$50)),"")</f>
        <v/>
      </c>
      <c r="AD54" s="167" t="str">
        <f>IFERROR(SUM(SUMIFS('caseload data'!N:N,'caseload data'!$C:$C,'community %'!$T$50,'caseload data'!$D:$D,"TPO",'caseload data'!$B:$B,{"licence","community"}))/SUM(SUMIFS('caseload data'!N:N,'caseload data'!$B:$B,{"licence","community"},'caseload data'!$C:$C,'community %'!$T$50)),"")</f>
        <v/>
      </c>
      <c r="AE54" s="167" t="str">
        <f>IFERROR(SUM(SUMIFS('caseload data'!O:O,'caseload data'!$C:$C,'community %'!$T$50,'caseload data'!$D:$D,"TPO",'caseload data'!$B:$B,{"licence","community"}))/SUM(SUMIFS('caseload data'!O:O,'caseload data'!$B:$B,{"licence","community"},'caseload data'!$C:$C,'community %'!$T$50)),"")</f>
        <v/>
      </c>
      <c r="AF54" s="167" t="str">
        <f>IFERROR(SUM(SUMIFS('caseload data'!P:P,'caseload data'!$C:$C,'community %'!$T$50,'caseload data'!$D:$D,"TPO",'caseload data'!$B:$B,{"licence","community"}))/SUM(SUMIFS('caseload data'!P:P,'caseload data'!$B:$B,{"licence","community"},'caseload data'!$C:$C,'community %'!$T$50)),"")</f>
        <v/>
      </c>
      <c r="AG54" s="167" t="str">
        <f>IFERROR(SUM(SUMIFS('caseload data'!Q:Q,'caseload data'!$C:$C,'community %'!$T$50,'caseload data'!$D:$D,"TPO",'caseload data'!$B:$B,{"licence","community"}))/SUM(SUMIFS('caseload data'!Q:Q,'caseload data'!$B:$B,{"licence","community"},'caseload data'!$C:$C,'community %'!$T$50)),"")</f>
        <v/>
      </c>
      <c r="AH54" s="167" t="str">
        <f>IFERROR(SUM(SUMIFS('caseload data'!R:R,'caseload data'!$C:$C,'community %'!$T$50,'caseload data'!$D:$D,"TPO",'caseload data'!$B:$B,{"licence","community"}))/SUM(SUMIFS('caseload data'!R:R,'caseload data'!$B:$B,{"licence","community"},'caseload data'!$C:$C,'community %'!$T$50)),"")</f>
        <v/>
      </c>
      <c r="AI54" s="167" t="str">
        <f>IFERROR(SUM(SUMIFS('caseload data'!S:S,'caseload data'!$C:$C,'community %'!$T$50,'caseload data'!$D:$D,"TPO",'caseload data'!$B:$B,{"licence","community"}))/SUM(SUMIFS('caseload data'!S:S,'caseload data'!$B:$B,{"licence","community"},'caseload data'!$C:$C,'community %'!$T$50)),"")</f>
        <v/>
      </c>
      <c r="AJ54" s="167" t="str">
        <f>IFERROR(SUM(SUMIFS('caseload data'!T:T,'caseload data'!$C:$C,'community %'!$T$50,'caseload data'!$D:$D,"TPO",'caseload data'!$B:$B,{"licence","community"}))/SUM(SUMIFS('caseload data'!T:T,'caseload data'!$B:$B,{"licence","community"},'caseload data'!$C:$C,'community %'!$T$50)),"")</f>
        <v/>
      </c>
    </row>
    <row r="55" spans="2:36" x14ac:dyDescent="0.15">
      <c r="B55" s="98" t="s">
        <v>954</v>
      </c>
      <c r="C55" s="167" t="str">
        <f>IFERROR(SUM(SUMIFS('caseload data'!E:E,'caseload data'!$C:$C,'community %'!$B$50,'caseload data'!$D:$D,"SPO",'caseload data'!$B:$B,{"licence","community"}))/SUM(SUMIFS('caseload data'!E:E,'caseload data'!$B:$B,{"licence","community"},'caseload data'!$C:$C,'community %'!$B$50)),"")</f>
        <v/>
      </c>
      <c r="D55" s="167" t="str">
        <f>IFERROR(SUM(SUMIFS('caseload data'!F:F,'caseload data'!$C:$C,'community %'!$B$50,'caseload data'!$D:$D,"SPO",'caseload data'!$B:$B,{"licence","community"}))/SUM(SUMIFS('caseload data'!F:F,'caseload data'!$B:$B,{"licence","community"},'caseload data'!$C:$C,'community %'!$B$50)),"")</f>
        <v/>
      </c>
      <c r="E55" s="167" t="str">
        <f>IFERROR(SUM(SUMIFS('caseload data'!G:G,'caseload data'!$C:$C,'community %'!$B$50,'caseload data'!$D:$D,"SPO",'caseload data'!$B:$B,{"licence","community"}))/SUM(SUMIFS('caseload data'!G:G,'caseload data'!$B:$B,{"licence","community"},'caseload data'!$C:$C,'community %'!$B$50)),"")</f>
        <v/>
      </c>
      <c r="F55" s="167" t="str">
        <f>IFERROR(SUM(SUMIFS('caseload data'!H:H,'caseload data'!$C:$C,'community %'!$B$50,'caseload data'!$D:$D,"SPO",'caseload data'!$B:$B,{"licence","community"}))/SUM(SUMIFS('caseload data'!H:H,'caseload data'!$B:$B,{"licence","community"},'caseload data'!$C:$C,'community %'!$B$50)),"")</f>
        <v/>
      </c>
      <c r="G55" s="167" t="str">
        <f>IFERROR(SUM(SUMIFS('caseload data'!I:I,'caseload data'!$C:$C,'community %'!$B$50,'caseload data'!$D:$D,"SPO",'caseload data'!$B:$B,{"licence","community"}))/SUM(SUMIFS('caseload data'!I:I,'caseload data'!$B:$B,{"licence","community"},'caseload data'!$C:$C,'community %'!$B$50)),"")</f>
        <v/>
      </c>
      <c r="H55" s="167" t="str">
        <f>IFERROR(SUM(SUMIFS('caseload data'!J:J,'caseload data'!$C:$C,'community %'!$B$50,'caseload data'!$D:$D,"SPO",'caseload data'!$B:$B,{"licence","community"}))/SUM(SUMIFS('caseload data'!J:J,'caseload data'!$B:$B,{"licence","community"},'caseload data'!$C:$C,'community %'!$B$50)),"")</f>
        <v/>
      </c>
      <c r="I55" s="167" t="str">
        <f>IFERROR(SUM(SUMIFS('caseload data'!K:K,'caseload data'!$C:$C,'community %'!$B$50,'caseload data'!$D:$D,"SPO",'caseload data'!$B:$B,{"licence","community"}))/SUM(SUMIFS('caseload data'!K:K,'caseload data'!$B:$B,{"licence","community"},'caseload data'!$C:$C,'community %'!$B$50)),"")</f>
        <v/>
      </c>
      <c r="J55" s="167" t="str">
        <f>IFERROR(SUM(SUMIFS('caseload data'!L:L,'caseload data'!$C:$C,'community %'!$B$50,'caseload data'!$D:$D,"SPO",'caseload data'!$B:$B,{"licence","community"}))/SUM(SUMIFS('caseload data'!L:L,'caseload data'!$B:$B,{"licence","community"},'caseload data'!$C:$C,'community %'!$B$50)),"")</f>
        <v/>
      </c>
      <c r="K55" s="167" t="str">
        <f>IFERROR(SUM(SUMIFS('caseload data'!M:M,'caseload data'!$C:$C,'community %'!$B$50,'caseload data'!$D:$D,"SPO",'caseload data'!$B:$B,{"licence","community"}))/SUM(SUMIFS('caseload data'!M:M,'caseload data'!$B:$B,{"licence","community"},'caseload data'!$C:$C,'community %'!$B$50)),"")</f>
        <v/>
      </c>
      <c r="L55" s="167" t="str">
        <f>IFERROR(SUM(SUMIFS('caseload data'!N:N,'caseload data'!$C:$C,'community %'!$B$50,'caseload data'!$D:$D,"SPO",'caseload data'!$B:$B,{"licence","community"}))/SUM(SUMIFS('caseload data'!N:N,'caseload data'!$B:$B,{"licence","community"},'caseload data'!$C:$C,'community %'!$B$50)),"")</f>
        <v/>
      </c>
      <c r="M55" s="167" t="str">
        <f>IFERROR(SUM(SUMIFS('caseload data'!O:O,'caseload data'!$C:$C,'community %'!$B$50,'caseload data'!$D:$D,"SPO",'caseload data'!$B:$B,{"licence","community"}))/SUM(SUMIFS('caseload data'!O:O,'caseload data'!$B:$B,{"licence","community"},'caseload data'!$C:$C,'community %'!$B$50)),"")</f>
        <v/>
      </c>
      <c r="N55" s="167" t="str">
        <f>IFERROR(SUM(SUMIFS('caseload data'!P:P,'caseload data'!$C:$C,'community %'!$B$50,'caseload data'!$D:$D,"SPO",'caseload data'!$B:$B,{"licence","community"}))/SUM(SUMIFS('caseload data'!P:P,'caseload data'!$B:$B,{"licence","community"},'caseload data'!$C:$C,'community %'!$B$50)),"")</f>
        <v/>
      </c>
      <c r="O55" s="167" t="str">
        <f>IFERROR(SUM(SUMIFS('caseload data'!Q:Q,'caseload data'!$C:$C,'community %'!$B$50,'caseload data'!$D:$D,"SPO",'caseload data'!$B:$B,{"licence","community"}))/SUM(SUMIFS('caseload data'!Q:Q,'caseload data'!$B:$B,{"licence","community"},'caseload data'!$C:$C,'community %'!$B$50)),"")</f>
        <v/>
      </c>
      <c r="P55" s="167" t="str">
        <f>IFERROR(SUM(SUMIFS('caseload data'!R:R,'caseload data'!$C:$C,'community %'!$B$50,'caseload data'!$D:$D,"SPO",'caseload data'!$B:$B,{"licence","community"}))/SUM(SUMIFS('caseload data'!R:R,'caseload data'!$B:$B,{"licence","community"},'caseload data'!$C:$C,'community %'!$B$50)),"")</f>
        <v/>
      </c>
      <c r="Q55" s="167" t="str">
        <f>IFERROR(SUM(SUMIFS('caseload data'!S:S,'caseload data'!$C:$C,'community %'!$B$50,'caseload data'!$D:$D,"SPO",'caseload data'!$B:$B,{"licence","community"}))/SUM(SUMIFS('caseload data'!S:S,'caseload data'!$B:$B,{"licence","community"},'caseload data'!$C:$C,'community %'!$B$50)),"")</f>
        <v/>
      </c>
      <c r="R55" s="167" t="str">
        <f>IFERROR(SUM(SUMIFS('caseload data'!T:T,'caseload data'!$C:$C,'community %'!$B$50,'caseload data'!$D:$D,"SPO",'caseload data'!$B:$B,{"licence","community"}))/SUM(SUMIFS('caseload data'!T:T,'caseload data'!$B:$B,{"licence","community"},'caseload data'!$C:$C,'community %'!$B$50)),"")</f>
        <v/>
      </c>
      <c r="S55" s="64"/>
      <c r="T55" s="98" t="s">
        <v>954</v>
      </c>
      <c r="U55" s="167" t="str">
        <f>IFERROR(SUM(SUMIFS('caseload data'!E:E,'caseload data'!$C:$C,'community %'!$T$50,'caseload data'!$D:$D,"SPO",'caseload data'!$B:$B,{"licence","community"}))/SUM(SUMIFS('caseload data'!E:E,'caseload data'!$B:$B,{"licence","community"},'caseload data'!$C:$C,'community %'!$T$50)),"")</f>
        <v/>
      </c>
      <c r="V55" s="167" t="str">
        <f>IFERROR(SUM(SUMIFS('caseload data'!F:F,'caseload data'!$C:$C,'community %'!$T$50,'caseload data'!$D:$D,"SPO",'caseload data'!$B:$B,{"licence","community"}))/SUM(SUMIFS('caseload data'!F:F,'caseload data'!$B:$B,{"licence","community"},'caseload data'!$C:$C,'community %'!$T$50)),"")</f>
        <v/>
      </c>
      <c r="W55" s="167" t="str">
        <f>IFERROR(SUM(SUMIFS('caseload data'!G:G,'caseload data'!$C:$C,'community %'!$T$50,'caseload data'!$D:$D,"SPO",'caseload data'!$B:$B,{"licence","community"}))/SUM(SUMIFS('caseload data'!G:G,'caseload data'!$B:$B,{"licence","community"},'caseload data'!$C:$C,'community %'!$T$50)),"")</f>
        <v/>
      </c>
      <c r="X55" s="167" t="str">
        <f>IFERROR(SUM(SUMIFS('caseload data'!H:H,'caseload data'!$C:$C,'community %'!$T$50,'caseload data'!$D:$D,"SPO",'caseload data'!$B:$B,{"licence","community"}))/SUM(SUMIFS('caseload data'!H:H,'caseload data'!$B:$B,{"licence","community"},'caseload data'!$C:$C,'community %'!$T$50)),"")</f>
        <v/>
      </c>
      <c r="Y55" s="167" t="str">
        <f>IFERROR(SUM(SUMIFS('caseload data'!I:I,'caseload data'!$C:$C,'community %'!$T$50,'caseload data'!$D:$D,"SPO",'caseload data'!$B:$B,{"licence","community"}))/SUM(SUMIFS('caseload data'!I:I,'caseload data'!$B:$B,{"licence","community"},'caseload data'!$C:$C,'community %'!$T$50)),"")</f>
        <v/>
      </c>
      <c r="Z55" s="167" t="str">
        <f>IFERROR(SUM(SUMIFS('caseload data'!J:J,'caseload data'!$C:$C,'community %'!$T$50,'caseload data'!$D:$D,"SPO",'caseload data'!$B:$B,{"licence","community"}))/SUM(SUMIFS('caseload data'!J:J,'caseload data'!$B:$B,{"licence","community"},'caseload data'!$C:$C,'community %'!$T$50)),"")</f>
        <v/>
      </c>
      <c r="AA55" s="167" t="str">
        <f>IFERROR(SUM(SUMIFS('caseload data'!K:K,'caseload data'!$C:$C,'community %'!$T$50,'caseload data'!$D:$D,"SPO",'caseload data'!$B:$B,{"licence","community"}))/SUM(SUMIFS('caseload data'!K:K,'caseload data'!$B:$B,{"licence","community"},'caseload data'!$C:$C,'community %'!$T$50)),"")</f>
        <v/>
      </c>
      <c r="AB55" s="167" t="str">
        <f>IFERROR(SUM(SUMIFS('caseload data'!L:L,'caseload data'!$C:$C,'community %'!$T$50,'caseload data'!$D:$D,"SPO",'caseload data'!$B:$B,{"licence","community"}))/SUM(SUMIFS('caseload data'!L:L,'caseload data'!$B:$B,{"licence","community"},'caseload data'!$C:$C,'community %'!$T$50)),"")</f>
        <v/>
      </c>
      <c r="AC55" s="167" t="str">
        <f>IFERROR(SUM(SUMIFS('caseload data'!M:M,'caseload data'!$C:$C,'community %'!$T$50,'caseload data'!$D:$D,"SPO",'caseload data'!$B:$B,{"licence","community"}))/SUM(SUMIFS('caseload data'!M:M,'caseload data'!$B:$B,{"licence","community"},'caseload data'!$C:$C,'community %'!$T$50)),"")</f>
        <v/>
      </c>
      <c r="AD55" s="167" t="str">
        <f>IFERROR(SUM(SUMIFS('caseload data'!N:N,'caseload data'!$C:$C,'community %'!$T$50,'caseload data'!$D:$D,"SPO",'caseload data'!$B:$B,{"licence","community"}))/SUM(SUMIFS('caseload data'!N:N,'caseload data'!$B:$B,{"licence","community"},'caseload data'!$C:$C,'community %'!$T$50)),"")</f>
        <v/>
      </c>
      <c r="AE55" s="167" t="str">
        <f>IFERROR(SUM(SUMIFS('caseload data'!O:O,'caseload data'!$C:$C,'community %'!$T$50,'caseload data'!$D:$D,"SPO",'caseload data'!$B:$B,{"licence","community"}))/SUM(SUMIFS('caseload data'!O:O,'caseload data'!$B:$B,{"licence","community"},'caseload data'!$C:$C,'community %'!$T$50)),"")</f>
        <v/>
      </c>
      <c r="AF55" s="167" t="str">
        <f>IFERROR(SUM(SUMIFS('caseload data'!P:P,'caseload data'!$C:$C,'community %'!$T$50,'caseload data'!$D:$D,"SPO",'caseload data'!$B:$B,{"licence","community"}))/SUM(SUMIFS('caseload data'!P:P,'caseload data'!$B:$B,{"licence","community"},'caseload data'!$C:$C,'community %'!$T$50)),"")</f>
        <v/>
      </c>
      <c r="AG55" s="167" t="str">
        <f>IFERROR(SUM(SUMIFS('caseload data'!Q:Q,'caseload data'!$C:$C,'community %'!$T$50,'caseload data'!$D:$D,"SPO",'caseload data'!$B:$B,{"licence","community"}))/SUM(SUMIFS('caseload data'!Q:Q,'caseload data'!$B:$B,{"licence","community"},'caseload data'!$C:$C,'community %'!$T$50)),"")</f>
        <v/>
      </c>
      <c r="AH55" s="167" t="str">
        <f>IFERROR(SUM(SUMIFS('caseload data'!R:R,'caseload data'!$C:$C,'community %'!$T$50,'caseload data'!$D:$D,"SPO",'caseload data'!$B:$B,{"licence","community"}))/SUM(SUMIFS('caseload data'!R:R,'caseload data'!$B:$B,{"licence","community"},'caseload data'!$C:$C,'community %'!$T$50)),"")</f>
        <v/>
      </c>
      <c r="AI55" s="167" t="str">
        <f>IFERROR(SUM(SUMIFS('caseload data'!S:S,'caseload data'!$C:$C,'community %'!$T$50,'caseload data'!$D:$D,"SPO",'caseload data'!$B:$B,{"licence","community"}))/SUM(SUMIFS('caseload data'!S:S,'caseload data'!$B:$B,{"licence","community"},'caseload data'!$C:$C,'community %'!$T$50)),"")</f>
        <v/>
      </c>
      <c r="AJ55" s="167" t="str">
        <f>IFERROR(SUM(SUMIFS('caseload data'!T:T,'caseload data'!$C:$C,'community %'!$T$50,'caseload data'!$D:$D,"SPO",'caseload data'!$B:$B,{"licence","community"}))/SUM(SUMIFS('caseload data'!T:T,'caseload data'!$B:$B,{"licence","community"},'caseload data'!$C:$C,'community %'!$T$50)),"")</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1" customHeight="1" x14ac:dyDescent="0.15">
      <c r="B57" s="288">
        <f>HLOOKUP($B$5,Region_Table,16,0)</f>
        <v>0</v>
      </c>
      <c r="C57" s="540" t="s">
        <v>1081</v>
      </c>
      <c r="D57" s="541"/>
      <c r="E57" s="541"/>
      <c r="F57" s="541"/>
      <c r="G57" s="541"/>
      <c r="H57" s="541"/>
      <c r="I57" s="541"/>
      <c r="J57" s="541"/>
      <c r="K57" s="541"/>
      <c r="L57" s="541"/>
      <c r="M57" s="570"/>
      <c r="N57" s="570"/>
      <c r="O57" s="571"/>
      <c r="P57" s="543" cm="1">
        <f t="array" ref="P57">SUM(SUMIFS('caseload data'!V:V,'caseload data'!B:B,{"licence","community"},'caseload data'!$C:$C,B57))</f>
        <v>0</v>
      </c>
      <c r="Q57" s="560"/>
      <c r="R57" s="561"/>
      <c r="S57" s="64"/>
      <c r="T57" s="288">
        <f>HLOOKUP($B$5,Region_Table,17,0)</f>
        <v>0</v>
      </c>
      <c r="U57" s="540" t="s">
        <v>1081</v>
      </c>
      <c r="V57" s="541"/>
      <c r="W57" s="541"/>
      <c r="X57" s="541"/>
      <c r="Y57" s="541"/>
      <c r="Z57" s="541"/>
      <c r="AA57" s="541"/>
      <c r="AB57" s="541"/>
      <c r="AC57" s="541"/>
      <c r="AD57" s="541"/>
      <c r="AE57" s="570"/>
      <c r="AF57" s="570"/>
      <c r="AG57" s="571"/>
      <c r="AH57" s="543" cm="1">
        <f t="array" ref="AH57">SUM(SUMIFS('caseload data'!V:V,'caseload data'!B:B,{"licence","community"},'caseload data'!$C:$C,T57))</f>
        <v>0</v>
      </c>
      <c r="AI57" s="560"/>
      <c r="AJ57" s="561"/>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167" t="str">
        <f>IFERROR(SUM(SUMIFS('caseload data'!E:E,'caseload data'!$C:$C,'community %'!$B$57,'caseload data'!$D:$D,"PO",'caseload data'!$B:$B,{"licence","community"}))/SUM(SUMIFS('caseload data'!E:E,'caseload data'!$B:$B,{"licence","community"},'caseload data'!$C:$C,'community %'!$B$57)),"")</f>
        <v/>
      </c>
      <c r="D59" s="167" t="str">
        <f>IFERROR(SUM(SUMIFS('caseload data'!F:F,'caseload data'!$C:$C,'community %'!$B$57,'caseload data'!$D:$D,"PO",'caseload data'!$B:$B,{"licence","community"}))/SUM(SUMIFS('caseload data'!F:F,'caseload data'!$B:$B,{"licence","community"},'caseload data'!$C:$C,'community %'!$B$57)),"")</f>
        <v/>
      </c>
      <c r="E59" s="167" t="str">
        <f>IFERROR(SUM(SUMIFS('caseload data'!G:G,'caseload data'!$C:$C,'community %'!$B$57,'caseload data'!$D:$D,"PO",'caseload data'!$B:$B,{"licence","community"}))/SUM(SUMIFS('caseload data'!G:G,'caseload data'!$B:$B,{"licence","community"},'caseload data'!$C:$C,'community %'!$B$57)),"")</f>
        <v/>
      </c>
      <c r="F59" s="167" t="str">
        <f>IFERROR(SUM(SUMIFS('caseload data'!H:H,'caseload data'!$C:$C,'community %'!$B$57,'caseload data'!$D:$D,"PO",'caseload data'!$B:$B,{"licence","community"}))/SUM(SUMIFS('caseload data'!H:H,'caseload data'!$B:$B,{"licence","community"},'caseload data'!$C:$C,'community %'!$B$57)),"")</f>
        <v/>
      </c>
      <c r="G59" s="167" t="str">
        <f>IFERROR(SUM(SUMIFS('caseload data'!I:I,'caseload data'!$C:$C,'community %'!$B$57,'caseload data'!$D:$D,"PO",'caseload data'!$B:$B,{"licence","community"}))/SUM(SUMIFS('caseload data'!I:I,'caseload data'!$B:$B,{"licence","community"},'caseload data'!$C:$C,'community %'!$B$57)),"")</f>
        <v/>
      </c>
      <c r="H59" s="167" t="str">
        <f>IFERROR(SUM(SUMIFS('caseload data'!J:J,'caseload data'!$C:$C,'community %'!$B$57,'caseload data'!$D:$D,"PO",'caseload data'!$B:$B,{"licence","community"}))/SUM(SUMIFS('caseload data'!J:J,'caseload data'!$B:$B,{"licence","community"},'caseload data'!$C:$C,'community %'!$B$57)),"")</f>
        <v/>
      </c>
      <c r="I59" s="167" t="str">
        <f>IFERROR(SUM(SUMIFS('caseload data'!K:K,'caseload data'!$C:$C,'community %'!$B$57,'caseload data'!$D:$D,"PO",'caseload data'!$B:$B,{"licence","community"}))/SUM(SUMIFS('caseload data'!K:K,'caseload data'!$B:$B,{"licence","community"},'caseload data'!$C:$C,'community %'!$B$57)),"")</f>
        <v/>
      </c>
      <c r="J59" s="167" t="str">
        <f>IFERROR(SUM(SUMIFS('caseload data'!L:L,'caseload data'!$C:$C,'community %'!$B$57,'caseload data'!$D:$D,"PO",'caseload data'!$B:$B,{"licence","community"}))/SUM(SUMIFS('caseload data'!L:L,'caseload data'!$B:$B,{"licence","community"},'caseload data'!$C:$C,'community %'!$B$57)),"")</f>
        <v/>
      </c>
      <c r="K59" s="167" t="str">
        <f>IFERROR(SUM(SUMIFS('caseload data'!M:M,'caseload data'!$C:$C,'community %'!$B$57,'caseload data'!$D:$D,"PO",'caseload data'!$B:$B,{"licence","community"}))/SUM(SUMIFS('caseload data'!M:M,'caseload data'!$B:$B,{"licence","community"},'caseload data'!$C:$C,'community %'!$B$57)),"")</f>
        <v/>
      </c>
      <c r="L59" s="167" t="str">
        <f>IFERROR(SUM(SUMIFS('caseload data'!N:N,'caseload data'!$C:$C,'community %'!$B$57,'caseload data'!$D:$D,"PO",'caseload data'!$B:$B,{"licence","community"}))/SUM(SUMIFS('caseload data'!N:N,'caseload data'!$B:$B,{"licence","community"},'caseload data'!$C:$C,'community %'!$B$57)),"")</f>
        <v/>
      </c>
      <c r="M59" s="167" t="str">
        <f>IFERROR(SUM(SUMIFS('caseload data'!O:O,'caseload data'!$C:$C,'community %'!$B$57,'caseload data'!$D:$D,"PO",'caseload data'!$B:$B,{"licence","community"}))/SUM(SUMIFS('caseload data'!O:O,'caseload data'!$B:$B,{"licence","community"},'caseload data'!$C:$C,'community %'!$B$57)),"")</f>
        <v/>
      </c>
      <c r="N59" s="167" t="str">
        <f>IFERROR(SUM(SUMIFS('caseload data'!P:P,'caseload data'!$C:$C,'community %'!$B$57,'caseload data'!$D:$D,"PO",'caseload data'!$B:$B,{"licence","community"}))/SUM(SUMIFS('caseload data'!P:P,'caseload data'!$B:$B,{"licence","community"},'caseload data'!$C:$C,'community %'!$B$57)),"")</f>
        <v/>
      </c>
      <c r="O59" s="167" t="str">
        <f>IFERROR(SUM(SUMIFS('caseload data'!Q:Q,'caseload data'!$C:$C,'community %'!$B$57,'caseload data'!$D:$D,"PO",'caseload data'!$B:$B,{"licence","community"}))/SUM(SUMIFS('caseload data'!Q:Q,'caseload data'!$B:$B,{"licence","community"},'caseload data'!$C:$C,'community %'!$B$57)),"")</f>
        <v/>
      </c>
      <c r="P59" s="167" t="str">
        <f>IFERROR(SUM(SUMIFS('caseload data'!R:R,'caseload data'!$C:$C,'community %'!$B$57,'caseload data'!$D:$D,"PO",'caseload data'!$B:$B,{"licence","community"}))/SUM(SUMIFS('caseload data'!R:R,'caseload data'!$B:$B,{"licence","community"},'caseload data'!$C:$C,'community %'!$B$57)),"")</f>
        <v/>
      </c>
      <c r="Q59" s="167" t="str">
        <f>IFERROR(SUM(SUMIFS('caseload data'!S:S,'caseload data'!$C:$C,'community %'!$B$57,'caseload data'!$D:$D,"PO",'caseload data'!$B:$B,{"licence","community"}))/SUM(SUMIFS('caseload data'!S:S,'caseload data'!$B:$B,{"licence","community"},'caseload data'!$C:$C,'community %'!$B$57)),"")</f>
        <v/>
      </c>
      <c r="R59" s="167" t="str">
        <f>IFERROR(SUM(SUMIFS('caseload data'!T:T,'caseload data'!$C:$C,'community %'!$B$57,'caseload data'!$D:$D,"PO",'caseload data'!$B:$B,{"licence","community"}))/SUM(SUMIFS('caseload data'!T:T,'caseload data'!$B:$B,{"licence","community"},'caseload data'!$C:$C,'community %'!$B$57)),"")</f>
        <v/>
      </c>
      <c r="S59" s="64"/>
      <c r="T59" s="96" t="s">
        <v>947</v>
      </c>
      <c r="U59" s="167" t="str">
        <f>IFERROR(SUM(SUMIFS('caseload data'!E:E,'caseload data'!$C:$C,'community %'!$T$57,'caseload data'!$D:$D,"PO",'caseload data'!$B:$B,{"licence","community"}))/SUM(SUMIFS('caseload data'!E:E,'caseload data'!$B:$B,{"licence","community"},'caseload data'!$C:$C,'community %'!$T$57)),"")</f>
        <v/>
      </c>
      <c r="V59" s="167" t="str">
        <f>IFERROR(SUM(SUMIFS('caseload data'!F:F,'caseload data'!$C:$C,'community %'!$T$57,'caseload data'!$D:$D,"PO",'caseload data'!$B:$B,{"licence","community"}))/SUM(SUMIFS('caseload data'!F:F,'caseload data'!$B:$B,{"licence","community"},'caseload data'!$C:$C,'community %'!$T$57)),"")</f>
        <v/>
      </c>
      <c r="W59" s="167" t="str">
        <f>IFERROR(SUM(SUMIFS('caseload data'!G:G,'caseload data'!$C:$C,'community %'!$T$57,'caseload data'!$D:$D,"PO",'caseload data'!$B:$B,{"licence","community"}))/SUM(SUMIFS('caseload data'!G:G,'caseload data'!$B:$B,{"licence","community"},'caseload data'!$C:$C,'community %'!$T$57)),"")</f>
        <v/>
      </c>
      <c r="X59" s="167" t="str">
        <f>IFERROR(SUM(SUMIFS('caseload data'!H:H,'caseload data'!$C:$C,'community %'!$T$57,'caseload data'!$D:$D,"PO",'caseload data'!$B:$B,{"licence","community"}))/SUM(SUMIFS('caseload data'!H:H,'caseload data'!$B:$B,{"licence","community"},'caseload data'!$C:$C,'community %'!$T$57)),"")</f>
        <v/>
      </c>
      <c r="Y59" s="167" t="str">
        <f>IFERROR(SUM(SUMIFS('caseload data'!I:I,'caseload data'!$C:$C,'community %'!$T$57,'caseload data'!$D:$D,"PO",'caseload data'!$B:$B,{"licence","community"}))/SUM(SUMIFS('caseload data'!I:I,'caseload data'!$B:$B,{"licence","community"},'caseload data'!$C:$C,'community %'!$T$57)),"")</f>
        <v/>
      </c>
      <c r="Z59" s="167" t="str">
        <f>IFERROR(SUM(SUMIFS('caseload data'!J:J,'caseload data'!$C:$C,'community %'!$T$57,'caseload data'!$D:$D,"PO",'caseload data'!$B:$B,{"licence","community"}))/SUM(SUMIFS('caseload data'!J:J,'caseload data'!$B:$B,{"licence","community"},'caseload data'!$C:$C,'community %'!$T$57)),"")</f>
        <v/>
      </c>
      <c r="AA59" s="167" t="str">
        <f>IFERROR(SUM(SUMIFS('caseload data'!K:K,'caseload data'!$C:$C,'community %'!$T$57,'caseload data'!$D:$D,"PO",'caseload data'!$B:$B,{"licence","community"}))/SUM(SUMIFS('caseload data'!K:K,'caseload data'!$B:$B,{"licence","community"},'caseload data'!$C:$C,'community %'!$T$57)),"")</f>
        <v/>
      </c>
      <c r="AB59" s="167" t="str">
        <f>IFERROR(SUM(SUMIFS('caseload data'!L:L,'caseload data'!$C:$C,'community %'!$T$57,'caseload data'!$D:$D,"PO",'caseload data'!$B:$B,{"licence","community"}))/SUM(SUMIFS('caseload data'!L:L,'caseload data'!$B:$B,{"licence","community"},'caseload data'!$C:$C,'community %'!$T$57)),"")</f>
        <v/>
      </c>
      <c r="AC59" s="167" t="str">
        <f>IFERROR(SUM(SUMIFS('caseload data'!M:M,'caseload data'!$C:$C,'community %'!$T$57,'caseload data'!$D:$D,"PO",'caseload data'!$B:$B,{"licence","community"}))/SUM(SUMIFS('caseload data'!M:M,'caseload data'!$B:$B,{"licence","community"},'caseload data'!$C:$C,'community %'!$T$57)),"")</f>
        <v/>
      </c>
      <c r="AD59" s="167" t="str">
        <f>IFERROR(SUM(SUMIFS('caseload data'!N:N,'caseload data'!$C:$C,'community %'!$T$57,'caseload data'!$D:$D,"PO",'caseload data'!$B:$B,{"licence","community"}))/SUM(SUMIFS('caseload data'!N:N,'caseload data'!$B:$B,{"licence","community"},'caseload data'!$C:$C,'community %'!$T$57)),"")</f>
        <v/>
      </c>
      <c r="AE59" s="167" t="str">
        <f>IFERROR(SUM(SUMIFS('caseload data'!O:O,'caseload data'!$C:$C,'community %'!$T$57,'caseload data'!$D:$D,"PO",'caseload data'!$B:$B,{"licence","community"}))/SUM(SUMIFS('caseload data'!O:O,'caseload data'!$B:$B,{"licence","community"},'caseload data'!$C:$C,'community %'!$T$57)),"")</f>
        <v/>
      </c>
      <c r="AF59" s="167" t="str">
        <f>IFERROR(SUM(SUMIFS('caseload data'!P:P,'caseload data'!$C:$C,'community %'!$T$57,'caseload data'!$D:$D,"PO",'caseload data'!$B:$B,{"licence","community"}))/SUM(SUMIFS('caseload data'!P:P,'caseload data'!$B:$B,{"licence","community"},'caseload data'!$C:$C,'community %'!$T$57)),"")</f>
        <v/>
      </c>
      <c r="AG59" s="167" t="str">
        <f>IFERROR(SUM(SUMIFS('caseload data'!Q:Q,'caseload data'!$C:$C,'community %'!$T$57,'caseload data'!$D:$D,"PO",'caseload data'!$B:$B,{"licence","community"}))/SUM(SUMIFS('caseload data'!Q:Q,'caseload data'!$B:$B,{"licence","community"},'caseload data'!$C:$C,'community %'!$T$57)),"")</f>
        <v/>
      </c>
      <c r="AH59" s="167" t="str">
        <f>IFERROR(SUM(SUMIFS('caseload data'!R:R,'caseload data'!$C:$C,'community %'!$T$57,'caseload data'!$D:$D,"PO",'caseload data'!$B:$B,{"licence","community"}))/SUM(SUMIFS('caseload data'!R:R,'caseload data'!$B:$B,{"licence","community"},'caseload data'!$C:$C,'community %'!$T$57)),"")</f>
        <v/>
      </c>
      <c r="AI59" s="167" t="str">
        <f>IFERROR(SUM(SUMIFS('caseload data'!S:S,'caseload data'!$C:$C,'community %'!$T$57,'caseload data'!$D:$D,"PO",'caseload data'!$B:$B,{"licence","community"}))/SUM(SUMIFS('caseload data'!S:S,'caseload data'!$B:$B,{"licence","community"},'caseload data'!$C:$C,'community %'!$T$57)),"")</f>
        <v/>
      </c>
      <c r="AJ59" s="167" t="str">
        <f>IFERROR(SUM(SUMIFS('caseload data'!T:T,'caseload data'!$C:$C,'community %'!$T$57,'caseload data'!$D:$D,"PO",'caseload data'!$B:$B,{"licence","community"}))/SUM(SUMIFS('caseload data'!T:T,'caseload data'!$B:$B,{"licence","community"},'caseload data'!$C:$C,'community %'!$T$57)),"")</f>
        <v/>
      </c>
    </row>
    <row r="60" spans="2:36" x14ac:dyDescent="0.15">
      <c r="B60" s="97" t="s">
        <v>952</v>
      </c>
      <c r="C60" s="167" t="str">
        <f>IFERROR(SUM(SUMIFS('caseload data'!E:E,'caseload data'!$C:$C,'community %'!$B$57,'caseload data'!$D:$D,"PSO",'caseload data'!$B:$B,{"licence","community"}))/SUM(SUMIFS('caseload data'!E:E,'caseload data'!$B:$B,{"licence","community"},'caseload data'!$C:$C,'community %'!$B$57)),"")</f>
        <v/>
      </c>
      <c r="D60" s="167" t="str">
        <f>IFERROR(SUM(SUMIFS('caseload data'!F:F,'caseload data'!$C:$C,'community %'!$B$57,'caseload data'!$D:$D,"PSO",'caseload data'!$B:$B,{"licence","community"}))/SUM(SUMIFS('caseload data'!F:F,'caseload data'!$B:$B,{"licence","community"},'caseload data'!$C:$C,'community %'!$B$57)),"")</f>
        <v/>
      </c>
      <c r="E60" s="167" t="str">
        <f>IFERROR(SUM(SUMIFS('caseload data'!G:G,'caseload data'!$C:$C,'community %'!$B$57,'caseload data'!$D:$D,"PSO",'caseload data'!$B:$B,{"licence","community"}))/SUM(SUMIFS('caseload data'!G:G,'caseload data'!$B:$B,{"licence","community"},'caseload data'!$C:$C,'community %'!$B$57)),"")</f>
        <v/>
      </c>
      <c r="F60" s="167" t="str">
        <f>IFERROR(SUM(SUMIFS('caseload data'!H:H,'caseload data'!$C:$C,'community %'!$B$57,'caseload data'!$D:$D,"PSO",'caseload data'!$B:$B,{"licence","community"}))/SUM(SUMIFS('caseload data'!H:H,'caseload data'!$B:$B,{"licence","community"},'caseload data'!$C:$C,'community %'!$B$57)),"")</f>
        <v/>
      </c>
      <c r="G60" s="167" t="str">
        <f>IFERROR(SUM(SUMIFS('caseload data'!I:I,'caseload data'!$C:$C,'community %'!$B$57,'caseload data'!$D:$D,"PSO",'caseload data'!$B:$B,{"licence","community"}))/SUM(SUMIFS('caseload data'!I:I,'caseload data'!$B:$B,{"licence","community"},'caseload data'!$C:$C,'community %'!$B$57)),"")</f>
        <v/>
      </c>
      <c r="H60" s="167" t="str">
        <f>IFERROR(SUM(SUMIFS('caseload data'!J:J,'caseload data'!$C:$C,'community %'!$B$57,'caseload data'!$D:$D,"PSO",'caseload data'!$B:$B,{"licence","community"}))/SUM(SUMIFS('caseload data'!J:J,'caseload data'!$B:$B,{"licence","community"},'caseload data'!$C:$C,'community %'!$B$57)),"")</f>
        <v/>
      </c>
      <c r="I60" s="167" t="str">
        <f>IFERROR(SUM(SUMIFS('caseload data'!K:K,'caseload data'!$C:$C,'community %'!$B$57,'caseload data'!$D:$D,"PSO",'caseload data'!$B:$B,{"licence","community"}))/SUM(SUMIFS('caseload data'!K:K,'caseload data'!$B:$B,{"licence","community"},'caseload data'!$C:$C,'community %'!$B$57)),"")</f>
        <v/>
      </c>
      <c r="J60" s="167" t="str">
        <f>IFERROR(SUM(SUMIFS('caseload data'!L:L,'caseload data'!$C:$C,'community %'!$B$57,'caseload data'!$D:$D,"PSO",'caseload data'!$B:$B,{"licence","community"}))/SUM(SUMIFS('caseload data'!L:L,'caseload data'!$B:$B,{"licence","community"},'caseload data'!$C:$C,'community %'!$B$57)),"")</f>
        <v/>
      </c>
      <c r="K60" s="167" t="str">
        <f>IFERROR(SUM(SUMIFS('caseload data'!M:M,'caseload data'!$C:$C,'community %'!$B$57,'caseload data'!$D:$D,"PSO",'caseload data'!$B:$B,{"licence","community"}))/SUM(SUMIFS('caseload data'!M:M,'caseload data'!$B:$B,{"licence","community"},'caseload data'!$C:$C,'community %'!$B$57)),"")</f>
        <v/>
      </c>
      <c r="L60" s="167" t="str">
        <f>IFERROR(SUM(SUMIFS('caseload data'!N:N,'caseload data'!$C:$C,'community %'!$B$57,'caseload data'!$D:$D,"PSO",'caseload data'!$B:$B,{"licence","community"}))/SUM(SUMIFS('caseload data'!N:N,'caseload data'!$B:$B,{"licence","community"},'caseload data'!$C:$C,'community %'!$B$57)),"")</f>
        <v/>
      </c>
      <c r="M60" s="167" t="str">
        <f>IFERROR(SUM(SUMIFS('caseload data'!O:O,'caseload data'!$C:$C,'community %'!$B$57,'caseload data'!$D:$D,"PSO",'caseload data'!$B:$B,{"licence","community"}))/SUM(SUMIFS('caseload data'!O:O,'caseload data'!$B:$B,{"licence","community"},'caseload data'!$C:$C,'community %'!$B$57)),"")</f>
        <v/>
      </c>
      <c r="N60" s="167" t="str">
        <f>IFERROR(SUM(SUMIFS('caseload data'!P:P,'caseload data'!$C:$C,'community %'!$B$57,'caseload data'!$D:$D,"PSO",'caseload data'!$B:$B,{"licence","community"}))/SUM(SUMIFS('caseload data'!P:P,'caseload data'!$B:$B,{"licence","community"},'caseload data'!$C:$C,'community %'!$B$57)),"")</f>
        <v/>
      </c>
      <c r="O60" s="167" t="str">
        <f>IFERROR(SUM(SUMIFS('caseload data'!Q:Q,'caseload data'!$C:$C,'community %'!$B$57,'caseload data'!$D:$D,"PSO",'caseload data'!$B:$B,{"licence","community"}))/SUM(SUMIFS('caseload data'!Q:Q,'caseload data'!$B:$B,{"licence","community"},'caseload data'!$C:$C,'community %'!$B$57)),"")</f>
        <v/>
      </c>
      <c r="P60" s="167" t="str">
        <f>IFERROR(SUM(SUMIFS('caseload data'!R:R,'caseload data'!$C:$C,'community %'!$B$57,'caseload data'!$D:$D,"PSO",'caseload data'!$B:$B,{"licence","community"}))/SUM(SUMIFS('caseload data'!R:R,'caseload data'!$B:$B,{"licence","community"},'caseload data'!$C:$C,'community %'!$B$57)),"")</f>
        <v/>
      </c>
      <c r="Q60" s="167" t="str">
        <f>IFERROR(SUM(SUMIFS('caseload data'!S:S,'caseload data'!$C:$C,'community %'!$B$57,'caseload data'!$D:$D,"PSO",'caseload data'!$B:$B,{"licence","community"}))/SUM(SUMIFS('caseload data'!S:S,'caseload data'!$B:$B,{"licence","community"},'caseload data'!$C:$C,'community %'!$B$57)),"")</f>
        <v/>
      </c>
      <c r="R60" s="167" t="str">
        <f>IFERROR(SUM(SUMIFS('caseload data'!T:T,'caseload data'!$C:$C,'community %'!$B$57,'caseload data'!$D:$D,"PSO",'caseload data'!$B:$B,{"licence","community"}))/SUM(SUMIFS('caseload data'!T:T,'caseload data'!$B:$B,{"licence","community"},'caseload data'!$C:$C,'community %'!$B$57)),"")</f>
        <v/>
      </c>
      <c r="S60" s="64"/>
      <c r="T60" s="97" t="s">
        <v>952</v>
      </c>
      <c r="U60" s="167" t="str">
        <f>IFERROR(SUM(SUMIFS('caseload data'!E:E,'caseload data'!$C:$C,'community %'!$T$57,'caseload data'!$D:$D,"PSO",'caseload data'!$B:$B,{"licence","community"}))/SUM(SUMIFS('caseload data'!E:E,'caseload data'!$B:$B,{"licence","community"},'caseload data'!$C:$C,'community %'!$T$57)),"")</f>
        <v/>
      </c>
      <c r="V60" s="167" t="str">
        <f>IFERROR(SUM(SUMIFS('caseload data'!F:F,'caseload data'!$C:$C,'community %'!$T$57,'caseload data'!$D:$D,"PSO",'caseload data'!$B:$B,{"licence","community"}))/SUM(SUMIFS('caseload data'!F:F,'caseload data'!$B:$B,{"licence","community"},'caseload data'!$C:$C,'community %'!$T$57)),"")</f>
        <v/>
      </c>
      <c r="W60" s="167" t="str">
        <f>IFERROR(SUM(SUMIFS('caseload data'!G:G,'caseload data'!$C:$C,'community %'!$T$57,'caseload data'!$D:$D,"PSO",'caseload data'!$B:$B,{"licence","community"}))/SUM(SUMIFS('caseload data'!G:G,'caseload data'!$B:$B,{"licence","community"},'caseload data'!$C:$C,'community %'!$T$57)),"")</f>
        <v/>
      </c>
      <c r="X60" s="167" t="str">
        <f>IFERROR(SUM(SUMIFS('caseload data'!H:H,'caseload data'!$C:$C,'community %'!$T$57,'caseload data'!$D:$D,"PSO",'caseload data'!$B:$B,{"licence","community"}))/SUM(SUMIFS('caseload data'!H:H,'caseload data'!$B:$B,{"licence","community"},'caseload data'!$C:$C,'community %'!$T$57)),"")</f>
        <v/>
      </c>
      <c r="Y60" s="167" t="str">
        <f>IFERROR(SUM(SUMIFS('caseload data'!I:I,'caseload data'!$C:$C,'community %'!$T$57,'caseload data'!$D:$D,"PSO",'caseload data'!$B:$B,{"licence","community"}))/SUM(SUMIFS('caseload data'!I:I,'caseload data'!$B:$B,{"licence","community"},'caseload data'!$C:$C,'community %'!$T$57)),"")</f>
        <v/>
      </c>
      <c r="Z60" s="167" t="str">
        <f>IFERROR(SUM(SUMIFS('caseload data'!J:J,'caseload data'!$C:$C,'community %'!$T$57,'caseload data'!$D:$D,"PSO",'caseload data'!$B:$B,{"licence","community"}))/SUM(SUMIFS('caseload data'!J:J,'caseload data'!$B:$B,{"licence","community"},'caseload data'!$C:$C,'community %'!$T$57)),"")</f>
        <v/>
      </c>
      <c r="AA60" s="167" t="str">
        <f>IFERROR(SUM(SUMIFS('caseload data'!K:K,'caseload data'!$C:$C,'community %'!$T$57,'caseload data'!$D:$D,"PSO",'caseload data'!$B:$B,{"licence","community"}))/SUM(SUMIFS('caseload data'!K:K,'caseload data'!$B:$B,{"licence","community"},'caseload data'!$C:$C,'community %'!$T$57)),"")</f>
        <v/>
      </c>
      <c r="AB60" s="167" t="str">
        <f>IFERROR(SUM(SUMIFS('caseload data'!L:L,'caseload data'!$C:$C,'community %'!$T$57,'caseload data'!$D:$D,"PSO",'caseload data'!$B:$B,{"licence","community"}))/SUM(SUMIFS('caseload data'!L:L,'caseload data'!$B:$B,{"licence","community"},'caseload data'!$C:$C,'community %'!$T$57)),"")</f>
        <v/>
      </c>
      <c r="AC60" s="167" t="str">
        <f>IFERROR(SUM(SUMIFS('caseload data'!M:M,'caseload data'!$C:$C,'community %'!$T$57,'caseload data'!$D:$D,"PSO",'caseload data'!$B:$B,{"licence","community"}))/SUM(SUMIFS('caseload data'!M:M,'caseload data'!$B:$B,{"licence","community"},'caseload data'!$C:$C,'community %'!$T$57)),"")</f>
        <v/>
      </c>
      <c r="AD60" s="167" t="str">
        <f>IFERROR(SUM(SUMIFS('caseload data'!N:N,'caseload data'!$C:$C,'community %'!$T$57,'caseload data'!$D:$D,"PSO",'caseload data'!$B:$B,{"licence","community"}))/SUM(SUMIFS('caseload data'!N:N,'caseload data'!$B:$B,{"licence","community"},'caseload data'!$C:$C,'community %'!$T$57)),"")</f>
        <v/>
      </c>
      <c r="AE60" s="167" t="str">
        <f>IFERROR(SUM(SUMIFS('caseload data'!O:O,'caseload data'!$C:$C,'community %'!$T$57,'caseload data'!$D:$D,"PSO",'caseload data'!$B:$B,{"licence","community"}))/SUM(SUMIFS('caseload data'!O:O,'caseload data'!$B:$B,{"licence","community"},'caseload data'!$C:$C,'community %'!$T$57)),"")</f>
        <v/>
      </c>
      <c r="AF60" s="167" t="str">
        <f>IFERROR(SUM(SUMIFS('caseload data'!P:P,'caseload data'!$C:$C,'community %'!$T$57,'caseload data'!$D:$D,"PSO",'caseload data'!$B:$B,{"licence","community"}))/SUM(SUMIFS('caseload data'!P:P,'caseload data'!$B:$B,{"licence","community"},'caseload data'!$C:$C,'community %'!$T$57)),"")</f>
        <v/>
      </c>
      <c r="AG60" s="167" t="str">
        <f>IFERROR(SUM(SUMIFS('caseload data'!Q:Q,'caseload data'!$C:$C,'community %'!$T$57,'caseload data'!$D:$D,"PSO",'caseload data'!$B:$B,{"licence","community"}))/SUM(SUMIFS('caseload data'!Q:Q,'caseload data'!$B:$B,{"licence","community"},'caseload data'!$C:$C,'community %'!$T$57)),"")</f>
        <v/>
      </c>
      <c r="AH60" s="167" t="str">
        <f>IFERROR(SUM(SUMIFS('caseload data'!R:R,'caseload data'!$C:$C,'community %'!$T$57,'caseload data'!$D:$D,"PSO",'caseload data'!$B:$B,{"licence","community"}))/SUM(SUMIFS('caseload data'!R:R,'caseload data'!$B:$B,{"licence","community"},'caseload data'!$C:$C,'community %'!$T$57)),"")</f>
        <v/>
      </c>
      <c r="AI60" s="167" t="str">
        <f>IFERROR(SUM(SUMIFS('caseload data'!S:S,'caseload data'!$C:$C,'community %'!$T$57,'caseload data'!$D:$D,"PSO",'caseload data'!$B:$B,{"licence","community"}))/SUM(SUMIFS('caseload data'!S:S,'caseload data'!$B:$B,{"licence","community"},'caseload data'!$C:$C,'community %'!$T$57)),"")</f>
        <v/>
      </c>
      <c r="AJ60" s="167" t="str">
        <f>IFERROR(SUM(SUMIFS('caseload data'!T:T,'caseload data'!$C:$C,'community %'!$T$57,'caseload data'!$D:$D,"PSO",'caseload data'!$B:$B,{"licence","community"}))/SUM(SUMIFS('caseload data'!T:T,'caseload data'!$B:$B,{"licence","community"},'caseload data'!$C:$C,'community %'!$T$57)),"")</f>
        <v/>
      </c>
    </row>
    <row r="61" spans="2:36" x14ac:dyDescent="0.15">
      <c r="B61" s="97" t="s">
        <v>953</v>
      </c>
      <c r="C61" s="167" t="str">
        <f>IFERROR(SUM(SUMIFS('caseload data'!E:E,'caseload data'!$C:$C,'community %'!$B$57,'caseload data'!$D:$D,"TPO",'caseload data'!$B:$B,{"licence","community"}))/SUM(SUMIFS('caseload data'!E:E,'caseload data'!$B:$B,{"licence","community"},'caseload data'!$C:$C,'community %'!$B$57)),"")</f>
        <v/>
      </c>
      <c r="D61" s="167" t="str">
        <f>IFERROR(SUM(SUMIFS('caseload data'!F:F,'caseload data'!$C:$C,'community %'!$B$57,'caseload data'!$D:$D,"TPO",'caseload data'!$B:$B,{"licence","community"}))/SUM(SUMIFS('caseload data'!F:F,'caseload data'!$B:$B,{"licence","community"},'caseload data'!$C:$C,'community %'!$B$57)),"")</f>
        <v/>
      </c>
      <c r="E61" s="167" t="str">
        <f>IFERROR(SUM(SUMIFS('caseload data'!G:G,'caseload data'!$C:$C,'community %'!$B$57,'caseload data'!$D:$D,"TPO",'caseload data'!$B:$B,{"licence","community"}))/SUM(SUMIFS('caseload data'!G:G,'caseload data'!$B:$B,{"licence","community"},'caseload data'!$C:$C,'community %'!$B$57)),"")</f>
        <v/>
      </c>
      <c r="F61" s="167" t="str">
        <f>IFERROR(SUM(SUMIFS('caseload data'!H:H,'caseload data'!$C:$C,'community %'!$B$57,'caseload data'!$D:$D,"TPO",'caseload data'!$B:$B,{"licence","community"}))/SUM(SUMIFS('caseload data'!H:H,'caseload data'!$B:$B,{"licence","community"},'caseload data'!$C:$C,'community %'!$B$57)),"")</f>
        <v/>
      </c>
      <c r="G61" s="167" t="str">
        <f>IFERROR(SUM(SUMIFS('caseload data'!I:I,'caseload data'!$C:$C,'community %'!$B$57,'caseload data'!$D:$D,"TPO",'caseload data'!$B:$B,{"licence","community"}))/SUM(SUMIFS('caseload data'!I:I,'caseload data'!$B:$B,{"licence","community"},'caseload data'!$C:$C,'community %'!$B$57)),"")</f>
        <v/>
      </c>
      <c r="H61" s="167" t="str">
        <f>IFERROR(SUM(SUMIFS('caseload data'!J:J,'caseload data'!$C:$C,'community %'!$B$57,'caseload data'!$D:$D,"TPO",'caseload data'!$B:$B,{"licence","community"}))/SUM(SUMIFS('caseload data'!J:J,'caseload data'!$B:$B,{"licence","community"},'caseload data'!$C:$C,'community %'!$B$57)),"")</f>
        <v/>
      </c>
      <c r="I61" s="167" t="str">
        <f>IFERROR(SUM(SUMIFS('caseload data'!K:K,'caseload data'!$C:$C,'community %'!$B$57,'caseload data'!$D:$D,"TPO",'caseload data'!$B:$B,{"licence","community"}))/SUM(SUMIFS('caseload data'!K:K,'caseload data'!$B:$B,{"licence","community"},'caseload data'!$C:$C,'community %'!$B$57)),"")</f>
        <v/>
      </c>
      <c r="J61" s="167" t="str">
        <f>IFERROR(SUM(SUMIFS('caseload data'!L:L,'caseload data'!$C:$C,'community %'!$B$57,'caseload data'!$D:$D,"TPO",'caseload data'!$B:$B,{"licence","community"}))/SUM(SUMIFS('caseload data'!L:L,'caseload data'!$B:$B,{"licence","community"},'caseload data'!$C:$C,'community %'!$B$57)),"")</f>
        <v/>
      </c>
      <c r="K61" s="167" t="str">
        <f>IFERROR(SUM(SUMIFS('caseload data'!M:M,'caseload data'!$C:$C,'community %'!$B$57,'caseload data'!$D:$D,"TPO",'caseload data'!$B:$B,{"licence","community"}))/SUM(SUMIFS('caseload data'!M:M,'caseload data'!$B:$B,{"licence","community"},'caseload data'!$C:$C,'community %'!$B$57)),"")</f>
        <v/>
      </c>
      <c r="L61" s="167" t="str">
        <f>IFERROR(SUM(SUMIFS('caseload data'!N:N,'caseload data'!$C:$C,'community %'!$B$57,'caseload data'!$D:$D,"TPO",'caseload data'!$B:$B,{"licence","community"}))/SUM(SUMIFS('caseload data'!N:N,'caseload data'!$B:$B,{"licence","community"},'caseload data'!$C:$C,'community %'!$B$57)),"")</f>
        <v/>
      </c>
      <c r="M61" s="167" t="str">
        <f>IFERROR(SUM(SUMIFS('caseload data'!O:O,'caseload data'!$C:$C,'community %'!$B$57,'caseload data'!$D:$D,"TPO",'caseload data'!$B:$B,{"licence","community"}))/SUM(SUMIFS('caseload data'!O:O,'caseload data'!$B:$B,{"licence","community"},'caseload data'!$C:$C,'community %'!$B$57)),"")</f>
        <v/>
      </c>
      <c r="N61" s="167" t="str">
        <f>IFERROR(SUM(SUMIFS('caseload data'!P:P,'caseload data'!$C:$C,'community %'!$B$57,'caseload data'!$D:$D,"TPO",'caseload data'!$B:$B,{"licence","community"}))/SUM(SUMIFS('caseload data'!P:P,'caseload data'!$B:$B,{"licence","community"},'caseload data'!$C:$C,'community %'!$B$57)),"")</f>
        <v/>
      </c>
      <c r="O61" s="167" t="str">
        <f>IFERROR(SUM(SUMIFS('caseload data'!Q:Q,'caseload data'!$C:$C,'community %'!$B$57,'caseload data'!$D:$D,"TPO",'caseload data'!$B:$B,{"licence","community"}))/SUM(SUMIFS('caseload data'!Q:Q,'caseload data'!$B:$B,{"licence","community"},'caseload data'!$C:$C,'community %'!$B$57)),"")</f>
        <v/>
      </c>
      <c r="P61" s="167" t="str">
        <f>IFERROR(SUM(SUMIFS('caseload data'!R:R,'caseload data'!$C:$C,'community %'!$B$57,'caseload data'!$D:$D,"TPO",'caseload data'!$B:$B,{"licence","community"}))/SUM(SUMIFS('caseload data'!R:R,'caseload data'!$B:$B,{"licence","community"},'caseload data'!$C:$C,'community %'!$B$57)),"")</f>
        <v/>
      </c>
      <c r="Q61" s="167" t="str">
        <f>IFERROR(SUM(SUMIFS('caseload data'!S:S,'caseload data'!$C:$C,'community %'!$B$57,'caseload data'!$D:$D,"TPO",'caseload data'!$B:$B,{"licence","community"}))/SUM(SUMIFS('caseload data'!S:S,'caseload data'!$B:$B,{"licence","community"},'caseload data'!$C:$C,'community %'!$B$57)),"")</f>
        <v/>
      </c>
      <c r="R61" s="167" t="str">
        <f>IFERROR(SUM(SUMIFS('caseload data'!T:T,'caseload data'!$C:$C,'community %'!$B$57,'caseload data'!$D:$D,"TPO",'caseload data'!$B:$B,{"licence","community"}))/SUM(SUMIFS('caseload data'!T:T,'caseload data'!$B:$B,{"licence","community"},'caseload data'!$C:$C,'community %'!$B$57)),"")</f>
        <v/>
      </c>
      <c r="S61" s="64"/>
      <c r="T61" s="97" t="s">
        <v>953</v>
      </c>
      <c r="U61" s="167" t="str">
        <f>IFERROR(SUM(SUMIFS('caseload data'!E:E,'caseload data'!$C:$C,'community %'!$T$57,'caseload data'!$D:$D,"TPO",'caseload data'!$B:$B,{"licence","community"}))/SUM(SUMIFS('caseload data'!E:E,'caseload data'!$B:$B,{"licence","community"},'caseload data'!$C:$C,'community %'!$T$57)),"")</f>
        <v/>
      </c>
      <c r="V61" s="167" t="str">
        <f>IFERROR(SUM(SUMIFS('caseload data'!F:F,'caseload data'!$C:$C,'community %'!$T$57,'caseload data'!$D:$D,"TPO",'caseload data'!$B:$B,{"licence","community"}))/SUM(SUMIFS('caseload data'!F:F,'caseload data'!$B:$B,{"licence","community"},'caseload data'!$C:$C,'community %'!$T$57)),"")</f>
        <v/>
      </c>
      <c r="W61" s="167" t="str">
        <f>IFERROR(SUM(SUMIFS('caseload data'!G:G,'caseload data'!$C:$C,'community %'!$T$57,'caseload data'!$D:$D,"TPO",'caseload data'!$B:$B,{"licence","community"}))/SUM(SUMIFS('caseload data'!G:G,'caseload data'!$B:$B,{"licence","community"},'caseload data'!$C:$C,'community %'!$T$57)),"")</f>
        <v/>
      </c>
      <c r="X61" s="167" t="str">
        <f>IFERROR(SUM(SUMIFS('caseload data'!H:H,'caseload data'!$C:$C,'community %'!$T$57,'caseload data'!$D:$D,"TPO",'caseload data'!$B:$B,{"licence","community"}))/SUM(SUMIFS('caseload data'!H:H,'caseload data'!$B:$B,{"licence","community"},'caseload data'!$C:$C,'community %'!$T$57)),"")</f>
        <v/>
      </c>
      <c r="Y61" s="167" t="str">
        <f>IFERROR(SUM(SUMIFS('caseload data'!I:I,'caseload data'!$C:$C,'community %'!$T$57,'caseload data'!$D:$D,"TPO",'caseload data'!$B:$B,{"licence","community"}))/SUM(SUMIFS('caseload data'!I:I,'caseload data'!$B:$B,{"licence","community"},'caseload data'!$C:$C,'community %'!$T$57)),"")</f>
        <v/>
      </c>
      <c r="Z61" s="167" t="str">
        <f>IFERROR(SUM(SUMIFS('caseload data'!J:J,'caseload data'!$C:$C,'community %'!$T$57,'caseload data'!$D:$D,"TPO",'caseload data'!$B:$B,{"licence","community"}))/SUM(SUMIFS('caseload data'!J:J,'caseload data'!$B:$B,{"licence","community"},'caseload data'!$C:$C,'community %'!$T$57)),"")</f>
        <v/>
      </c>
      <c r="AA61" s="167" t="str">
        <f>IFERROR(SUM(SUMIFS('caseload data'!K:K,'caseload data'!$C:$C,'community %'!$T$57,'caseload data'!$D:$D,"TPO",'caseload data'!$B:$B,{"licence","community"}))/SUM(SUMIFS('caseload data'!K:K,'caseload data'!$B:$B,{"licence","community"},'caseload data'!$C:$C,'community %'!$T$57)),"")</f>
        <v/>
      </c>
      <c r="AB61" s="167" t="str">
        <f>IFERROR(SUM(SUMIFS('caseload data'!L:L,'caseload data'!$C:$C,'community %'!$T$57,'caseload data'!$D:$D,"TPO",'caseload data'!$B:$B,{"licence","community"}))/SUM(SUMIFS('caseload data'!L:L,'caseload data'!$B:$B,{"licence","community"},'caseload data'!$C:$C,'community %'!$T$57)),"")</f>
        <v/>
      </c>
      <c r="AC61" s="167" t="str">
        <f>IFERROR(SUM(SUMIFS('caseload data'!M:M,'caseload data'!$C:$C,'community %'!$T$57,'caseload data'!$D:$D,"TPO",'caseload data'!$B:$B,{"licence","community"}))/SUM(SUMIFS('caseload data'!M:M,'caseload data'!$B:$B,{"licence","community"},'caseload data'!$C:$C,'community %'!$T$57)),"")</f>
        <v/>
      </c>
      <c r="AD61" s="167" t="str">
        <f>IFERROR(SUM(SUMIFS('caseload data'!N:N,'caseload data'!$C:$C,'community %'!$T$57,'caseload data'!$D:$D,"TPO",'caseload data'!$B:$B,{"licence","community"}))/SUM(SUMIFS('caseload data'!N:N,'caseload data'!$B:$B,{"licence","community"},'caseload data'!$C:$C,'community %'!$T$57)),"")</f>
        <v/>
      </c>
      <c r="AE61" s="167" t="str">
        <f>IFERROR(SUM(SUMIFS('caseload data'!O:O,'caseload data'!$C:$C,'community %'!$T$57,'caseload data'!$D:$D,"TPO",'caseload data'!$B:$B,{"licence","community"}))/SUM(SUMIFS('caseload data'!O:O,'caseload data'!$B:$B,{"licence","community"},'caseload data'!$C:$C,'community %'!$T$57)),"")</f>
        <v/>
      </c>
      <c r="AF61" s="167" t="str">
        <f>IFERROR(SUM(SUMIFS('caseload data'!P:P,'caseload data'!$C:$C,'community %'!$T$57,'caseload data'!$D:$D,"TPO",'caseload data'!$B:$B,{"licence","community"}))/SUM(SUMIFS('caseload data'!P:P,'caseload data'!$B:$B,{"licence","community"},'caseload data'!$C:$C,'community %'!$T$57)),"")</f>
        <v/>
      </c>
      <c r="AG61" s="167" t="str">
        <f>IFERROR(SUM(SUMIFS('caseload data'!Q:Q,'caseload data'!$C:$C,'community %'!$T$57,'caseload data'!$D:$D,"TPO",'caseload data'!$B:$B,{"licence","community"}))/SUM(SUMIFS('caseload data'!Q:Q,'caseload data'!$B:$B,{"licence","community"},'caseload data'!$C:$C,'community %'!$T$57)),"")</f>
        <v/>
      </c>
      <c r="AH61" s="167" t="str">
        <f>IFERROR(SUM(SUMIFS('caseload data'!R:R,'caseload data'!$C:$C,'community %'!$T$57,'caseload data'!$D:$D,"TPO",'caseload data'!$B:$B,{"licence","community"}))/SUM(SUMIFS('caseload data'!R:R,'caseload data'!$B:$B,{"licence","community"},'caseload data'!$C:$C,'community %'!$T$57)),"")</f>
        <v/>
      </c>
      <c r="AI61" s="167" t="str">
        <f>IFERROR(SUM(SUMIFS('caseload data'!S:S,'caseload data'!$C:$C,'community %'!$T$57,'caseload data'!$D:$D,"TPO",'caseload data'!$B:$B,{"licence","community"}))/SUM(SUMIFS('caseload data'!S:S,'caseload data'!$B:$B,{"licence","community"},'caseload data'!$C:$C,'community %'!$T$57)),"")</f>
        <v/>
      </c>
      <c r="AJ61" s="167" t="str">
        <f>IFERROR(SUM(SUMIFS('caseload data'!T:T,'caseload data'!$C:$C,'community %'!$T$57,'caseload data'!$D:$D,"TPO",'caseload data'!$B:$B,{"licence","community"}))/SUM(SUMIFS('caseload data'!T:T,'caseload data'!$B:$B,{"licence","community"},'caseload data'!$C:$C,'community %'!$T$57)),"")</f>
        <v/>
      </c>
    </row>
    <row r="62" spans="2:36" x14ac:dyDescent="0.15">
      <c r="B62" s="98" t="s">
        <v>954</v>
      </c>
      <c r="C62" s="167" t="str">
        <f>IFERROR(SUM(SUMIFS('caseload data'!E:E,'caseload data'!$C:$C,'community %'!$B$57,'caseload data'!$D:$D,"SPO",'caseload data'!$B:$B,{"licence","community"}))/SUM(SUMIFS('caseload data'!E:E,'caseload data'!$B:$B,{"licence","community"},'caseload data'!$C:$C,'community %'!$B$57)),"")</f>
        <v/>
      </c>
      <c r="D62" s="167" t="str">
        <f>IFERROR(SUM(SUMIFS('caseload data'!F:F,'caseload data'!$C:$C,'community %'!$B$57,'caseload data'!$D:$D,"SPO",'caseload data'!$B:$B,{"licence","community"}))/SUM(SUMIFS('caseload data'!F:F,'caseload data'!$B:$B,{"licence","community"},'caseload data'!$C:$C,'community %'!$B$57)),"")</f>
        <v/>
      </c>
      <c r="E62" s="167" t="str">
        <f>IFERROR(SUM(SUMIFS('caseload data'!G:G,'caseload data'!$C:$C,'community %'!$B$57,'caseload data'!$D:$D,"SPO",'caseload data'!$B:$B,{"licence","community"}))/SUM(SUMIFS('caseload data'!G:G,'caseload data'!$B:$B,{"licence","community"},'caseload data'!$C:$C,'community %'!$B$57)),"")</f>
        <v/>
      </c>
      <c r="F62" s="167" t="str">
        <f>IFERROR(SUM(SUMIFS('caseload data'!H:H,'caseload data'!$C:$C,'community %'!$B$57,'caseload data'!$D:$D,"SPO",'caseload data'!$B:$B,{"licence","community"}))/SUM(SUMIFS('caseload data'!H:H,'caseload data'!$B:$B,{"licence","community"},'caseload data'!$C:$C,'community %'!$B$57)),"")</f>
        <v/>
      </c>
      <c r="G62" s="167" t="str">
        <f>IFERROR(SUM(SUMIFS('caseload data'!I:I,'caseload data'!$C:$C,'community %'!$B$57,'caseload data'!$D:$D,"SPO",'caseload data'!$B:$B,{"licence","community"}))/SUM(SUMIFS('caseload data'!I:I,'caseload data'!$B:$B,{"licence","community"},'caseload data'!$C:$C,'community %'!$B$57)),"")</f>
        <v/>
      </c>
      <c r="H62" s="167" t="str">
        <f>IFERROR(SUM(SUMIFS('caseload data'!J:J,'caseload data'!$C:$C,'community %'!$B$57,'caseload data'!$D:$D,"SPO",'caseload data'!$B:$B,{"licence","community"}))/SUM(SUMIFS('caseload data'!J:J,'caseload data'!$B:$B,{"licence","community"},'caseload data'!$C:$C,'community %'!$B$57)),"")</f>
        <v/>
      </c>
      <c r="I62" s="167" t="str">
        <f>IFERROR(SUM(SUMIFS('caseload data'!K:K,'caseload data'!$C:$C,'community %'!$B$57,'caseload data'!$D:$D,"SPO",'caseload data'!$B:$B,{"licence","community"}))/SUM(SUMIFS('caseload data'!K:K,'caseload data'!$B:$B,{"licence","community"},'caseload data'!$C:$C,'community %'!$B$57)),"")</f>
        <v/>
      </c>
      <c r="J62" s="167" t="str">
        <f>IFERROR(SUM(SUMIFS('caseload data'!L:L,'caseload data'!$C:$C,'community %'!$B$57,'caseload data'!$D:$D,"SPO",'caseload data'!$B:$B,{"licence","community"}))/SUM(SUMIFS('caseload data'!L:L,'caseload data'!$B:$B,{"licence","community"},'caseload data'!$C:$C,'community %'!$B$57)),"")</f>
        <v/>
      </c>
      <c r="K62" s="167" t="str">
        <f>IFERROR(SUM(SUMIFS('caseload data'!M:M,'caseload data'!$C:$C,'community %'!$B$57,'caseload data'!$D:$D,"SPO",'caseload data'!$B:$B,{"licence","community"}))/SUM(SUMIFS('caseload data'!M:M,'caseload data'!$B:$B,{"licence","community"},'caseload data'!$C:$C,'community %'!$B$57)),"")</f>
        <v/>
      </c>
      <c r="L62" s="167" t="str">
        <f>IFERROR(SUM(SUMIFS('caseload data'!N:N,'caseload data'!$C:$C,'community %'!$B$57,'caseload data'!$D:$D,"SPO",'caseload data'!$B:$B,{"licence","community"}))/SUM(SUMIFS('caseload data'!N:N,'caseload data'!$B:$B,{"licence","community"},'caseload data'!$C:$C,'community %'!$B$57)),"")</f>
        <v/>
      </c>
      <c r="M62" s="167" t="str">
        <f>IFERROR(SUM(SUMIFS('caseload data'!O:O,'caseload data'!$C:$C,'community %'!$B$57,'caseload data'!$D:$D,"SPO",'caseload data'!$B:$B,{"licence","community"}))/SUM(SUMIFS('caseload data'!O:O,'caseload data'!$B:$B,{"licence","community"},'caseload data'!$C:$C,'community %'!$B$57)),"")</f>
        <v/>
      </c>
      <c r="N62" s="167" t="str">
        <f>IFERROR(SUM(SUMIFS('caseload data'!P:P,'caseload data'!$C:$C,'community %'!$B$57,'caseload data'!$D:$D,"SPO",'caseload data'!$B:$B,{"licence","community"}))/SUM(SUMIFS('caseload data'!P:P,'caseload data'!$B:$B,{"licence","community"},'caseload data'!$C:$C,'community %'!$B$57)),"")</f>
        <v/>
      </c>
      <c r="O62" s="167" t="str">
        <f>IFERROR(SUM(SUMIFS('caseload data'!Q:Q,'caseload data'!$C:$C,'community %'!$B$57,'caseload data'!$D:$D,"SPO",'caseload data'!$B:$B,{"licence","community"}))/SUM(SUMIFS('caseload data'!Q:Q,'caseload data'!$B:$B,{"licence","community"},'caseload data'!$C:$C,'community %'!$B$57)),"")</f>
        <v/>
      </c>
      <c r="P62" s="167" t="str">
        <f>IFERROR(SUM(SUMIFS('caseload data'!R:R,'caseload data'!$C:$C,'community %'!$B$57,'caseload data'!$D:$D,"SPO",'caseload data'!$B:$B,{"licence","community"}))/SUM(SUMIFS('caseload data'!R:R,'caseload data'!$B:$B,{"licence","community"},'caseload data'!$C:$C,'community %'!$B$57)),"")</f>
        <v/>
      </c>
      <c r="Q62" s="167" t="str">
        <f>IFERROR(SUM(SUMIFS('caseload data'!S:S,'caseload data'!$C:$C,'community %'!$B$57,'caseload data'!$D:$D,"SPO",'caseload data'!$B:$B,{"licence","community"}))/SUM(SUMIFS('caseload data'!S:S,'caseload data'!$B:$B,{"licence","community"},'caseload data'!$C:$C,'community %'!$B$57)),"")</f>
        <v/>
      </c>
      <c r="R62" s="167" t="str">
        <f>IFERROR(SUM(SUMIFS('caseload data'!T:T,'caseload data'!$C:$C,'community %'!$B$57,'caseload data'!$D:$D,"SPO",'caseload data'!$B:$B,{"licence","community"}))/SUM(SUMIFS('caseload data'!T:T,'caseload data'!$B:$B,{"licence","community"},'caseload data'!$C:$C,'community %'!$B$57)),"")</f>
        <v/>
      </c>
      <c r="S62" s="64"/>
      <c r="T62" s="98" t="s">
        <v>954</v>
      </c>
      <c r="U62" s="167" t="str">
        <f>IFERROR(SUM(SUMIFS('caseload data'!E:E,'caseload data'!$C:$C,'community %'!$T$57,'caseload data'!$D:$D,"SPO",'caseload data'!$B:$B,{"licence","community"}))/SUM(SUMIFS('caseload data'!E:E,'caseload data'!$B:$B,{"licence","community"},'caseload data'!$C:$C,'community %'!$T$57)),"")</f>
        <v/>
      </c>
      <c r="V62" s="167" t="str">
        <f>IFERROR(SUM(SUMIFS('caseload data'!F:F,'caseload data'!$C:$C,'community %'!$T$57,'caseload data'!$D:$D,"SPO",'caseload data'!$B:$B,{"licence","community"}))/SUM(SUMIFS('caseload data'!F:F,'caseload data'!$B:$B,{"licence","community"},'caseload data'!$C:$C,'community %'!$T$57)),"")</f>
        <v/>
      </c>
      <c r="W62" s="167" t="str">
        <f>IFERROR(SUM(SUMIFS('caseload data'!G:G,'caseload data'!$C:$C,'community %'!$T$57,'caseload data'!$D:$D,"SPO",'caseload data'!$B:$B,{"licence","community"}))/SUM(SUMIFS('caseload data'!G:G,'caseload data'!$B:$B,{"licence","community"},'caseload data'!$C:$C,'community %'!$T$57)),"")</f>
        <v/>
      </c>
      <c r="X62" s="167" t="str">
        <f>IFERROR(SUM(SUMIFS('caseload data'!H:H,'caseload data'!$C:$C,'community %'!$T$57,'caseload data'!$D:$D,"SPO",'caseload data'!$B:$B,{"licence","community"}))/SUM(SUMIFS('caseload data'!H:H,'caseload data'!$B:$B,{"licence","community"},'caseload data'!$C:$C,'community %'!$T$57)),"")</f>
        <v/>
      </c>
      <c r="Y62" s="167" t="str">
        <f>IFERROR(SUM(SUMIFS('caseload data'!I:I,'caseload data'!$C:$C,'community %'!$T$57,'caseload data'!$D:$D,"SPO",'caseload data'!$B:$B,{"licence","community"}))/SUM(SUMIFS('caseload data'!I:I,'caseload data'!$B:$B,{"licence","community"},'caseload data'!$C:$C,'community %'!$T$57)),"")</f>
        <v/>
      </c>
      <c r="Z62" s="167" t="str">
        <f>IFERROR(SUM(SUMIFS('caseload data'!J:J,'caseload data'!$C:$C,'community %'!$T$57,'caseload data'!$D:$D,"SPO",'caseload data'!$B:$B,{"licence","community"}))/SUM(SUMIFS('caseload data'!J:J,'caseload data'!$B:$B,{"licence","community"},'caseload data'!$C:$C,'community %'!$T$57)),"")</f>
        <v/>
      </c>
      <c r="AA62" s="167" t="str">
        <f>IFERROR(SUM(SUMIFS('caseload data'!K:K,'caseload data'!$C:$C,'community %'!$T$57,'caseload data'!$D:$D,"SPO",'caseload data'!$B:$B,{"licence","community"}))/SUM(SUMIFS('caseload data'!K:K,'caseload data'!$B:$B,{"licence","community"},'caseload data'!$C:$C,'community %'!$T$57)),"")</f>
        <v/>
      </c>
      <c r="AB62" s="167" t="str">
        <f>IFERROR(SUM(SUMIFS('caseload data'!L:L,'caseload data'!$C:$C,'community %'!$T$57,'caseload data'!$D:$D,"SPO",'caseload data'!$B:$B,{"licence","community"}))/SUM(SUMIFS('caseload data'!L:L,'caseload data'!$B:$B,{"licence","community"},'caseload data'!$C:$C,'community %'!$T$57)),"")</f>
        <v/>
      </c>
      <c r="AC62" s="167" t="str">
        <f>IFERROR(SUM(SUMIFS('caseload data'!M:M,'caseload data'!$C:$C,'community %'!$T$57,'caseload data'!$D:$D,"SPO",'caseload data'!$B:$B,{"licence","community"}))/SUM(SUMIFS('caseload data'!M:M,'caseload data'!$B:$B,{"licence","community"},'caseload data'!$C:$C,'community %'!$T$57)),"")</f>
        <v/>
      </c>
      <c r="AD62" s="167" t="str">
        <f>IFERROR(SUM(SUMIFS('caseload data'!N:N,'caseload data'!$C:$C,'community %'!$T$57,'caseload data'!$D:$D,"SPO",'caseload data'!$B:$B,{"licence","community"}))/SUM(SUMIFS('caseload data'!N:N,'caseload data'!$B:$B,{"licence","community"},'caseload data'!$C:$C,'community %'!$T$57)),"")</f>
        <v/>
      </c>
      <c r="AE62" s="167" t="str">
        <f>IFERROR(SUM(SUMIFS('caseload data'!O:O,'caseload data'!$C:$C,'community %'!$T$57,'caseload data'!$D:$D,"SPO",'caseload data'!$B:$B,{"licence","community"}))/SUM(SUMIFS('caseload data'!O:O,'caseload data'!$B:$B,{"licence","community"},'caseload data'!$C:$C,'community %'!$T$57)),"")</f>
        <v/>
      </c>
      <c r="AF62" s="167" t="str">
        <f>IFERROR(SUM(SUMIFS('caseload data'!P:P,'caseload data'!$C:$C,'community %'!$T$57,'caseload data'!$D:$D,"SPO",'caseload data'!$B:$B,{"licence","community"}))/SUM(SUMIFS('caseload data'!P:P,'caseload data'!$B:$B,{"licence","community"},'caseload data'!$C:$C,'community %'!$T$57)),"")</f>
        <v/>
      </c>
      <c r="AG62" s="167" t="str">
        <f>IFERROR(SUM(SUMIFS('caseload data'!Q:Q,'caseload data'!$C:$C,'community %'!$T$57,'caseload data'!$D:$D,"SPO",'caseload data'!$B:$B,{"licence","community"}))/SUM(SUMIFS('caseload data'!Q:Q,'caseload data'!$B:$B,{"licence","community"},'caseload data'!$C:$C,'community %'!$T$57)),"")</f>
        <v/>
      </c>
      <c r="AH62" s="167" t="str">
        <f>IFERROR(SUM(SUMIFS('caseload data'!R:R,'caseload data'!$C:$C,'community %'!$T$57,'caseload data'!$D:$D,"SPO",'caseload data'!$B:$B,{"licence","community"}))/SUM(SUMIFS('caseload data'!R:R,'caseload data'!$B:$B,{"licence","community"},'caseload data'!$C:$C,'community %'!$T$57)),"")</f>
        <v/>
      </c>
      <c r="AI62" s="167" t="str">
        <f>IFERROR(SUM(SUMIFS('caseload data'!S:S,'caseload data'!$C:$C,'community %'!$T$57,'caseload data'!$D:$D,"SPO",'caseload data'!$B:$B,{"licence","community"}))/SUM(SUMIFS('caseload data'!S:S,'caseload data'!$B:$B,{"licence","community"},'caseload data'!$C:$C,'community %'!$T$57)),"")</f>
        <v/>
      </c>
      <c r="AJ62" s="167" t="str">
        <f>IFERROR(SUM(SUMIFS('caseload data'!T:T,'caseload data'!$C:$C,'community %'!$T$57,'caseload data'!$D:$D,"SPO",'caseload data'!$B:$B,{"licence","community"}))/SUM(SUMIFS('caseload data'!T:T,'caseload data'!$B:$B,{"licence","community"},'caseload data'!$C:$C,'community %'!$T$57)),"")</f>
        <v/>
      </c>
    </row>
    <row r="64" spans="2:36" ht="25.5" customHeight="1" x14ac:dyDescent="0.15">
      <c r="B64" s="288">
        <f>HLOOKUP($B$5,Region_Table,18,0)</f>
        <v>0</v>
      </c>
      <c r="C64" s="540" t="s">
        <v>1081</v>
      </c>
      <c r="D64" s="541"/>
      <c r="E64" s="541"/>
      <c r="F64" s="541"/>
      <c r="G64" s="541"/>
      <c r="H64" s="541"/>
      <c r="I64" s="541"/>
      <c r="J64" s="541"/>
      <c r="K64" s="541"/>
      <c r="L64" s="541"/>
      <c r="M64" s="570"/>
      <c r="N64" s="570"/>
      <c r="O64" s="571"/>
      <c r="P64" s="543" cm="1">
        <f t="array" ref="P64">SUM(SUMIFS('caseload data'!V:V,'caseload data'!B:B,{"licence","community"},'caseload data'!$C:$C,B64))</f>
        <v>0</v>
      </c>
      <c r="Q64" s="560"/>
      <c r="R64" s="561"/>
      <c r="S64" s="64"/>
      <c r="T64" s="288">
        <f>HLOOKUP($B$5,Region_Table,19,0)</f>
        <v>0</v>
      </c>
      <c r="U64" s="540" t="s">
        <v>1081</v>
      </c>
      <c r="V64" s="541"/>
      <c r="W64" s="541"/>
      <c r="X64" s="541"/>
      <c r="Y64" s="541"/>
      <c r="Z64" s="541"/>
      <c r="AA64" s="541"/>
      <c r="AB64" s="541"/>
      <c r="AC64" s="541"/>
      <c r="AD64" s="541"/>
      <c r="AE64" s="570"/>
      <c r="AF64" s="570"/>
      <c r="AG64" s="571"/>
      <c r="AH64" s="543" cm="1">
        <f t="array" ref="AH64">SUM(SUMIFS('caseload data'!V:V,'caseload data'!B:B,{"licence","community"},'caseload data'!$C:$C,T64))</f>
        <v>0</v>
      </c>
      <c r="AI64" s="560"/>
      <c r="AJ64" s="561"/>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167" t="str">
        <f>IFERROR(SUM(SUMIFS('caseload data'!E:E,'caseload data'!$C:$C,'community %'!$B$64,'caseload data'!$D:$D,"PO",'caseload data'!$B:$B,{"licence","community"}))/SUM(SUMIFS('caseload data'!E:E,'caseload data'!$B:$B,{"licence","community"},'caseload data'!$C:$C,'community %'!$B$64)),"")</f>
        <v/>
      </c>
      <c r="D66" s="167" t="str">
        <f>IFERROR(SUM(SUMIFS('caseload data'!F:F,'caseload data'!$C:$C,'community %'!$B$64,'caseload data'!$D:$D,"PO",'caseload data'!$B:$B,{"licence","community"}))/SUM(SUMIFS('caseload data'!F:F,'caseload data'!$B:$B,{"licence","community"},'caseload data'!$C:$C,'community %'!$B$64)),"")</f>
        <v/>
      </c>
      <c r="E66" s="167" t="str">
        <f>IFERROR(SUM(SUMIFS('caseload data'!G:G,'caseload data'!$C:$C,'community %'!$B$64,'caseload data'!$D:$D,"PO",'caseload data'!$B:$B,{"licence","community"}))/SUM(SUMIFS('caseload data'!G:G,'caseload data'!$B:$B,{"licence","community"},'caseload data'!$C:$C,'community %'!$B$64)),"")</f>
        <v/>
      </c>
      <c r="F66" s="167" t="str">
        <f>IFERROR(SUM(SUMIFS('caseload data'!H:H,'caseload data'!$C:$C,'community %'!$B$64,'caseload data'!$D:$D,"PO",'caseload data'!$B:$B,{"licence","community"}))/SUM(SUMIFS('caseload data'!H:H,'caseload data'!$B:$B,{"licence","community"},'caseload data'!$C:$C,'community %'!$B$64)),"")</f>
        <v/>
      </c>
      <c r="G66" s="167" t="str">
        <f>IFERROR(SUM(SUMIFS('caseload data'!I:I,'caseload data'!$C:$C,'community %'!$B$64,'caseload data'!$D:$D,"PO",'caseload data'!$B:$B,{"licence","community"}))/SUM(SUMIFS('caseload data'!I:I,'caseload data'!$B:$B,{"licence","community"},'caseload data'!$C:$C,'community %'!$B$64)),"")</f>
        <v/>
      </c>
      <c r="H66" s="167" t="str">
        <f>IFERROR(SUM(SUMIFS('caseload data'!J:J,'caseload data'!$C:$C,'community %'!$B$64,'caseload data'!$D:$D,"PO",'caseload data'!$B:$B,{"licence","community"}))/SUM(SUMIFS('caseload data'!J:J,'caseload data'!$B:$B,{"licence","community"},'caseload data'!$C:$C,'community %'!$B$64)),"")</f>
        <v/>
      </c>
      <c r="I66" s="167" t="str">
        <f>IFERROR(SUM(SUMIFS('caseload data'!K:K,'caseload data'!$C:$C,'community %'!$B$64,'caseload data'!$D:$D,"PO",'caseload data'!$B:$B,{"licence","community"}))/SUM(SUMIFS('caseload data'!K:K,'caseload data'!$B:$B,{"licence","community"},'caseload data'!$C:$C,'community %'!$B$64)),"")</f>
        <v/>
      </c>
      <c r="J66" s="167" t="str">
        <f>IFERROR(SUM(SUMIFS('caseload data'!L:L,'caseload data'!$C:$C,'community %'!$B$64,'caseload data'!$D:$D,"PO",'caseload data'!$B:$B,{"licence","community"}))/SUM(SUMIFS('caseload data'!L:L,'caseload data'!$B:$B,{"licence","community"},'caseload data'!$C:$C,'community %'!$B$64)),"")</f>
        <v/>
      </c>
      <c r="K66" s="167" t="str">
        <f>IFERROR(SUM(SUMIFS('caseload data'!M:M,'caseload data'!$C:$C,'community %'!$B$64,'caseload data'!$D:$D,"PO",'caseload data'!$B:$B,{"licence","community"}))/SUM(SUMIFS('caseload data'!M:M,'caseload data'!$B:$B,{"licence","community"},'caseload data'!$C:$C,'community %'!$B$64)),"")</f>
        <v/>
      </c>
      <c r="L66" s="167" t="str">
        <f>IFERROR(SUM(SUMIFS('caseload data'!N:N,'caseload data'!$C:$C,'community %'!$B$64,'caseload data'!$D:$D,"PO",'caseload data'!$B:$B,{"licence","community"}))/SUM(SUMIFS('caseload data'!N:N,'caseload data'!$B:$B,{"licence","community"},'caseload data'!$C:$C,'community %'!$B$64)),"")</f>
        <v/>
      </c>
      <c r="M66" s="167" t="str">
        <f>IFERROR(SUM(SUMIFS('caseload data'!O:O,'caseload data'!$C:$C,'community %'!$B$64,'caseload data'!$D:$D,"PO",'caseload data'!$B:$B,{"licence","community"}))/SUM(SUMIFS('caseload data'!O:O,'caseload data'!$B:$B,{"licence","community"},'caseload data'!$C:$C,'community %'!$B$64)),"")</f>
        <v/>
      </c>
      <c r="N66" s="167" t="str">
        <f>IFERROR(SUM(SUMIFS('caseload data'!P:P,'caseload data'!$C:$C,'community %'!$B$64,'caseload data'!$D:$D,"PO",'caseload data'!$B:$B,{"licence","community"}))/SUM(SUMIFS('caseload data'!P:P,'caseload data'!$B:$B,{"licence","community"},'caseload data'!$C:$C,'community %'!$B$64)),"")</f>
        <v/>
      </c>
      <c r="O66" s="167" t="str">
        <f>IFERROR(SUM(SUMIFS('caseload data'!Q:Q,'caseload data'!$C:$C,'community %'!$B$64,'caseload data'!$D:$D,"PO",'caseload data'!$B:$B,{"licence","community"}))/SUM(SUMIFS('caseload data'!Q:Q,'caseload data'!$B:$B,{"licence","community"},'caseload data'!$C:$C,'community %'!$B$64)),"")</f>
        <v/>
      </c>
      <c r="P66" s="167" t="str">
        <f>IFERROR(SUM(SUMIFS('caseload data'!R:R,'caseload data'!$C:$C,'community %'!$B$64,'caseload data'!$D:$D,"PO",'caseload data'!$B:$B,{"licence","community"}))/SUM(SUMIFS('caseload data'!R:R,'caseload data'!$B:$B,{"licence","community"},'caseload data'!$C:$C,'community %'!$B$64)),"")</f>
        <v/>
      </c>
      <c r="Q66" s="167" t="str">
        <f>IFERROR(SUM(SUMIFS('caseload data'!S:S,'caseload data'!$C:$C,'community %'!$B$64,'caseload data'!$D:$D,"PO",'caseload data'!$B:$B,{"licence","community"}))/SUM(SUMIFS('caseload data'!S:S,'caseload data'!$B:$B,{"licence","community"},'caseload data'!$C:$C,'community %'!$B$64)),"")</f>
        <v/>
      </c>
      <c r="R66" s="167" t="str">
        <f>IFERROR(SUM(SUMIFS('caseload data'!T:T,'caseload data'!$C:$C,'community %'!$B$64,'caseload data'!$D:$D,"PO",'caseload data'!$B:$B,{"licence","community"}))/SUM(SUMIFS('caseload data'!T:T,'caseload data'!$B:$B,{"licence","community"},'caseload data'!$C:$C,'community %'!$B$64)),"")</f>
        <v/>
      </c>
      <c r="S66" s="64"/>
      <c r="T66" s="96" t="s">
        <v>947</v>
      </c>
      <c r="U66" s="167" t="str">
        <f>IFERROR(SUM(SUMIFS('caseload data'!E:E,'caseload data'!$C:$C,'community %'!$T$64,'caseload data'!$D:$D,"PO",'caseload data'!$B:$B,{"licence","community"}))/SUM(SUMIFS('caseload data'!E:E,'caseload data'!$B:$B,{"licence","community"},'caseload data'!$C:$C,'community %'!$T$64)),"")</f>
        <v/>
      </c>
      <c r="V66" s="167" t="str">
        <f>IFERROR(SUM(SUMIFS('caseload data'!F:F,'caseload data'!$C:$C,'community %'!$T$64,'caseload data'!$D:$D,"PO",'caseload data'!$B:$B,{"licence","community"}))/SUM(SUMIFS('caseload data'!F:F,'caseload data'!$B:$B,{"licence","community"},'caseload data'!$C:$C,'community %'!$T$64)),"")</f>
        <v/>
      </c>
      <c r="W66" s="167" t="str">
        <f>IFERROR(SUM(SUMIFS('caseload data'!G:G,'caseload data'!$C:$C,'community %'!$T$64,'caseload data'!$D:$D,"PO",'caseload data'!$B:$B,{"licence","community"}))/SUM(SUMIFS('caseload data'!G:G,'caseload data'!$B:$B,{"licence","community"},'caseload data'!$C:$C,'community %'!$T$64)),"")</f>
        <v/>
      </c>
      <c r="X66" s="167" t="str">
        <f>IFERROR(SUM(SUMIFS('caseload data'!H:H,'caseload data'!$C:$C,'community %'!$T$64,'caseload data'!$D:$D,"PO",'caseload data'!$B:$B,{"licence","community"}))/SUM(SUMIFS('caseload data'!H:H,'caseload data'!$B:$B,{"licence","community"},'caseload data'!$C:$C,'community %'!$T$64)),"")</f>
        <v/>
      </c>
      <c r="Y66" s="167" t="str">
        <f>IFERROR(SUM(SUMIFS('caseload data'!I:I,'caseload data'!$C:$C,'community %'!$T$64,'caseload data'!$D:$D,"PO",'caseload data'!$B:$B,{"licence","community"}))/SUM(SUMIFS('caseload data'!I:I,'caseload data'!$B:$B,{"licence","community"},'caseload data'!$C:$C,'community %'!$T$64)),"")</f>
        <v/>
      </c>
      <c r="Z66" s="167" t="str">
        <f>IFERROR(SUM(SUMIFS('caseload data'!J:J,'caseload data'!$C:$C,'community %'!$T$64,'caseload data'!$D:$D,"PO",'caseload data'!$B:$B,{"licence","community"}))/SUM(SUMIFS('caseload data'!J:J,'caseload data'!$B:$B,{"licence","community"},'caseload data'!$C:$C,'community %'!$T$64)),"")</f>
        <v/>
      </c>
      <c r="AA66" s="167" t="str">
        <f>IFERROR(SUM(SUMIFS('caseload data'!K:K,'caseload data'!$C:$C,'community %'!$T$64,'caseload data'!$D:$D,"PO",'caseload data'!$B:$B,{"licence","community"}))/SUM(SUMIFS('caseload data'!K:K,'caseload data'!$B:$B,{"licence","community"},'caseload data'!$C:$C,'community %'!$T$64)),"")</f>
        <v/>
      </c>
      <c r="AB66" s="167" t="str">
        <f>IFERROR(SUM(SUMIFS('caseload data'!L:L,'caseload data'!$C:$C,'community %'!$T$64,'caseload data'!$D:$D,"PO",'caseload data'!$B:$B,{"licence","community"}))/SUM(SUMIFS('caseload data'!L:L,'caseload data'!$B:$B,{"licence","community"},'caseload data'!$C:$C,'community %'!$T$64)),"")</f>
        <v/>
      </c>
      <c r="AC66" s="167" t="str">
        <f>IFERROR(SUM(SUMIFS('caseload data'!M:M,'caseload data'!$C:$C,'community %'!$T$64,'caseload data'!$D:$D,"PO",'caseload data'!$B:$B,{"licence","community"}))/SUM(SUMIFS('caseload data'!M:M,'caseload data'!$B:$B,{"licence","community"},'caseload data'!$C:$C,'community %'!$T$64)),"")</f>
        <v/>
      </c>
      <c r="AD66" s="167" t="str">
        <f>IFERROR(SUM(SUMIFS('caseload data'!N:N,'caseload data'!$C:$C,'community %'!$T$64,'caseload data'!$D:$D,"PO",'caseload data'!$B:$B,{"licence","community"}))/SUM(SUMIFS('caseload data'!N:N,'caseload data'!$B:$B,{"licence","community"},'caseload data'!$C:$C,'community %'!$T$64)),"")</f>
        <v/>
      </c>
      <c r="AE66" s="167" t="str">
        <f>IFERROR(SUM(SUMIFS('caseload data'!O:O,'caseload data'!$C:$C,'community %'!$T$64,'caseload data'!$D:$D,"PO",'caseload data'!$B:$B,{"licence","community"}))/SUM(SUMIFS('caseload data'!O:O,'caseload data'!$B:$B,{"licence","community"},'caseload data'!$C:$C,'community %'!$T$64)),"")</f>
        <v/>
      </c>
      <c r="AF66" s="167" t="str">
        <f>IFERROR(SUM(SUMIFS('caseload data'!P:P,'caseload data'!$C:$C,'community %'!$T$64,'caseload data'!$D:$D,"PO",'caseload data'!$B:$B,{"licence","community"}))/SUM(SUMIFS('caseload data'!P:P,'caseload data'!$B:$B,{"licence","community"},'caseload data'!$C:$C,'community %'!$T$64)),"")</f>
        <v/>
      </c>
      <c r="AG66" s="167" t="str">
        <f>IFERROR(SUM(SUMIFS('caseload data'!Q:Q,'caseload data'!$C:$C,'community %'!$T$64,'caseload data'!$D:$D,"PO",'caseload data'!$B:$B,{"licence","community"}))/SUM(SUMIFS('caseload data'!Q:Q,'caseload data'!$B:$B,{"licence","community"},'caseload data'!$C:$C,'community %'!$T$64)),"")</f>
        <v/>
      </c>
      <c r="AH66" s="167" t="str">
        <f>IFERROR(SUM(SUMIFS('caseload data'!R:R,'caseload data'!$C:$C,'community %'!$T$64,'caseload data'!$D:$D,"PO",'caseload data'!$B:$B,{"licence","community"}))/SUM(SUMIFS('caseload data'!R:R,'caseload data'!$B:$B,{"licence","community"},'caseload data'!$C:$C,'community %'!$T$64)),"")</f>
        <v/>
      </c>
      <c r="AI66" s="167" t="str">
        <f>IFERROR(SUM(SUMIFS('caseload data'!S:S,'caseload data'!$C:$C,'community %'!$T$64,'caseload data'!$D:$D,"PO",'caseload data'!$B:$B,{"licence","community"}))/SUM(SUMIFS('caseload data'!S:S,'caseload data'!$B:$B,{"licence","community"},'caseload data'!$C:$C,'community %'!$T$64)),"")</f>
        <v/>
      </c>
      <c r="AJ66" s="167" t="str">
        <f>IFERROR(SUM(SUMIFS('caseload data'!T:T,'caseload data'!$C:$C,'community %'!$T$64,'caseload data'!$D:$D,"PO",'caseload data'!$B:$B,{"licence","community"}))/SUM(SUMIFS('caseload data'!T:T,'caseload data'!$B:$B,{"licence","community"},'caseload data'!$C:$C,'community %'!$T$64)),"")</f>
        <v/>
      </c>
    </row>
    <row r="67" spans="2:36" x14ac:dyDescent="0.15">
      <c r="B67" s="97" t="s">
        <v>952</v>
      </c>
      <c r="C67" s="167" t="str">
        <f>IFERROR(SUM(SUMIFS('caseload data'!E:E,'caseload data'!$C:$C,'community %'!$B$64,'caseload data'!$D:$D,"PSO",'caseload data'!$B:$B,{"licence","community"}))/SUM(SUMIFS('caseload data'!E:E,'caseload data'!$B:$B,{"licence","community"},'caseload data'!$C:$C,'community %'!$B$64)),"")</f>
        <v/>
      </c>
      <c r="D67" s="167" t="str">
        <f>IFERROR(SUM(SUMIFS('caseload data'!F:F,'caseload data'!$C:$C,'community %'!$B$64,'caseload data'!$D:$D,"PSO",'caseload data'!$B:$B,{"licence","community"}))/SUM(SUMIFS('caseload data'!F:F,'caseload data'!$B:$B,{"licence","community"},'caseload data'!$C:$C,'community %'!$B$64)),"")</f>
        <v/>
      </c>
      <c r="E67" s="167" t="str">
        <f>IFERROR(SUM(SUMIFS('caseload data'!G:G,'caseload data'!$C:$C,'community %'!$B$64,'caseload data'!$D:$D,"PSO",'caseload data'!$B:$B,{"licence","community"}))/SUM(SUMIFS('caseload data'!G:G,'caseload data'!$B:$B,{"licence","community"},'caseload data'!$C:$C,'community %'!$B$64)),"")</f>
        <v/>
      </c>
      <c r="F67" s="167" t="str">
        <f>IFERROR(SUM(SUMIFS('caseload data'!H:H,'caseload data'!$C:$C,'community %'!$B$64,'caseload data'!$D:$D,"PSO",'caseload data'!$B:$B,{"licence","community"}))/SUM(SUMIFS('caseload data'!H:H,'caseload data'!$B:$B,{"licence","community"},'caseload data'!$C:$C,'community %'!$B$64)),"")</f>
        <v/>
      </c>
      <c r="G67" s="167" t="str">
        <f>IFERROR(SUM(SUMIFS('caseload data'!I:I,'caseload data'!$C:$C,'community %'!$B$64,'caseload data'!$D:$D,"PSO",'caseload data'!$B:$B,{"licence","community"}))/SUM(SUMIFS('caseload data'!I:I,'caseload data'!$B:$B,{"licence","community"},'caseload data'!$C:$C,'community %'!$B$64)),"")</f>
        <v/>
      </c>
      <c r="H67" s="167" t="str">
        <f>IFERROR(SUM(SUMIFS('caseload data'!J:J,'caseload data'!$C:$C,'community %'!$B$64,'caseload data'!$D:$D,"PSO",'caseload data'!$B:$B,{"licence","community"}))/SUM(SUMIFS('caseload data'!J:J,'caseload data'!$B:$B,{"licence","community"},'caseload data'!$C:$C,'community %'!$B$64)),"")</f>
        <v/>
      </c>
      <c r="I67" s="167" t="str">
        <f>IFERROR(SUM(SUMIFS('caseload data'!K:K,'caseload data'!$C:$C,'community %'!$B$64,'caseload data'!$D:$D,"PSO",'caseload data'!$B:$B,{"licence","community"}))/SUM(SUMIFS('caseload data'!K:K,'caseload data'!$B:$B,{"licence","community"},'caseload data'!$C:$C,'community %'!$B$64)),"")</f>
        <v/>
      </c>
      <c r="J67" s="167" t="str">
        <f>IFERROR(SUM(SUMIFS('caseload data'!L:L,'caseload data'!$C:$C,'community %'!$B$64,'caseload data'!$D:$D,"PSO",'caseload data'!$B:$B,{"licence","community"}))/SUM(SUMIFS('caseload data'!L:L,'caseload data'!$B:$B,{"licence","community"},'caseload data'!$C:$C,'community %'!$B$64)),"")</f>
        <v/>
      </c>
      <c r="K67" s="167" t="str">
        <f>IFERROR(SUM(SUMIFS('caseload data'!M:M,'caseload data'!$C:$C,'community %'!$B$64,'caseload data'!$D:$D,"PSO",'caseload data'!$B:$B,{"licence","community"}))/SUM(SUMIFS('caseload data'!M:M,'caseload data'!$B:$B,{"licence","community"},'caseload data'!$C:$C,'community %'!$B$64)),"")</f>
        <v/>
      </c>
      <c r="L67" s="167" t="str">
        <f>IFERROR(SUM(SUMIFS('caseload data'!N:N,'caseload data'!$C:$C,'community %'!$B$64,'caseload data'!$D:$D,"PSO",'caseload data'!$B:$B,{"licence","community"}))/SUM(SUMIFS('caseload data'!N:N,'caseload data'!$B:$B,{"licence","community"},'caseload data'!$C:$C,'community %'!$B$64)),"")</f>
        <v/>
      </c>
      <c r="M67" s="167" t="str">
        <f>IFERROR(SUM(SUMIFS('caseload data'!O:O,'caseload data'!$C:$C,'community %'!$B$64,'caseload data'!$D:$D,"PSO",'caseload data'!$B:$B,{"licence","community"}))/SUM(SUMIFS('caseload data'!O:O,'caseload data'!$B:$B,{"licence","community"},'caseload data'!$C:$C,'community %'!$B$64)),"")</f>
        <v/>
      </c>
      <c r="N67" s="167" t="str">
        <f>IFERROR(SUM(SUMIFS('caseload data'!P:P,'caseload data'!$C:$C,'community %'!$B$64,'caseload data'!$D:$D,"PSO",'caseload data'!$B:$B,{"licence","community"}))/SUM(SUMIFS('caseload data'!P:P,'caseload data'!$B:$B,{"licence","community"},'caseload data'!$C:$C,'community %'!$B$64)),"")</f>
        <v/>
      </c>
      <c r="O67" s="167" t="str">
        <f>IFERROR(SUM(SUMIFS('caseload data'!Q:Q,'caseload data'!$C:$C,'community %'!$B$64,'caseload data'!$D:$D,"PSO",'caseload data'!$B:$B,{"licence","community"}))/SUM(SUMIFS('caseload data'!Q:Q,'caseload data'!$B:$B,{"licence","community"},'caseload data'!$C:$C,'community %'!$B$64)),"")</f>
        <v/>
      </c>
      <c r="P67" s="167" t="str">
        <f>IFERROR(SUM(SUMIFS('caseload data'!R:R,'caseload data'!$C:$C,'community %'!$B$64,'caseload data'!$D:$D,"PSO",'caseload data'!$B:$B,{"licence","community"}))/SUM(SUMIFS('caseload data'!R:R,'caseload data'!$B:$B,{"licence","community"},'caseload data'!$C:$C,'community %'!$B$64)),"")</f>
        <v/>
      </c>
      <c r="Q67" s="167" t="str">
        <f>IFERROR(SUM(SUMIFS('caseload data'!S:S,'caseload data'!$C:$C,'community %'!$B$64,'caseload data'!$D:$D,"PSO",'caseload data'!$B:$B,{"licence","community"}))/SUM(SUMIFS('caseload data'!S:S,'caseload data'!$B:$B,{"licence","community"},'caseload data'!$C:$C,'community %'!$B$64)),"")</f>
        <v/>
      </c>
      <c r="R67" s="167" t="str">
        <f>IFERROR(SUM(SUMIFS('caseload data'!T:T,'caseload data'!$C:$C,'community %'!$B$64,'caseload data'!$D:$D,"PSO",'caseload data'!$B:$B,{"licence","community"}))/SUM(SUMIFS('caseload data'!T:T,'caseload data'!$B:$B,{"licence","community"},'caseload data'!$C:$C,'community %'!$B$64)),"")</f>
        <v/>
      </c>
      <c r="S67" s="64"/>
      <c r="T67" s="97" t="s">
        <v>952</v>
      </c>
      <c r="U67" s="167" t="str">
        <f>IFERROR(SUM(SUMIFS('caseload data'!E:E,'caseload data'!$C:$C,'community %'!$T$64,'caseload data'!$D:$D,"PSO",'caseload data'!$B:$B,{"licence","community"}))/SUM(SUMIFS('caseload data'!E:E,'caseload data'!$B:$B,{"licence","community"},'caseload data'!$C:$C,'community %'!$T$64)),"")</f>
        <v/>
      </c>
      <c r="V67" s="167" t="str">
        <f>IFERROR(SUM(SUMIFS('caseload data'!F:F,'caseload data'!$C:$C,'community %'!$T$64,'caseload data'!$D:$D,"PSO",'caseload data'!$B:$B,{"licence","community"}))/SUM(SUMIFS('caseload data'!F:F,'caseload data'!$B:$B,{"licence","community"},'caseload data'!$C:$C,'community %'!$T$64)),"")</f>
        <v/>
      </c>
      <c r="W67" s="167" t="str">
        <f>IFERROR(SUM(SUMIFS('caseload data'!G:G,'caseload data'!$C:$C,'community %'!$T$64,'caseload data'!$D:$D,"PSO",'caseload data'!$B:$B,{"licence","community"}))/SUM(SUMIFS('caseload data'!G:G,'caseload data'!$B:$B,{"licence","community"},'caseload data'!$C:$C,'community %'!$T$64)),"")</f>
        <v/>
      </c>
      <c r="X67" s="167" t="str">
        <f>IFERROR(SUM(SUMIFS('caseload data'!H:H,'caseload data'!$C:$C,'community %'!$T$64,'caseload data'!$D:$D,"PSO",'caseload data'!$B:$B,{"licence","community"}))/SUM(SUMIFS('caseload data'!H:H,'caseload data'!$B:$B,{"licence","community"},'caseload data'!$C:$C,'community %'!$T$64)),"")</f>
        <v/>
      </c>
      <c r="Y67" s="167" t="str">
        <f>IFERROR(SUM(SUMIFS('caseload data'!I:I,'caseload data'!$C:$C,'community %'!$T$64,'caseload data'!$D:$D,"PSO",'caseload data'!$B:$B,{"licence","community"}))/SUM(SUMIFS('caseload data'!I:I,'caseload data'!$B:$B,{"licence","community"},'caseload data'!$C:$C,'community %'!$T$64)),"")</f>
        <v/>
      </c>
      <c r="Z67" s="167" t="str">
        <f>IFERROR(SUM(SUMIFS('caseload data'!J:J,'caseload data'!$C:$C,'community %'!$T$64,'caseload data'!$D:$D,"PSO",'caseload data'!$B:$B,{"licence","community"}))/SUM(SUMIFS('caseload data'!J:J,'caseload data'!$B:$B,{"licence","community"},'caseload data'!$C:$C,'community %'!$T$64)),"")</f>
        <v/>
      </c>
      <c r="AA67" s="167" t="str">
        <f>IFERROR(SUM(SUMIFS('caseload data'!K:K,'caseload data'!$C:$C,'community %'!$T$64,'caseload data'!$D:$D,"PSO",'caseload data'!$B:$B,{"licence","community"}))/SUM(SUMIFS('caseload data'!K:K,'caseload data'!$B:$B,{"licence","community"},'caseload data'!$C:$C,'community %'!$T$64)),"")</f>
        <v/>
      </c>
      <c r="AB67" s="167" t="str">
        <f>IFERROR(SUM(SUMIFS('caseload data'!L:L,'caseload data'!$C:$C,'community %'!$T$64,'caseload data'!$D:$D,"PSO",'caseload data'!$B:$B,{"licence","community"}))/SUM(SUMIFS('caseload data'!L:L,'caseload data'!$B:$B,{"licence","community"},'caseload data'!$C:$C,'community %'!$T$64)),"")</f>
        <v/>
      </c>
      <c r="AC67" s="167" t="str">
        <f>IFERROR(SUM(SUMIFS('caseload data'!M:M,'caseload data'!$C:$C,'community %'!$T$64,'caseload data'!$D:$D,"PSO",'caseload data'!$B:$B,{"licence","community"}))/SUM(SUMIFS('caseload data'!M:M,'caseload data'!$B:$B,{"licence","community"},'caseload data'!$C:$C,'community %'!$T$64)),"")</f>
        <v/>
      </c>
      <c r="AD67" s="167" t="str">
        <f>IFERROR(SUM(SUMIFS('caseload data'!N:N,'caseload data'!$C:$C,'community %'!$T$64,'caseload data'!$D:$D,"PSO",'caseload data'!$B:$B,{"licence","community"}))/SUM(SUMIFS('caseload data'!N:N,'caseload data'!$B:$B,{"licence","community"},'caseload data'!$C:$C,'community %'!$T$64)),"")</f>
        <v/>
      </c>
      <c r="AE67" s="167" t="str">
        <f>IFERROR(SUM(SUMIFS('caseload data'!O:O,'caseload data'!$C:$C,'community %'!$T$64,'caseload data'!$D:$D,"PSO",'caseload data'!$B:$B,{"licence","community"}))/SUM(SUMIFS('caseload data'!O:O,'caseload data'!$B:$B,{"licence","community"},'caseload data'!$C:$C,'community %'!$T$64)),"")</f>
        <v/>
      </c>
      <c r="AF67" s="167" t="str">
        <f>IFERROR(SUM(SUMIFS('caseload data'!P:P,'caseload data'!$C:$C,'community %'!$T$64,'caseload data'!$D:$D,"PSO",'caseload data'!$B:$B,{"licence","community"}))/SUM(SUMIFS('caseload data'!P:P,'caseload data'!$B:$B,{"licence","community"},'caseload data'!$C:$C,'community %'!$T$64)),"")</f>
        <v/>
      </c>
      <c r="AG67" s="167" t="str">
        <f>IFERROR(SUM(SUMIFS('caseload data'!Q:Q,'caseload data'!$C:$C,'community %'!$T$64,'caseload data'!$D:$D,"PSO",'caseload data'!$B:$B,{"licence","community"}))/SUM(SUMIFS('caseload data'!Q:Q,'caseload data'!$B:$B,{"licence","community"},'caseload data'!$C:$C,'community %'!$T$64)),"")</f>
        <v/>
      </c>
      <c r="AH67" s="167" t="str">
        <f>IFERROR(SUM(SUMIFS('caseload data'!R:R,'caseload data'!$C:$C,'community %'!$T$64,'caseload data'!$D:$D,"PSO",'caseload data'!$B:$B,{"licence","community"}))/SUM(SUMIFS('caseload data'!R:R,'caseload data'!$B:$B,{"licence","community"},'caseload data'!$C:$C,'community %'!$T$64)),"")</f>
        <v/>
      </c>
      <c r="AI67" s="167" t="str">
        <f>IFERROR(SUM(SUMIFS('caseload data'!S:S,'caseload data'!$C:$C,'community %'!$T$64,'caseload data'!$D:$D,"PSO",'caseload data'!$B:$B,{"licence","community"}))/SUM(SUMIFS('caseload data'!S:S,'caseload data'!$B:$B,{"licence","community"},'caseload data'!$C:$C,'community %'!$T$64)),"")</f>
        <v/>
      </c>
      <c r="AJ67" s="167" t="str">
        <f>IFERROR(SUM(SUMIFS('caseload data'!T:T,'caseload data'!$C:$C,'community %'!$T$64,'caseload data'!$D:$D,"PSO",'caseload data'!$B:$B,{"licence","community"}))/SUM(SUMIFS('caseload data'!T:T,'caseload data'!$B:$B,{"licence","community"},'caseload data'!$C:$C,'community %'!$T$64)),"")</f>
        <v/>
      </c>
    </row>
    <row r="68" spans="2:36" x14ac:dyDescent="0.15">
      <c r="B68" s="97" t="s">
        <v>953</v>
      </c>
      <c r="C68" s="167" t="str">
        <f>IFERROR(SUM(SUMIFS('caseload data'!E:E,'caseload data'!$C:$C,'community %'!$B$64,'caseload data'!$D:$D,"TPO",'caseload data'!$B:$B,{"licence","community"}))/SUM(SUMIFS('caseload data'!E:E,'caseload data'!$B:$B,{"licence","community"},'caseload data'!$C:$C,'community %'!$B$64)),"")</f>
        <v/>
      </c>
      <c r="D68" s="167" t="str">
        <f>IFERROR(SUM(SUMIFS('caseload data'!F:F,'caseload data'!$C:$C,'community %'!$B$64,'caseload data'!$D:$D,"TPO",'caseload data'!$B:$B,{"licence","community"}))/SUM(SUMIFS('caseload data'!F:F,'caseload data'!$B:$B,{"licence","community"},'caseload data'!$C:$C,'community %'!$B$64)),"")</f>
        <v/>
      </c>
      <c r="E68" s="167" t="str">
        <f>IFERROR(SUM(SUMIFS('caseload data'!G:G,'caseload data'!$C:$C,'community %'!$B$64,'caseload data'!$D:$D,"TPO",'caseload data'!$B:$B,{"licence","community"}))/SUM(SUMIFS('caseload data'!G:G,'caseload data'!$B:$B,{"licence","community"},'caseload data'!$C:$C,'community %'!$B$64)),"")</f>
        <v/>
      </c>
      <c r="F68" s="167" t="str">
        <f>IFERROR(SUM(SUMIFS('caseload data'!H:H,'caseload data'!$C:$C,'community %'!$B$64,'caseload data'!$D:$D,"TPO",'caseload data'!$B:$B,{"licence","community"}))/SUM(SUMIFS('caseload data'!H:H,'caseload data'!$B:$B,{"licence","community"},'caseload data'!$C:$C,'community %'!$B$64)),"")</f>
        <v/>
      </c>
      <c r="G68" s="167" t="str">
        <f>IFERROR(SUM(SUMIFS('caseload data'!I:I,'caseload data'!$C:$C,'community %'!$B$64,'caseload data'!$D:$D,"TPO",'caseload data'!$B:$B,{"licence","community"}))/SUM(SUMIFS('caseload data'!I:I,'caseload data'!$B:$B,{"licence","community"},'caseload data'!$C:$C,'community %'!$B$64)),"")</f>
        <v/>
      </c>
      <c r="H68" s="167" t="str">
        <f>IFERROR(SUM(SUMIFS('caseload data'!J:J,'caseload data'!$C:$C,'community %'!$B$64,'caseload data'!$D:$D,"TPO",'caseload data'!$B:$B,{"licence","community"}))/SUM(SUMIFS('caseload data'!J:J,'caseload data'!$B:$B,{"licence","community"},'caseload data'!$C:$C,'community %'!$B$64)),"")</f>
        <v/>
      </c>
      <c r="I68" s="167" t="str">
        <f>IFERROR(SUM(SUMIFS('caseload data'!K:K,'caseload data'!$C:$C,'community %'!$B$64,'caseload data'!$D:$D,"TPO",'caseload data'!$B:$B,{"licence","community"}))/SUM(SUMIFS('caseload data'!K:K,'caseload data'!$B:$B,{"licence","community"},'caseload data'!$C:$C,'community %'!$B$64)),"")</f>
        <v/>
      </c>
      <c r="J68" s="167" t="str">
        <f>IFERROR(SUM(SUMIFS('caseload data'!L:L,'caseload data'!$C:$C,'community %'!$B$64,'caseload data'!$D:$D,"TPO",'caseload data'!$B:$B,{"licence","community"}))/SUM(SUMIFS('caseload data'!L:L,'caseload data'!$B:$B,{"licence","community"},'caseload data'!$C:$C,'community %'!$B$64)),"")</f>
        <v/>
      </c>
      <c r="K68" s="167" t="str">
        <f>IFERROR(SUM(SUMIFS('caseload data'!M:M,'caseload data'!$C:$C,'community %'!$B$64,'caseload data'!$D:$D,"TPO",'caseload data'!$B:$B,{"licence","community"}))/SUM(SUMIFS('caseload data'!M:M,'caseload data'!$B:$B,{"licence","community"},'caseload data'!$C:$C,'community %'!$B$64)),"")</f>
        <v/>
      </c>
      <c r="L68" s="167" t="str">
        <f>IFERROR(SUM(SUMIFS('caseload data'!N:N,'caseload data'!$C:$C,'community %'!$B$64,'caseload data'!$D:$D,"TPO",'caseload data'!$B:$B,{"licence","community"}))/SUM(SUMIFS('caseload data'!N:N,'caseload data'!$B:$B,{"licence","community"},'caseload data'!$C:$C,'community %'!$B$64)),"")</f>
        <v/>
      </c>
      <c r="M68" s="167" t="str">
        <f>IFERROR(SUM(SUMIFS('caseload data'!O:O,'caseload data'!$C:$C,'community %'!$B$64,'caseload data'!$D:$D,"TPO",'caseload data'!$B:$B,{"licence","community"}))/SUM(SUMIFS('caseload data'!O:O,'caseload data'!$B:$B,{"licence","community"},'caseload data'!$C:$C,'community %'!$B$64)),"")</f>
        <v/>
      </c>
      <c r="N68" s="167" t="str">
        <f>IFERROR(SUM(SUMIFS('caseload data'!P:P,'caseload data'!$C:$C,'community %'!$B$64,'caseload data'!$D:$D,"TPO",'caseload data'!$B:$B,{"licence","community"}))/SUM(SUMIFS('caseload data'!P:P,'caseload data'!$B:$B,{"licence","community"},'caseload data'!$C:$C,'community %'!$B$64)),"")</f>
        <v/>
      </c>
      <c r="O68" s="167" t="str">
        <f>IFERROR(SUM(SUMIFS('caseload data'!Q:Q,'caseload data'!$C:$C,'community %'!$B$64,'caseload data'!$D:$D,"TPO",'caseload data'!$B:$B,{"licence","community"}))/SUM(SUMIFS('caseload data'!Q:Q,'caseload data'!$B:$B,{"licence","community"},'caseload data'!$C:$C,'community %'!$B$64)),"")</f>
        <v/>
      </c>
      <c r="P68" s="167" t="str">
        <f>IFERROR(SUM(SUMIFS('caseload data'!R:R,'caseload data'!$C:$C,'community %'!$B$64,'caseload data'!$D:$D,"TPO",'caseload data'!$B:$B,{"licence","community"}))/SUM(SUMIFS('caseload data'!R:R,'caseload data'!$B:$B,{"licence","community"},'caseload data'!$C:$C,'community %'!$B$64)),"")</f>
        <v/>
      </c>
      <c r="Q68" s="167" t="str">
        <f>IFERROR(SUM(SUMIFS('caseload data'!S:S,'caseload data'!$C:$C,'community %'!$B$64,'caseload data'!$D:$D,"TPO",'caseload data'!$B:$B,{"licence","community"}))/SUM(SUMIFS('caseload data'!S:S,'caseload data'!$B:$B,{"licence","community"},'caseload data'!$C:$C,'community %'!$B$64)),"")</f>
        <v/>
      </c>
      <c r="R68" s="167" t="str">
        <f>IFERROR(SUM(SUMIFS('caseload data'!T:T,'caseload data'!$C:$C,'community %'!$B$64,'caseload data'!$D:$D,"TPO",'caseload data'!$B:$B,{"licence","community"}))/SUM(SUMIFS('caseload data'!T:T,'caseload data'!$B:$B,{"licence","community"},'caseload data'!$C:$C,'community %'!$B$64)),"")</f>
        <v/>
      </c>
      <c r="S68" s="64"/>
      <c r="T68" s="97" t="s">
        <v>953</v>
      </c>
      <c r="U68" s="167" t="str">
        <f>IFERROR(SUM(SUMIFS('caseload data'!E:E,'caseload data'!$C:$C,'community %'!$T$64,'caseload data'!$D:$D,"TPO",'caseload data'!$B:$B,{"licence","community"}))/SUM(SUMIFS('caseload data'!E:E,'caseload data'!$B:$B,{"licence","community"},'caseload data'!$C:$C,'community %'!$T$64)),"")</f>
        <v/>
      </c>
      <c r="V68" s="167" t="str">
        <f>IFERROR(SUM(SUMIFS('caseload data'!F:F,'caseload data'!$C:$C,'community %'!$T$64,'caseload data'!$D:$D,"TPO",'caseload data'!$B:$B,{"licence","community"}))/SUM(SUMIFS('caseload data'!F:F,'caseload data'!$B:$B,{"licence","community"},'caseload data'!$C:$C,'community %'!$T$64)),"")</f>
        <v/>
      </c>
      <c r="W68" s="167" t="str">
        <f>IFERROR(SUM(SUMIFS('caseload data'!G:G,'caseload data'!$C:$C,'community %'!$T$64,'caseload data'!$D:$D,"TPO",'caseload data'!$B:$B,{"licence","community"}))/SUM(SUMIFS('caseload data'!G:G,'caseload data'!$B:$B,{"licence","community"},'caseload data'!$C:$C,'community %'!$T$64)),"")</f>
        <v/>
      </c>
      <c r="X68" s="167" t="str">
        <f>IFERROR(SUM(SUMIFS('caseload data'!H:H,'caseload data'!$C:$C,'community %'!$T$64,'caseload data'!$D:$D,"TPO",'caseload data'!$B:$B,{"licence","community"}))/SUM(SUMIFS('caseload data'!H:H,'caseload data'!$B:$B,{"licence","community"},'caseload data'!$C:$C,'community %'!$T$64)),"")</f>
        <v/>
      </c>
      <c r="Y68" s="167" t="str">
        <f>IFERROR(SUM(SUMIFS('caseload data'!I:I,'caseload data'!$C:$C,'community %'!$T$64,'caseload data'!$D:$D,"TPO",'caseload data'!$B:$B,{"licence","community"}))/SUM(SUMIFS('caseload data'!I:I,'caseload data'!$B:$B,{"licence","community"},'caseload data'!$C:$C,'community %'!$T$64)),"")</f>
        <v/>
      </c>
      <c r="Z68" s="167" t="str">
        <f>IFERROR(SUM(SUMIFS('caseload data'!J:J,'caseload data'!$C:$C,'community %'!$T$64,'caseload data'!$D:$D,"TPO",'caseload data'!$B:$B,{"licence","community"}))/SUM(SUMIFS('caseload data'!J:J,'caseload data'!$B:$B,{"licence","community"},'caseload data'!$C:$C,'community %'!$T$64)),"")</f>
        <v/>
      </c>
      <c r="AA68" s="167" t="str">
        <f>IFERROR(SUM(SUMIFS('caseload data'!K:K,'caseload data'!$C:$C,'community %'!$T$64,'caseload data'!$D:$D,"TPO",'caseload data'!$B:$B,{"licence","community"}))/SUM(SUMIFS('caseload data'!K:K,'caseload data'!$B:$B,{"licence","community"},'caseload data'!$C:$C,'community %'!$T$64)),"")</f>
        <v/>
      </c>
      <c r="AB68" s="167" t="str">
        <f>IFERROR(SUM(SUMIFS('caseload data'!L:L,'caseload data'!$C:$C,'community %'!$T$64,'caseload data'!$D:$D,"TPO",'caseload data'!$B:$B,{"licence","community"}))/SUM(SUMIFS('caseload data'!L:L,'caseload data'!$B:$B,{"licence","community"},'caseload data'!$C:$C,'community %'!$T$64)),"")</f>
        <v/>
      </c>
      <c r="AC68" s="167" t="str">
        <f>IFERROR(SUM(SUMIFS('caseload data'!M:M,'caseload data'!$C:$C,'community %'!$T$64,'caseload data'!$D:$D,"TPO",'caseload data'!$B:$B,{"licence","community"}))/SUM(SUMIFS('caseload data'!M:M,'caseload data'!$B:$B,{"licence","community"},'caseload data'!$C:$C,'community %'!$T$64)),"")</f>
        <v/>
      </c>
      <c r="AD68" s="167" t="str">
        <f>IFERROR(SUM(SUMIFS('caseload data'!N:N,'caseload data'!$C:$C,'community %'!$T$64,'caseload data'!$D:$D,"TPO",'caseload data'!$B:$B,{"licence","community"}))/SUM(SUMIFS('caseload data'!N:N,'caseload data'!$B:$B,{"licence","community"},'caseload data'!$C:$C,'community %'!$T$64)),"")</f>
        <v/>
      </c>
      <c r="AE68" s="167" t="str">
        <f>IFERROR(SUM(SUMIFS('caseload data'!O:O,'caseload data'!$C:$C,'community %'!$T$64,'caseload data'!$D:$D,"TPO",'caseload data'!$B:$B,{"licence","community"}))/SUM(SUMIFS('caseload data'!O:O,'caseload data'!$B:$B,{"licence","community"},'caseload data'!$C:$C,'community %'!$T$64)),"")</f>
        <v/>
      </c>
      <c r="AF68" s="167" t="str">
        <f>IFERROR(SUM(SUMIFS('caseload data'!P:P,'caseload data'!$C:$C,'community %'!$T$64,'caseload data'!$D:$D,"TPO",'caseload data'!$B:$B,{"licence","community"}))/SUM(SUMIFS('caseload data'!P:P,'caseload data'!$B:$B,{"licence","community"},'caseload data'!$C:$C,'community %'!$T$64)),"")</f>
        <v/>
      </c>
      <c r="AG68" s="167" t="str">
        <f>IFERROR(SUM(SUMIFS('caseload data'!Q:Q,'caseload data'!$C:$C,'community %'!$T$64,'caseload data'!$D:$D,"TPO",'caseload data'!$B:$B,{"licence","community"}))/SUM(SUMIFS('caseload data'!Q:Q,'caseload data'!$B:$B,{"licence","community"},'caseload data'!$C:$C,'community %'!$T$64)),"")</f>
        <v/>
      </c>
      <c r="AH68" s="167" t="str">
        <f>IFERROR(SUM(SUMIFS('caseload data'!R:R,'caseload data'!$C:$C,'community %'!$T$64,'caseload data'!$D:$D,"TPO",'caseload data'!$B:$B,{"licence","community"}))/SUM(SUMIFS('caseload data'!R:R,'caseload data'!$B:$B,{"licence","community"},'caseload data'!$C:$C,'community %'!$T$64)),"")</f>
        <v/>
      </c>
      <c r="AI68" s="167" t="str">
        <f>IFERROR(SUM(SUMIFS('caseload data'!S:S,'caseload data'!$C:$C,'community %'!$T$64,'caseload data'!$D:$D,"TPO",'caseload data'!$B:$B,{"licence","community"}))/SUM(SUMIFS('caseload data'!S:S,'caseload data'!$B:$B,{"licence","community"},'caseload data'!$C:$C,'community %'!$T$64)),"")</f>
        <v/>
      </c>
      <c r="AJ68" s="167" t="str">
        <f>IFERROR(SUM(SUMIFS('caseload data'!T:T,'caseload data'!$C:$C,'community %'!$T$64,'caseload data'!$D:$D,"TPO",'caseload data'!$B:$B,{"licence","community"}))/SUM(SUMIFS('caseload data'!T:T,'caseload data'!$B:$B,{"licence","community"},'caseload data'!$C:$C,'community %'!$T$64)),"")</f>
        <v/>
      </c>
    </row>
    <row r="69" spans="2:36" x14ac:dyDescent="0.15">
      <c r="B69" s="98" t="s">
        <v>954</v>
      </c>
      <c r="C69" s="167" t="str">
        <f>IFERROR(SUM(SUMIFS('caseload data'!E:E,'caseload data'!$C:$C,'community %'!$B$64,'caseload data'!$D:$D,"SPO",'caseload data'!$B:$B,{"licence","community"}))/SUM(SUMIFS('caseload data'!E:E,'caseload data'!$B:$B,{"licence","community"},'caseload data'!$C:$C,'community %'!$B$64)),"")</f>
        <v/>
      </c>
      <c r="D69" s="167" t="str">
        <f>IFERROR(SUM(SUMIFS('caseload data'!F:F,'caseload data'!$C:$C,'community %'!$B$64,'caseload data'!$D:$D,"SPO",'caseload data'!$B:$B,{"licence","community"}))/SUM(SUMIFS('caseload data'!F:F,'caseload data'!$B:$B,{"licence","community"},'caseload data'!$C:$C,'community %'!$B$64)),"")</f>
        <v/>
      </c>
      <c r="E69" s="167" t="str">
        <f>IFERROR(SUM(SUMIFS('caseload data'!G:G,'caseload data'!$C:$C,'community %'!$B$64,'caseload data'!$D:$D,"SPO",'caseload data'!$B:$B,{"licence","community"}))/SUM(SUMIFS('caseload data'!G:G,'caseload data'!$B:$B,{"licence","community"},'caseload data'!$C:$C,'community %'!$B$64)),"")</f>
        <v/>
      </c>
      <c r="F69" s="167" t="str">
        <f>IFERROR(SUM(SUMIFS('caseload data'!H:H,'caseload data'!$C:$C,'community %'!$B$64,'caseload data'!$D:$D,"SPO",'caseload data'!$B:$B,{"licence","community"}))/SUM(SUMIFS('caseload data'!H:H,'caseload data'!$B:$B,{"licence","community"},'caseload data'!$C:$C,'community %'!$B$64)),"")</f>
        <v/>
      </c>
      <c r="G69" s="167" t="str">
        <f>IFERROR(SUM(SUMIFS('caseload data'!I:I,'caseload data'!$C:$C,'community %'!$B$64,'caseload data'!$D:$D,"SPO",'caseload data'!$B:$B,{"licence","community"}))/SUM(SUMIFS('caseload data'!I:I,'caseload data'!$B:$B,{"licence","community"},'caseload data'!$C:$C,'community %'!$B$64)),"")</f>
        <v/>
      </c>
      <c r="H69" s="167" t="str">
        <f>IFERROR(SUM(SUMIFS('caseload data'!J:J,'caseload data'!$C:$C,'community %'!$B$64,'caseload data'!$D:$D,"SPO",'caseload data'!$B:$B,{"licence","community"}))/SUM(SUMIFS('caseload data'!J:J,'caseload data'!$B:$B,{"licence","community"},'caseload data'!$C:$C,'community %'!$B$64)),"")</f>
        <v/>
      </c>
      <c r="I69" s="167" t="str">
        <f>IFERROR(SUM(SUMIFS('caseload data'!K:K,'caseload data'!$C:$C,'community %'!$B$64,'caseload data'!$D:$D,"SPO",'caseload data'!$B:$B,{"licence","community"}))/SUM(SUMIFS('caseload data'!K:K,'caseload data'!$B:$B,{"licence","community"},'caseload data'!$C:$C,'community %'!$B$64)),"")</f>
        <v/>
      </c>
      <c r="J69" s="167" t="str">
        <f>IFERROR(SUM(SUMIFS('caseload data'!L:L,'caseload data'!$C:$C,'community %'!$B$64,'caseload data'!$D:$D,"SPO",'caseload data'!$B:$B,{"licence","community"}))/SUM(SUMIFS('caseload data'!L:L,'caseload data'!$B:$B,{"licence","community"},'caseload data'!$C:$C,'community %'!$B$64)),"")</f>
        <v/>
      </c>
      <c r="K69" s="167" t="str">
        <f>IFERROR(SUM(SUMIFS('caseload data'!M:M,'caseload data'!$C:$C,'community %'!$B$64,'caseload data'!$D:$D,"SPO",'caseload data'!$B:$B,{"licence","community"}))/SUM(SUMIFS('caseload data'!M:M,'caseload data'!$B:$B,{"licence","community"},'caseload data'!$C:$C,'community %'!$B$64)),"")</f>
        <v/>
      </c>
      <c r="L69" s="167" t="str">
        <f>IFERROR(SUM(SUMIFS('caseload data'!N:N,'caseload data'!$C:$C,'community %'!$B$64,'caseload data'!$D:$D,"SPO",'caseload data'!$B:$B,{"licence","community"}))/SUM(SUMIFS('caseload data'!N:N,'caseload data'!$B:$B,{"licence","community"},'caseload data'!$C:$C,'community %'!$B$64)),"")</f>
        <v/>
      </c>
      <c r="M69" s="167" t="str">
        <f>IFERROR(SUM(SUMIFS('caseload data'!O:O,'caseload data'!$C:$C,'community %'!$B$64,'caseload data'!$D:$D,"SPO",'caseload data'!$B:$B,{"licence","community"}))/SUM(SUMIFS('caseload data'!O:O,'caseload data'!$B:$B,{"licence","community"},'caseload data'!$C:$C,'community %'!$B$64)),"")</f>
        <v/>
      </c>
      <c r="N69" s="167" t="str">
        <f>IFERROR(SUM(SUMIFS('caseload data'!P:P,'caseload data'!$C:$C,'community %'!$B$64,'caseload data'!$D:$D,"SPO",'caseload data'!$B:$B,{"licence","community"}))/SUM(SUMIFS('caseload data'!P:P,'caseload data'!$B:$B,{"licence","community"},'caseload data'!$C:$C,'community %'!$B$64)),"")</f>
        <v/>
      </c>
      <c r="O69" s="167" t="str">
        <f>IFERROR(SUM(SUMIFS('caseload data'!Q:Q,'caseload data'!$C:$C,'community %'!$B$64,'caseload data'!$D:$D,"SPO",'caseload data'!$B:$B,{"licence","community"}))/SUM(SUMIFS('caseload data'!Q:Q,'caseload data'!$B:$B,{"licence","community"},'caseload data'!$C:$C,'community %'!$B$64)),"")</f>
        <v/>
      </c>
      <c r="P69" s="167" t="str">
        <f>IFERROR(SUM(SUMIFS('caseload data'!R:R,'caseload data'!$C:$C,'community %'!$B$64,'caseload data'!$D:$D,"SPO",'caseload data'!$B:$B,{"licence","community"}))/SUM(SUMIFS('caseload data'!R:R,'caseload data'!$B:$B,{"licence","community"},'caseload data'!$C:$C,'community %'!$B$64)),"")</f>
        <v/>
      </c>
      <c r="Q69" s="167" t="str">
        <f>IFERROR(SUM(SUMIFS('caseload data'!S:S,'caseload data'!$C:$C,'community %'!$B$64,'caseload data'!$D:$D,"SPO",'caseload data'!$B:$B,{"licence","community"}))/SUM(SUMIFS('caseload data'!S:S,'caseload data'!$B:$B,{"licence","community"},'caseload data'!$C:$C,'community %'!$B$64)),"")</f>
        <v/>
      </c>
      <c r="R69" s="167" t="str">
        <f>IFERROR(SUM(SUMIFS('caseload data'!T:T,'caseload data'!$C:$C,'community %'!$B$64,'caseload data'!$D:$D,"SPO",'caseload data'!$B:$B,{"licence","community"}))/SUM(SUMIFS('caseload data'!T:T,'caseload data'!$B:$B,{"licence","community"},'caseload data'!$C:$C,'community %'!$B$64)),"")</f>
        <v/>
      </c>
      <c r="S69" s="64"/>
      <c r="T69" s="98" t="s">
        <v>954</v>
      </c>
      <c r="U69" s="167" t="str">
        <f>IFERROR(SUM(SUMIFS('caseload data'!E:E,'caseload data'!$C:$C,'community %'!$T$64,'caseload data'!$D:$D,"SPO",'caseload data'!$B:$B,{"licence","community"}))/SUM(SUMIFS('caseload data'!E:E,'caseload data'!$B:$B,{"licence","community"},'caseload data'!$C:$C,'community %'!$T$64)),"")</f>
        <v/>
      </c>
      <c r="V69" s="167" t="str">
        <f>IFERROR(SUM(SUMIFS('caseload data'!F:F,'caseload data'!$C:$C,'community %'!$T$64,'caseload data'!$D:$D,"SPO",'caseload data'!$B:$B,{"licence","community"}))/SUM(SUMIFS('caseload data'!F:F,'caseload data'!$B:$B,{"licence","community"},'caseload data'!$C:$C,'community %'!$T$64)),"")</f>
        <v/>
      </c>
      <c r="W69" s="167" t="str">
        <f>IFERROR(SUM(SUMIFS('caseload data'!G:G,'caseload data'!$C:$C,'community %'!$T$64,'caseload data'!$D:$D,"SPO",'caseload data'!$B:$B,{"licence","community"}))/SUM(SUMIFS('caseload data'!G:G,'caseload data'!$B:$B,{"licence","community"},'caseload data'!$C:$C,'community %'!$T$64)),"")</f>
        <v/>
      </c>
      <c r="X69" s="167" t="str">
        <f>IFERROR(SUM(SUMIFS('caseload data'!H:H,'caseload data'!$C:$C,'community %'!$T$64,'caseload data'!$D:$D,"SPO",'caseload data'!$B:$B,{"licence","community"}))/SUM(SUMIFS('caseload data'!H:H,'caseload data'!$B:$B,{"licence","community"},'caseload data'!$C:$C,'community %'!$T$64)),"")</f>
        <v/>
      </c>
      <c r="Y69" s="167" t="str">
        <f>IFERROR(SUM(SUMIFS('caseload data'!I:I,'caseload data'!$C:$C,'community %'!$T$64,'caseload data'!$D:$D,"SPO",'caseload data'!$B:$B,{"licence","community"}))/SUM(SUMIFS('caseload data'!I:I,'caseload data'!$B:$B,{"licence","community"},'caseload data'!$C:$C,'community %'!$T$64)),"")</f>
        <v/>
      </c>
      <c r="Z69" s="167" t="str">
        <f>IFERROR(SUM(SUMIFS('caseload data'!J:J,'caseload data'!$C:$C,'community %'!$T$64,'caseload data'!$D:$D,"SPO",'caseload data'!$B:$B,{"licence","community"}))/SUM(SUMIFS('caseload data'!J:J,'caseload data'!$B:$B,{"licence","community"},'caseload data'!$C:$C,'community %'!$T$64)),"")</f>
        <v/>
      </c>
      <c r="AA69" s="167" t="str">
        <f>IFERROR(SUM(SUMIFS('caseload data'!K:K,'caseload data'!$C:$C,'community %'!$T$64,'caseload data'!$D:$D,"SPO",'caseload data'!$B:$B,{"licence","community"}))/SUM(SUMIFS('caseload data'!K:K,'caseload data'!$B:$B,{"licence","community"},'caseload data'!$C:$C,'community %'!$T$64)),"")</f>
        <v/>
      </c>
      <c r="AB69" s="167" t="str">
        <f>IFERROR(SUM(SUMIFS('caseload data'!L:L,'caseload data'!$C:$C,'community %'!$T$64,'caseload data'!$D:$D,"SPO",'caseload data'!$B:$B,{"licence","community"}))/SUM(SUMIFS('caseload data'!L:L,'caseload data'!$B:$B,{"licence","community"},'caseload data'!$C:$C,'community %'!$T$64)),"")</f>
        <v/>
      </c>
      <c r="AC69" s="167" t="str">
        <f>IFERROR(SUM(SUMIFS('caseload data'!M:M,'caseload data'!$C:$C,'community %'!$T$64,'caseload data'!$D:$D,"SPO",'caseload data'!$B:$B,{"licence","community"}))/SUM(SUMIFS('caseload data'!M:M,'caseload data'!$B:$B,{"licence","community"},'caseload data'!$C:$C,'community %'!$T$64)),"")</f>
        <v/>
      </c>
      <c r="AD69" s="167" t="str">
        <f>IFERROR(SUM(SUMIFS('caseload data'!N:N,'caseload data'!$C:$C,'community %'!$T$64,'caseload data'!$D:$D,"SPO",'caseload data'!$B:$B,{"licence","community"}))/SUM(SUMIFS('caseload data'!N:N,'caseload data'!$B:$B,{"licence","community"},'caseload data'!$C:$C,'community %'!$T$64)),"")</f>
        <v/>
      </c>
      <c r="AE69" s="167" t="str">
        <f>IFERROR(SUM(SUMIFS('caseload data'!O:O,'caseload data'!$C:$C,'community %'!$T$64,'caseload data'!$D:$D,"SPO",'caseload data'!$B:$B,{"licence","community"}))/SUM(SUMIFS('caseload data'!O:O,'caseload data'!$B:$B,{"licence","community"},'caseload data'!$C:$C,'community %'!$T$64)),"")</f>
        <v/>
      </c>
      <c r="AF69" s="167" t="str">
        <f>IFERROR(SUM(SUMIFS('caseload data'!P:P,'caseload data'!$C:$C,'community %'!$T$64,'caseload data'!$D:$D,"SPO",'caseload data'!$B:$B,{"licence","community"}))/SUM(SUMIFS('caseload data'!P:P,'caseload data'!$B:$B,{"licence","community"},'caseload data'!$C:$C,'community %'!$T$64)),"")</f>
        <v/>
      </c>
      <c r="AG69" s="167" t="str">
        <f>IFERROR(SUM(SUMIFS('caseload data'!Q:Q,'caseload data'!$C:$C,'community %'!$T$64,'caseload data'!$D:$D,"SPO",'caseload data'!$B:$B,{"licence","community"}))/SUM(SUMIFS('caseload data'!Q:Q,'caseload data'!$B:$B,{"licence","community"},'caseload data'!$C:$C,'community %'!$T$64)),"")</f>
        <v/>
      </c>
      <c r="AH69" s="167" t="str">
        <f>IFERROR(SUM(SUMIFS('caseload data'!R:R,'caseload data'!$C:$C,'community %'!$T$64,'caseload data'!$D:$D,"SPO",'caseload data'!$B:$B,{"licence","community"}))/SUM(SUMIFS('caseload data'!R:R,'caseload data'!$B:$B,{"licence","community"},'caseload data'!$C:$C,'community %'!$T$64)),"")</f>
        <v/>
      </c>
      <c r="AI69" s="167" t="str">
        <f>IFERROR(SUM(SUMIFS('caseload data'!S:S,'caseload data'!$C:$C,'community %'!$T$64,'caseload data'!$D:$D,"SPO",'caseload data'!$B:$B,{"licence","community"}))/SUM(SUMIFS('caseload data'!S:S,'caseload data'!$B:$B,{"licence","community"},'caseload data'!$C:$C,'community %'!$T$64)),"")</f>
        <v/>
      </c>
      <c r="AJ69" s="167" t="str">
        <f>IFERROR(SUM(SUMIFS('caseload data'!T:T,'caseload data'!$C:$C,'community %'!$T$64,'caseload data'!$D:$D,"SPO",'caseload data'!$B:$B,{"licence","community"}))/SUM(SUMIFS('caseload data'!T:T,'caseload data'!$B:$B,{"licence","community"},'caseload data'!$C:$C,'community %'!$T$64)),"")</f>
        <v/>
      </c>
    </row>
    <row r="71" spans="2:36" ht="22.5" customHeight="1" x14ac:dyDescent="0.15">
      <c r="B71" s="288">
        <f>HLOOKUP($B$5,Region_Table,20,0)</f>
        <v>0</v>
      </c>
      <c r="C71" s="540" t="s">
        <v>1081</v>
      </c>
      <c r="D71" s="541"/>
      <c r="E71" s="541"/>
      <c r="F71" s="541"/>
      <c r="G71" s="541"/>
      <c r="H71" s="541"/>
      <c r="I71" s="541"/>
      <c r="J71" s="541"/>
      <c r="K71" s="541"/>
      <c r="L71" s="541"/>
      <c r="M71" s="570"/>
      <c r="N71" s="570"/>
      <c r="O71" s="571"/>
      <c r="P71" s="543" cm="1">
        <f t="array" ref="P71">SUM(SUMIFS('caseload data'!V:V,'caseload data'!B:B,{"licence","community"},'caseload data'!$C:$C,B71))</f>
        <v>0</v>
      </c>
      <c r="Q71" s="560"/>
      <c r="R71" s="561"/>
      <c r="T71" s="288">
        <f>HLOOKUP($B$5,Region_Table,21,0)</f>
        <v>0</v>
      </c>
      <c r="U71" s="540" t="s">
        <v>1081</v>
      </c>
      <c r="V71" s="541"/>
      <c r="W71" s="541"/>
      <c r="X71" s="541"/>
      <c r="Y71" s="541"/>
      <c r="Z71" s="541"/>
      <c r="AA71" s="541"/>
      <c r="AB71" s="541"/>
      <c r="AC71" s="541"/>
      <c r="AD71" s="541"/>
      <c r="AE71" s="570"/>
      <c r="AF71" s="570"/>
      <c r="AG71" s="571"/>
      <c r="AH71" s="543" cm="1">
        <f t="array" ref="AH71">SUM(SUMIFS('caseload data'!V:V,'caseload data'!B:B,{"licence","community"},'caseload data'!$C:$C,T71))</f>
        <v>0</v>
      </c>
      <c r="AI71" s="560"/>
      <c r="AJ71" s="561"/>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167" t="str">
        <f>IFERROR(SUM(SUMIFS('caseload data'!E:E,'caseload data'!$C:$C,'community %'!$B$71,'caseload data'!$D:$D,"PO",'caseload data'!$B:$B,{"licence","community"}))/SUM(SUMIFS('caseload data'!E:E,'caseload data'!$B:$B,{"licence","community"},'caseload data'!$C:$C,'community %'!$B$71)),"")</f>
        <v/>
      </c>
      <c r="D73" s="167" t="str">
        <f>IFERROR(SUM(SUMIFS('caseload data'!F:F,'caseload data'!$C:$C,'community %'!$B$71,'caseload data'!$D:$D,"PO",'caseload data'!$B:$B,{"licence","community"}))/SUM(SUMIFS('caseload data'!F:F,'caseload data'!$B:$B,{"licence","community"},'caseload data'!$C:$C,'community %'!$B$71)),"")</f>
        <v/>
      </c>
      <c r="E73" s="167" t="str">
        <f>IFERROR(SUM(SUMIFS('caseload data'!G:G,'caseload data'!$C:$C,'community %'!$B$71,'caseload data'!$D:$D,"PO",'caseload data'!$B:$B,{"licence","community"}))/SUM(SUMIFS('caseload data'!G:G,'caseload data'!$B:$B,{"licence","community"},'caseload data'!$C:$C,'community %'!$B$71)),"")</f>
        <v/>
      </c>
      <c r="F73" s="167" t="str">
        <f>IFERROR(SUM(SUMIFS('caseload data'!H:H,'caseload data'!$C:$C,'community %'!$B$71,'caseload data'!$D:$D,"PO",'caseload data'!$B:$B,{"licence","community"}))/SUM(SUMIFS('caseload data'!H:H,'caseload data'!$B:$B,{"licence","community"},'caseload data'!$C:$C,'community %'!$B$71)),"")</f>
        <v/>
      </c>
      <c r="G73" s="167" t="str">
        <f>IFERROR(SUM(SUMIFS('caseload data'!I:I,'caseload data'!$C:$C,'community %'!$B$71,'caseload data'!$D:$D,"PO",'caseload data'!$B:$B,{"licence","community"}))/SUM(SUMIFS('caseload data'!I:I,'caseload data'!$B:$B,{"licence","community"},'caseload data'!$C:$C,'community %'!$B$71)),"")</f>
        <v/>
      </c>
      <c r="H73" s="167" t="str">
        <f>IFERROR(SUM(SUMIFS('caseload data'!J:J,'caseload data'!$C:$C,'community %'!$B$71,'caseload data'!$D:$D,"PO",'caseload data'!$B:$B,{"licence","community"}))/SUM(SUMIFS('caseload data'!J:J,'caseload data'!$B:$B,{"licence","community"},'caseload data'!$C:$C,'community %'!$B$71)),"")</f>
        <v/>
      </c>
      <c r="I73" s="167" t="str">
        <f>IFERROR(SUM(SUMIFS('caseload data'!K:K,'caseload data'!$C:$C,'community %'!$B$71,'caseload data'!$D:$D,"PO",'caseload data'!$B:$B,{"licence","community"}))/SUM(SUMIFS('caseload data'!K:K,'caseload data'!$B:$B,{"licence","community"},'caseload data'!$C:$C,'community %'!$B$71)),"")</f>
        <v/>
      </c>
      <c r="J73" s="167" t="str">
        <f>IFERROR(SUM(SUMIFS('caseload data'!L:L,'caseload data'!$C:$C,'community %'!$B$71,'caseload data'!$D:$D,"PO",'caseload data'!$B:$B,{"licence","community"}))/SUM(SUMIFS('caseload data'!L:L,'caseload data'!$B:$B,{"licence","community"},'caseload data'!$C:$C,'community %'!$B$71)),"")</f>
        <v/>
      </c>
      <c r="K73" s="167" t="str">
        <f>IFERROR(SUM(SUMIFS('caseload data'!M:M,'caseload data'!$C:$C,'community %'!$B$71,'caseload data'!$D:$D,"PO",'caseload data'!$B:$B,{"licence","community"}))/SUM(SUMIFS('caseload data'!M:M,'caseload data'!$B:$B,{"licence","community"},'caseload data'!$C:$C,'community %'!$B$71)),"")</f>
        <v/>
      </c>
      <c r="L73" s="167" t="str">
        <f>IFERROR(SUM(SUMIFS('caseload data'!N:N,'caseload data'!$C:$C,'community %'!$B$71,'caseload data'!$D:$D,"PO",'caseload data'!$B:$B,{"licence","community"}))/SUM(SUMIFS('caseload data'!N:N,'caseload data'!$B:$B,{"licence","community"},'caseload data'!$C:$C,'community %'!$B$71)),"")</f>
        <v/>
      </c>
      <c r="M73" s="167" t="str">
        <f>IFERROR(SUM(SUMIFS('caseload data'!O:O,'caseload data'!$C:$C,'community %'!$B$71,'caseload data'!$D:$D,"PO",'caseload data'!$B:$B,{"licence","community"}))/SUM(SUMIFS('caseload data'!O:O,'caseload data'!$B:$B,{"licence","community"},'caseload data'!$C:$C,'community %'!$B$71)),"")</f>
        <v/>
      </c>
      <c r="N73" s="167" t="str">
        <f>IFERROR(SUM(SUMIFS('caseload data'!P:P,'caseload data'!$C:$C,'community %'!$B$71,'caseload data'!$D:$D,"PO",'caseload data'!$B:$B,{"licence","community"}))/SUM(SUMIFS('caseload data'!P:P,'caseload data'!$B:$B,{"licence","community"},'caseload data'!$C:$C,'community %'!$B$71)),"")</f>
        <v/>
      </c>
      <c r="O73" s="167" t="str">
        <f>IFERROR(SUM(SUMIFS('caseload data'!Q:Q,'caseload data'!$C:$C,'community %'!$B$71,'caseload data'!$D:$D,"PO",'caseload data'!$B:$B,{"licence","community"}))/SUM(SUMIFS('caseload data'!Q:Q,'caseload data'!$B:$B,{"licence","community"},'caseload data'!$C:$C,'community %'!$B$71)),"")</f>
        <v/>
      </c>
      <c r="P73" s="167" t="str">
        <f>IFERROR(SUM(SUMIFS('caseload data'!R:R,'caseload data'!$C:$C,'community %'!$B$71,'caseload data'!$D:$D,"PO",'caseload data'!$B:$B,{"licence","community"}))/SUM(SUMIFS('caseload data'!R:R,'caseload data'!$B:$B,{"licence","community"},'caseload data'!$C:$C,'community %'!$B$71)),"")</f>
        <v/>
      </c>
      <c r="Q73" s="167" t="str">
        <f>IFERROR(SUM(SUMIFS('caseload data'!S:S,'caseload data'!$C:$C,'community %'!$B$71,'caseload data'!$D:$D,"PO",'caseload data'!$B:$B,{"licence","community"}))/SUM(SUMIFS('caseload data'!S:S,'caseload data'!$B:$B,{"licence","community"},'caseload data'!$C:$C,'community %'!$B$71)),"")</f>
        <v/>
      </c>
      <c r="R73" s="167" t="str">
        <f>IFERROR(SUM(SUMIFS('caseload data'!T:T,'caseload data'!$C:$C,'community %'!$B$71,'caseload data'!$D:$D,"PO",'caseload data'!$B:$B,{"licence","community"}))/SUM(SUMIFS('caseload data'!T:T,'caseload data'!$B:$B,{"licence","community"},'caseload data'!$C:$C,'community %'!$B$71)),"")</f>
        <v/>
      </c>
      <c r="T73" s="96" t="s">
        <v>947</v>
      </c>
      <c r="U73" s="167" t="str" cm="1">
        <f t="array" ref="U73">IFERROR(SUM(SUMIFS('caseload data'!E:E,'caseload data'!$C:$C,'community %'!$T$71,'caseload data'!$D:$D,"PO",'caseload data'!$B:$B,{"licence","community"}))/SUM(SUMIFS('caseload data'!E:E,'caseload data'!$B:$B,{"licence","community"},'caseload data'!$C:$C,'community %'!$T$71)),"")</f>
        <v/>
      </c>
      <c r="V73" s="167" t="str" cm="1">
        <f t="array" ref="V73">IFERROR(SUM(SUMIFS('caseload data'!F:F,'caseload data'!$C:$C,'community %'!$T$71,'caseload data'!$D:$D,"PO",'caseload data'!$B:$B,{"licence","community"}))/SUM(SUMIFS('caseload data'!F:F,'caseload data'!$B:$B,{"licence","community"},'caseload data'!$C:$C,'community %'!$T$71)),"")</f>
        <v/>
      </c>
      <c r="W73" s="167" t="str" cm="1">
        <f t="array" ref="W73">IFERROR(SUM(SUMIFS('caseload data'!G:G,'caseload data'!$C:$C,'community %'!$T$71,'caseload data'!$D:$D,"PO",'caseload data'!$B:$B,{"licence","community"}))/SUM(SUMIFS('caseload data'!G:G,'caseload data'!$B:$B,{"licence","community"},'caseload data'!$C:$C,'community %'!$T$71)),"")</f>
        <v/>
      </c>
      <c r="X73" s="167" t="str" cm="1">
        <f t="array" ref="X73">IFERROR(SUM(SUMIFS('caseload data'!H:H,'caseload data'!$C:$C,'community %'!$T$71,'caseload data'!$D:$D,"PO",'caseload data'!$B:$B,{"licence","community"}))/SUM(SUMIFS('caseload data'!H:H,'caseload data'!$B:$B,{"licence","community"},'caseload data'!$C:$C,'community %'!$T$71)),"")</f>
        <v/>
      </c>
      <c r="Y73" s="167" t="str" cm="1">
        <f t="array" ref="Y73">IFERROR(SUM(SUMIFS('caseload data'!I:I,'caseload data'!$C:$C,'community %'!$T$71,'caseload data'!$D:$D,"PO",'caseload data'!$B:$B,{"licence","community"}))/SUM(SUMIFS('caseload data'!I:I,'caseload data'!$B:$B,{"licence","community"},'caseload data'!$C:$C,'community %'!$T$71)),"")</f>
        <v/>
      </c>
      <c r="Z73" s="167" t="str" cm="1">
        <f t="array" ref="Z73">IFERROR(SUM(SUMIFS('caseload data'!J:J,'caseload data'!$C:$C,'community %'!$T$71,'caseload data'!$D:$D,"PO",'caseload data'!$B:$B,{"licence","community"}))/SUM(SUMIFS('caseload data'!J:J,'caseload data'!$B:$B,{"licence","community"},'caseload data'!$C:$C,'community %'!$T$71)),"")</f>
        <v/>
      </c>
      <c r="AA73" s="167" t="str" cm="1">
        <f t="array" ref="AA73">IFERROR(SUM(SUMIFS('caseload data'!K:K,'caseload data'!$C:$C,'community %'!$T$71,'caseload data'!$D:$D,"PO",'caseload data'!$B:$B,{"licence","community"}))/SUM(SUMIFS('caseload data'!K:K,'caseload data'!$B:$B,{"licence","community"},'caseload data'!$C:$C,'community %'!$T$71)),"")</f>
        <v/>
      </c>
      <c r="AB73" s="167" t="str" cm="1">
        <f t="array" ref="AB73">IFERROR(SUM(SUMIFS('caseload data'!L:L,'caseload data'!$C:$C,'community %'!$T$71,'caseload data'!$D:$D,"PO",'caseload data'!$B:$B,{"licence","community"}))/SUM(SUMIFS('caseload data'!L:L,'caseload data'!$B:$B,{"licence","community"},'caseload data'!$C:$C,'community %'!$T$71)),"")</f>
        <v/>
      </c>
      <c r="AC73" s="167" t="str" cm="1">
        <f t="array" ref="AC73">IFERROR(SUM(SUMIFS('caseload data'!M:M,'caseload data'!$C:$C,'community %'!$T$71,'caseload data'!$D:$D,"PO",'caseload data'!$B:$B,{"licence","community"}))/SUM(SUMIFS('caseload data'!M:M,'caseload data'!$B:$B,{"licence","community"},'caseload data'!$C:$C,'community %'!$T$71)),"")</f>
        <v/>
      </c>
      <c r="AD73" s="167" t="str" cm="1">
        <f t="array" ref="AD73">IFERROR(SUM(SUMIFS('caseload data'!N:N,'caseload data'!$C:$C,'community %'!$T$71,'caseload data'!$D:$D,"PO",'caseload data'!$B:$B,{"licence","community"}))/SUM(SUMIFS('caseload data'!N:N,'caseload data'!$B:$B,{"licence","community"},'caseload data'!$C:$C,'community %'!$T$71)),"")</f>
        <v/>
      </c>
      <c r="AE73" s="167" t="str" cm="1">
        <f t="array" ref="AE73">IFERROR(SUM(SUMIFS('caseload data'!O:O,'caseload data'!$C:$C,'community %'!$T$71,'caseload data'!$D:$D,"PO",'caseload data'!$B:$B,{"licence","community"}))/SUM(SUMIFS('caseload data'!O:O,'caseload data'!$B:$B,{"licence","community"},'caseload data'!$C:$C,'community %'!$T$71)),"")</f>
        <v/>
      </c>
      <c r="AF73" s="167" t="str" cm="1">
        <f t="array" ref="AF73">IFERROR(SUM(SUMIFS('caseload data'!P:P,'caseload data'!$C:$C,'community %'!$T$71,'caseload data'!$D:$D,"PO",'caseload data'!$B:$B,{"licence","community"}))/SUM(SUMIFS('caseload data'!P:P,'caseload data'!$B:$B,{"licence","community"},'caseload data'!$C:$C,'community %'!$T$71)),"")</f>
        <v/>
      </c>
      <c r="AG73" s="167" t="str" cm="1">
        <f t="array" ref="AG73">IFERROR(SUM(SUMIFS('caseload data'!Q:Q,'caseload data'!$C:$C,'community %'!$T$71,'caseload data'!$D:$D,"PO",'caseload data'!$B:$B,{"licence","community"}))/SUM(SUMIFS('caseload data'!Q:Q,'caseload data'!$B:$B,{"licence","community"},'caseload data'!$C:$C,'community %'!$T$71)),"")</f>
        <v/>
      </c>
      <c r="AH73" s="167" t="str" cm="1">
        <f t="array" ref="AH73">IFERROR(SUM(SUMIFS('caseload data'!R:R,'caseload data'!$C:$C,'community %'!$T$71,'caseload data'!$D:$D,"PO",'caseload data'!$B:$B,{"licence","community"}))/SUM(SUMIFS('caseload data'!R:R,'caseload data'!$B:$B,{"licence","community"},'caseload data'!$C:$C,'community %'!$T$71)),"")</f>
        <v/>
      </c>
      <c r="AI73" s="167" t="str" cm="1">
        <f t="array" ref="AI73">IFERROR(SUM(SUMIFS('caseload data'!S:S,'caseload data'!$C:$C,'community %'!$T$71,'caseload data'!$D:$D,"PO",'caseload data'!$B:$B,{"licence","community"}))/SUM(SUMIFS('caseload data'!S:S,'caseload data'!$B:$B,{"licence","community"},'caseload data'!$C:$C,'community %'!$T$71)),"")</f>
        <v/>
      </c>
      <c r="AJ73" s="167" t="str" cm="1">
        <f t="array" ref="AJ73">IFERROR(SUM(SUMIFS('caseload data'!T:T,'caseload data'!$C:$C,'community %'!$T$71,'caseload data'!$D:$D,"PO",'caseload data'!$B:$B,{"licence","community"}))/SUM(SUMIFS('caseload data'!T:T,'caseload data'!$B:$B,{"licence","community"},'caseload data'!$C:$C,'community %'!$T$71)),"")</f>
        <v/>
      </c>
    </row>
    <row r="74" spans="2:36" x14ac:dyDescent="0.15">
      <c r="B74" s="97" t="s">
        <v>952</v>
      </c>
      <c r="C74" s="167" t="str">
        <f>IFERROR(SUM(SUMIFS('caseload data'!E:E,'caseload data'!$C:$C,'community %'!$B$71,'caseload data'!$D:$D,"PSO",'caseload data'!$B:$B,{"licence","community"}))/SUM(SUMIFS('caseload data'!E:E,'caseload data'!$B:$B,{"licence","community"},'caseload data'!$C:$C,'community %'!$B$71)),"")</f>
        <v/>
      </c>
      <c r="D74" s="167" t="str">
        <f>IFERROR(SUM(SUMIFS('caseload data'!F:F,'caseload data'!$C:$C,'community %'!$B$71,'caseload data'!$D:$D,"PSO",'caseload data'!$B:$B,{"licence","community"}))/SUM(SUMIFS('caseload data'!F:F,'caseload data'!$B:$B,{"licence","community"},'caseload data'!$C:$C,'community %'!$B$71)),"")</f>
        <v/>
      </c>
      <c r="E74" s="167" t="str">
        <f>IFERROR(SUM(SUMIFS('caseload data'!G:G,'caseload data'!$C:$C,'community %'!$B$71,'caseload data'!$D:$D,"PSO",'caseload data'!$B:$B,{"licence","community"}))/SUM(SUMIFS('caseload data'!G:G,'caseload data'!$B:$B,{"licence","community"},'caseload data'!$C:$C,'community %'!$B$71)),"")</f>
        <v/>
      </c>
      <c r="F74" s="167" t="str">
        <f>IFERROR(SUM(SUMIFS('caseload data'!H:H,'caseload data'!$C:$C,'community %'!$B$71,'caseload data'!$D:$D,"PSO",'caseload data'!$B:$B,{"licence","community"}))/SUM(SUMIFS('caseload data'!H:H,'caseload data'!$B:$B,{"licence","community"},'caseload data'!$C:$C,'community %'!$B$71)),"")</f>
        <v/>
      </c>
      <c r="G74" s="167" t="str">
        <f>IFERROR(SUM(SUMIFS('caseload data'!I:I,'caseload data'!$C:$C,'community %'!$B$71,'caseload data'!$D:$D,"PSO",'caseload data'!$B:$B,{"licence","community"}))/SUM(SUMIFS('caseload data'!I:I,'caseload data'!$B:$B,{"licence","community"},'caseload data'!$C:$C,'community %'!$B$71)),"")</f>
        <v/>
      </c>
      <c r="H74" s="167" t="str">
        <f>IFERROR(SUM(SUMIFS('caseload data'!J:J,'caseload data'!$C:$C,'community %'!$B$71,'caseload data'!$D:$D,"PSO",'caseload data'!$B:$B,{"licence","community"}))/SUM(SUMIFS('caseload data'!J:J,'caseload data'!$B:$B,{"licence","community"},'caseload data'!$C:$C,'community %'!$B$71)),"")</f>
        <v/>
      </c>
      <c r="I74" s="167" t="str">
        <f>IFERROR(SUM(SUMIFS('caseload data'!K:K,'caseload data'!$C:$C,'community %'!$B$71,'caseload data'!$D:$D,"PSO",'caseload data'!$B:$B,{"licence","community"}))/SUM(SUMIFS('caseload data'!K:K,'caseload data'!$B:$B,{"licence","community"},'caseload data'!$C:$C,'community %'!$B$71)),"")</f>
        <v/>
      </c>
      <c r="J74" s="167" t="str">
        <f>IFERROR(SUM(SUMIFS('caseload data'!L:L,'caseload data'!$C:$C,'community %'!$B$71,'caseload data'!$D:$D,"PSO",'caseload data'!$B:$B,{"licence","community"}))/SUM(SUMIFS('caseload data'!L:L,'caseload data'!$B:$B,{"licence","community"},'caseload data'!$C:$C,'community %'!$B$71)),"")</f>
        <v/>
      </c>
      <c r="K74" s="167" t="str">
        <f>IFERROR(SUM(SUMIFS('caseload data'!M:M,'caseload data'!$C:$C,'community %'!$B$71,'caseload data'!$D:$D,"PSO",'caseload data'!$B:$B,{"licence","community"}))/SUM(SUMIFS('caseload data'!M:M,'caseload data'!$B:$B,{"licence","community"},'caseload data'!$C:$C,'community %'!$B$71)),"")</f>
        <v/>
      </c>
      <c r="L74" s="167" t="str">
        <f>IFERROR(SUM(SUMIFS('caseload data'!N:N,'caseload data'!$C:$C,'community %'!$B$71,'caseload data'!$D:$D,"PSO",'caseload data'!$B:$B,{"licence","community"}))/SUM(SUMIFS('caseload data'!N:N,'caseload data'!$B:$B,{"licence","community"},'caseload data'!$C:$C,'community %'!$B$71)),"")</f>
        <v/>
      </c>
      <c r="M74" s="167" t="str">
        <f>IFERROR(SUM(SUMIFS('caseload data'!O:O,'caseload data'!$C:$C,'community %'!$B$71,'caseload data'!$D:$D,"PSO",'caseload data'!$B:$B,{"licence","community"}))/SUM(SUMIFS('caseload data'!O:O,'caseload data'!$B:$B,{"licence","community"},'caseload data'!$C:$C,'community %'!$B$71)),"")</f>
        <v/>
      </c>
      <c r="N74" s="167" t="str">
        <f>IFERROR(SUM(SUMIFS('caseload data'!P:P,'caseload data'!$C:$C,'community %'!$B$71,'caseload data'!$D:$D,"PSO",'caseload data'!$B:$B,{"licence","community"}))/SUM(SUMIFS('caseload data'!P:P,'caseload data'!$B:$B,{"licence","community"},'caseload data'!$C:$C,'community %'!$B$71)),"")</f>
        <v/>
      </c>
      <c r="O74" s="167" t="str">
        <f>IFERROR(SUM(SUMIFS('caseload data'!Q:Q,'caseload data'!$C:$C,'community %'!$B$71,'caseload data'!$D:$D,"PSO",'caseload data'!$B:$B,{"licence","community"}))/SUM(SUMIFS('caseload data'!Q:Q,'caseload data'!$B:$B,{"licence","community"},'caseload data'!$C:$C,'community %'!$B$71)),"")</f>
        <v/>
      </c>
      <c r="P74" s="167" t="str">
        <f>IFERROR(SUM(SUMIFS('caseload data'!R:R,'caseload data'!$C:$C,'community %'!$B$71,'caseload data'!$D:$D,"PSO",'caseload data'!$B:$B,{"licence","community"}))/SUM(SUMIFS('caseload data'!R:R,'caseload data'!$B:$B,{"licence","community"},'caseload data'!$C:$C,'community %'!$B$71)),"")</f>
        <v/>
      </c>
      <c r="Q74" s="167" t="str">
        <f>IFERROR(SUM(SUMIFS('caseload data'!S:S,'caseload data'!$C:$C,'community %'!$B$71,'caseload data'!$D:$D,"PSO",'caseload data'!$B:$B,{"licence","community"}))/SUM(SUMIFS('caseload data'!S:S,'caseload data'!$B:$B,{"licence","community"},'caseload data'!$C:$C,'community %'!$B$71)),"")</f>
        <v/>
      </c>
      <c r="R74" s="167" t="str">
        <f>IFERROR(SUM(SUMIFS('caseload data'!T:T,'caseload data'!$C:$C,'community %'!$B$71,'caseload data'!$D:$D,"PSO",'caseload data'!$B:$B,{"licence","community"}))/SUM(SUMIFS('caseload data'!T:T,'caseload data'!$B:$B,{"licence","community"},'caseload data'!$C:$C,'community %'!$B$71)),"")</f>
        <v/>
      </c>
      <c r="T74" s="97" t="s">
        <v>952</v>
      </c>
      <c r="U74" s="167" t="str" cm="1">
        <f t="array" ref="U74">IFERROR(SUM(SUMIFS('caseload data'!E:E,'caseload data'!$C:$C,'community %'!$T$71,'caseload data'!$D:$D,"PSO",'caseload data'!$B:$B,{"licence","community"}))/SUM(SUMIFS('caseload data'!E:E,'caseload data'!$B:$B,{"licence","community"},'caseload data'!$C:$C,'community %'!$T$71)),"")</f>
        <v/>
      </c>
      <c r="V74" s="167" t="str" cm="1">
        <f t="array" ref="V74">IFERROR(SUM(SUMIFS('caseload data'!F:F,'caseload data'!$C:$C,'community %'!$T$71,'caseload data'!$D:$D,"PSO",'caseload data'!$B:$B,{"licence","community"}))/SUM(SUMIFS('caseload data'!F:F,'caseload data'!$B:$B,{"licence","community"},'caseload data'!$C:$C,'community %'!$T$71)),"")</f>
        <v/>
      </c>
      <c r="W74" s="167" t="str" cm="1">
        <f t="array" ref="W74">IFERROR(SUM(SUMIFS('caseload data'!G:G,'caseload data'!$C:$C,'community %'!$T$71,'caseload data'!$D:$D,"PSO",'caseload data'!$B:$B,{"licence","community"}))/SUM(SUMIFS('caseload data'!G:G,'caseload data'!$B:$B,{"licence","community"},'caseload data'!$C:$C,'community %'!$T$71)),"")</f>
        <v/>
      </c>
      <c r="X74" s="167" t="str" cm="1">
        <f t="array" ref="X74">IFERROR(SUM(SUMIFS('caseload data'!H:H,'caseload data'!$C:$C,'community %'!$T$71,'caseload data'!$D:$D,"PSO",'caseload data'!$B:$B,{"licence","community"}))/SUM(SUMIFS('caseload data'!H:H,'caseload data'!$B:$B,{"licence","community"},'caseload data'!$C:$C,'community %'!$T$71)),"")</f>
        <v/>
      </c>
      <c r="Y74" s="167" t="str" cm="1">
        <f t="array" ref="Y74">IFERROR(SUM(SUMIFS('caseload data'!I:I,'caseload data'!$C:$C,'community %'!$T$71,'caseload data'!$D:$D,"PSO",'caseload data'!$B:$B,{"licence","community"}))/SUM(SUMIFS('caseload data'!I:I,'caseload data'!$B:$B,{"licence","community"},'caseload data'!$C:$C,'community %'!$T$71)),"")</f>
        <v/>
      </c>
      <c r="Z74" s="167" t="str" cm="1">
        <f t="array" ref="Z74">IFERROR(SUM(SUMIFS('caseload data'!J:J,'caseload data'!$C:$C,'community %'!$T$71,'caseload data'!$D:$D,"PSO",'caseload data'!$B:$B,{"licence","community"}))/SUM(SUMIFS('caseload data'!J:J,'caseload data'!$B:$B,{"licence","community"},'caseload data'!$C:$C,'community %'!$T$71)),"")</f>
        <v/>
      </c>
      <c r="AA74" s="167" t="str" cm="1">
        <f t="array" ref="AA74">IFERROR(SUM(SUMIFS('caseload data'!K:K,'caseload data'!$C:$C,'community %'!$T$71,'caseload data'!$D:$D,"PSO",'caseload data'!$B:$B,{"licence","community"}))/SUM(SUMIFS('caseload data'!K:K,'caseload data'!$B:$B,{"licence","community"},'caseload data'!$C:$C,'community %'!$T$71)),"")</f>
        <v/>
      </c>
      <c r="AB74" s="167" t="str" cm="1">
        <f t="array" ref="AB74">IFERROR(SUM(SUMIFS('caseload data'!L:L,'caseload data'!$C:$C,'community %'!$T$71,'caseload data'!$D:$D,"PSO",'caseload data'!$B:$B,{"licence","community"}))/SUM(SUMIFS('caseload data'!L:L,'caseload data'!$B:$B,{"licence","community"},'caseload data'!$C:$C,'community %'!$T$71)),"")</f>
        <v/>
      </c>
      <c r="AC74" s="167" t="str" cm="1">
        <f t="array" ref="AC74">IFERROR(SUM(SUMIFS('caseload data'!M:M,'caseload data'!$C:$C,'community %'!$T$71,'caseload data'!$D:$D,"PSO",'caseload data'!$B:$B,{"licence","community"}))/SUM(SUMIFS('caseload data'!M:M,'caseload data'!$B:$B,{"licence","community"},'caseload data'!$C:$C,'community %'!$T$71)),"")</f>
        <v/>
      </c>
      <c r="AD74" s="167" t="str" cm="1">
        <f t="array" ref="AD74">IFERROR(SUM(SUMIFS('caseload data'!N:N,'caseload data'!$C:$C,'community %'!$T$71,'caseload data'!$D:$D,"PSO",'caseload data'!$B:$B,{"licence","community"}))/SUM(SUMIFS('caseload data'!N:N,'caseload data'!$B:$B,{"licence","community"},'caseload data'!$C:$C,'community %'!$T$71)),"")</f>
        <v/>
      </c>
      <c r="AE74" s="167" t="str" cm="1">
        <f t="array" ref="AE74">IFERROR(SUM(SUMIFS('caseload data'!O:O,'caseload data'!$C:$C,'community %'!$T$71,'caseload data'!$D:$D,"PSO",'caseload data'!$B:$B,{"licence","community"}))/SUM(SUMIFS('caseload data'!O:O,'caseload data'!$B:$B,{"licence","community"},'caseload data'!$C:$C,'community %'!$T$71)),"")</f>
        <v/>
      </c>
      <c r="AF74" s="167" t="str" cm="1">
        <f t="array" ref="AF74">IFERROR(SUM(SUMIFS('caseload data'!P:P,'caseload data'!$C:$C,'community %'!$T$71,'caseload data'!$D:$D,"PSO",'caseload data'!$B:$B,{"licence","community"}))/SUM(SUMIFS('caseload data'!P:P,'caseload data'!$B:$B,{"licence","community"},'caseload data'!$C:$C,'community %'!$T$71)),"")</f>
        <v/>
      </c>
      <c r="AG74" s="167" t="str" cm="1">
        <f t="array" ref="AG74">IFERROR(SUM(SUMIFS('caseload data'!Q:Q,'caseload data'!$C:$C,'community %'!$T$71,'caseload data'!$D:$D,"PSO",'caseload data'!$B:$B,{"licence","community"}))/SUM(SUMIFS('caseload data'!Q:Q,'caseload data'!$B:$B,{"licence","community"},'caseload data'!$C:$C,'community %'!$T$71)),"")</f>
        <v/>
      </c>
      <c r="AH74" s="167" t="str" cm="1">
        <f t="array" ref="AH74">IFERROR(SUM(SUMIFS('caseload data'!R:R,'caseload data'!$C:$C,'community %'!$T$71,'caseload data'!$D:$D,"PSO",'caseload data'!$B:$B,{"licence","community"}))/SUM(SUMIFS('caseload data'!R:R,'caseload data'!$B:$B,{"licence","community"},'caseload data'!$C:$C,'community %'!$T$71)),"")</f>
        <v/>
      </c>
      <c r="AI74" s="167" t="str" cm="1">
        <f t="array" ref="AI74">IFERROR(SUM(SUMIFS('caseload data'!S:S,'caseload data'!$C:$C,'community %'!$T$71,'caseload data'!$D:$D,"PSO",'caseload data'!$B:$B,{"licence","community"}))/SUM(SUMIFS('caseload data'!S:S,'caseload data'!$B:$B,{"licence","community"},'caseload data'!$C:$C,'community %'!$T$71)),"")</f>
        <v/>
      </c>
      <c r="AJ74" s="167" t="str" cm="1">
        <f t="array" ref="AJ74">IFERROR(SUM(SUMIFS('caseload data'!T:T,'caseload data'!$C:$C,'community %'!$T$71,'caseload data'!$D:$D,"PSO",'caseload data'!$B:$B,{"licence","community"}))/SUM(SUMIFS('caseload data'!T:T,'caseload data'!$B:$B,{"licence","community"},'caseload data'!$C:$C,'community %'!$T$71)),"")</f>
        <v/>
      </c>
    </row>
    <row r="75" spans="2:36" x14ac:dyDescent="0.15">
      <c r="B75" s="97" t="s">
        <v>953</v>
      </c>
      <c r="C75" s="167" t="str">
        <f>IFERROR(SUM(SUMIFS('caseload data'!E:E,'caseload data'!$C:$C,'community %'!$B$71,'caseload data'!$D:$D,"TPO",'caseload data'!$B:$B,{"licence","community"}))/SUM(SUMIFS('caseload data'!E:E,'caseload data'!$B:$B,{"licence","community"},'caseload data'!$C:$C,'community %'!$B$71)),"")</f>
        <v/>
      </c>
      <c r="D75" s="167" t="str">
        <f>IFERROR(SUM(SUMIFS('caseload data'!F:F,'caseload data'!$C:$C,'community %'!$B$71,'caseload data'!$D:$D,"TPO",'caseload data'!$B:$B,{"licence","community"}))/SUM(SUMIFS('caseload data'!F:F,'caseload data'!$B:$B,{"licence","community"},'caseload data'!$C:$C,'community %'!$B$71)),"")</f>
        <v/>
      </c>
      <c r="E75" s="167" t="str">
        <f>IFERROR(SUM(SUMIFS('caseload data'!G:G,'caseload data'!$C:$C,'community %'!$B$71,'caseload data'!$D:$D,"TPO",'caseload data'!$B:$B,{"licence","community"}))/SUM(SUMIFS('caseload data'!G:G,'caseload data'!$B:$B,{"licence","community"},'caseload data'!$C:$C,'community %'!$B$71)),"")</f>
        <v/>
      </c>
      <c r="F75" s="167" t="str">
        <f>IFERROR(SUM(SUMIFS('caseload data'!H:H,'caseload data'!$C:$C,'community %'!$B$71,'caseload data'!$D:$D,"TPO",'caseload data'!$B:$B,{"licence","community"}))/SUM(SUMIFS('caseload data'!H:H,'caseload data'!$B:$B,{"licence","community"},'caseload data'!$C:$C,'community %'!$B$71)),"")</f>
        <v/>
      </c>
      <c r="G75" s="167" t="str">
        <f>IFERROR(SUM(SUMIFS('caseload data'!I:I,'caseload data'!$C:$C,'community %'!$B$71,'caseload data'!$D:$D,"TPO",'caseload data'!$B:$B,{"licence","community"}))/SUM(SUMIFS('caseload data'!I:I,'caseload data'!$B:$B,{"licence","community"},'caseload data'!$C:$C,'community %'!$B$71)),"")</f>
        <v/>
      </c>
      <c r="H75" s="167" t="str">
        <f>IFERROR(SUM(SUMIFS('caseload data'!J:J,'caseload data'!$C:$C,'community %'!$B$71,'caseload data'!$D:$D,"TPO",'caseload data'!$B:$B,{"licence","community"}))/SUM(SUMIFS('caseload data'!J:J,'caseload data'!$B:$B,{"licence","community"},'caseload data'!$C:$C,'community %'!$B$71)),"")</f>
        <v/>
      </c>
      <c r="I75" s="167" t="str">
        <f>IFERROR(SUM(SUMIFS('caseload data'!K:K,'caseload data'!$C:$C,'community %'!$B$71,'caseload data'!$D:$D,"TPO",'caseload data'!$B:$B,{"licence","community"}))/SUM(SUMIFS('caseload data'!K:K,'caseload data'!$B:$B,{"licence","community"},'caseload data'!$C:$C,'community %'!$B$71)),"")</f>
        <v/>
      </c>
      <c r="J75" s="167" t="str">
        <f>IFERROR(SUM(SUMIFS('caseload data'!L:L,'caseload data'!$C:$C,'community %'!$B$71,'caseload data'!$D:$D,"TPO",'caseload data'!$B:$B,{"licence","community"}))/SUM(SUMIFS('caseload data'!L:L,'caseload data'!$B:$B,{"licence","community"},'caseload data'!$C:$C,'community %'!$B$71)),"")</f>
        <v/>
      </c>
      <c r="K75" s="167" t="str">
        <f>IFERROR(SUM(SUMIFS('caseload data'!M:M,'caseload data'!$C:$C,'community %'!$B$71,'caseload data'!$D:$D,"TPO",'caseload data'!$B:$B,{"licence","community"}))/SUM(SUMIFS('caseload data'!M:M,'caseload data'!$B:$B,{"licence","community"},'caseload data'!$C:$C,'community %'!$B$71)),"")</f>
        <v/>
      </c>
      <c r="L75" s="167" t="str">
        <f>IFERROR(SUM(SUMIFS('caseload data'!N:N,'caseload data'!$C:$C,'community %'!$B$71,'caseload data'!$D:$D,"TPO",'caseload data'!$B:$B,{"licence","community"}))/SUM(SUMIFS('caseload data'!N:N,'caseload data'!$B:$B,{"licence","community"},'caseload data'!$C:$C,'community %'!$B$71)),"")</f>
        <v/>
      </c>
      <c r="M75" s="167" t="str">
        <f>IFERROR(SUM(SUMIFS('caseload data'!O:O,'caseload data'!$C:$C,'community %'!$B$71,'caseload data'!$D:$D,"TPO",'caseload data'!$B:$B,{"licence","community"}))/SUM(SUMIFS('caseload data'!O:O,'caseload data'!$B:$B,{"licence","community"},'caseload data'!$C:$C,'community %'!$B$71)),"")</f>
        <v/>
      </c>
      <c r="N75" s="167" t="str">
        <f>IFERROR(SUM(SUMIFS('caseload data'!P:P,'caseload data'!$C:$C,'community %'!$B$71,'caseload data'!$D:$D,"TPO",'caseload data'!$B:$B,{"licence","community"}))/SUM(SUMIFS('caseload data'!P:P,'caseload data'!$B:$B,{"licence","community"},'caseload data'!$C:$C,'community %'!$B$71)),"")</f>
        <v/>
      </c>
      <c r="O75" s="167" t="str">
        <f>IFERROR(SUM(SUMIFS('caseload data'!Q:Q,'caseload data'!$C:$C,'community %'!$B$71,'caseload data'!$D:$D,"TPO",'caseload data'!$B:$B,{"licence","community"}))/SUM(SUMIFS('caseload data'!Q:Q,'caseload data'!$B:$B,{"licence","community"},'caseload data'!$C:$C,'community %'!$B$71)),"")</f>
        <v/>
      </c>
      <c r="P75" s="167" t="str">
        <f>IFERROR(SUM(SUMIFS('caseload data'!R:R,'caseload data'!$C:$C,'community %'!$B$71,'caseload data'!$D:$D,"TPO",'caseload data'!$B:$B,{"licence","community"}))/SUM(SUMIFS('caseload data'!R:R,'caseload data'!$B:$B,{"licence","community"},'caseload data'!$C:$C,'community %'!$B$71)),"")</f>
        <v/>
      </c>
      <c r="Q75" s="167" t="str">
        <f>IFERROR(SUM(SUMIFS('caseload data'!S:S,'caseload data'!$C:$C,'community %'!$B$71,'caseload data'!$D:$D,"TPO",'caseload data'!$B:$B,{"licence","community"}))/SUM(SUMIFS('caseload data'!S:S,'caseload data'!$B:$B,{"licence","community"},'caseload data'!$C:$C,'community %'!$B$71)),"")</f>
        <v/>
      </c>
      <c r="R75" s="167" t="str">
        <f>IFERROR(SUM(SUMIFS('caseload data'!T:T,'caseload data'!$C:$C,'community %'!$B$71,'caseload data'!$D:$D,"TPO",'caseload data'!$B:$B,{"licence","community"}))/SUM(SUMIFS('caseload data'!T:T,'caseload data'!$B:$B,{"licence","community"},'caseload data'!$C:$C,'community %'!$B$71)),"")</f>
        <v/>
      </c>
      <c r="T75" s="97" t="s">
        <v>953</v>
      </c>
      <c r="U75" s="167" t="str" cm="1">
        <f t="array" ref="U75">IFERROR(SUM(SUMIFS('caseload data'!E:E,'caseload data'!$C:$C,'community %'!$T$71,'caseload data'!$D:$D,"TPO",'caseload data'!$B:$B,{"licence","community"}))/SUM(SUMIFS('caseload data'!E:E,'caseload data'!$B:$B,{"licence","community"},'caseload data'!$C:$C,'community %'!$T$71)),"")</f>
        <v/>
      </c>
      <c r="V75" s="167" t="str" cm="1">
        <f t="array" ref="V75">IFERROR(SUM(SUMIFS('caseload data'!F:F,'caseload data'!$C:$C,'community %'!$T$71,'caseload data'!$D:$D,"TPO",'caseload data'!$B:$B,{"licence","community"}))/SUM(SUMIFS('caseload data'!F:F,'caseload data'!$B:$B,{"licence","community"},'caseload data'!$C:$C,'community %'!$T$71)),"")</f>
        <v/>
      </c>
      <c r="W75" s="167" t="str" cm="1">
        <f t="array" ref="W75">IFERROR(SUM(SUMIFS('caseload data'!G:G,'caseload data'!$C:$C,'community %'!$T$71,'caseload data'!$D:$D,"TPO",'caseload data'!$B:$B,{"licence","community"}))/SUM(SUMIFS('caseload data'!G:G,'caseload data'!$B:$B,{"licence","community"},'caseload data'!$C:$C,'community %'!$T$71)),"")</f>
        <v/>
      </c>
      <c r="X75" s="167" t="str" cm="1">
        <f t="array" ref="X75">IFERROR(SUM(SUMIFS('caseload data'!H:H,'caseload data'!$C:$C,'community %'!$T$71,'caseload data'!$D:$D,"TPO",'caseload data'!$B:$B,{"licence","community"}))/SUM(SUMIFS('caseload data'!H:H,'caseload data'!$B:$B,{"licence","community"},'caseload data'!$C:$C,'community %'!$T$71)),"")</f>
        <v/>
      </c>
      <c r="Y75" s="167" t="str" cm="1">
        <f t="array" ref="Y75">IFERROR(SUM(SUMIFS('caseload data'!I:I,'caseload data'!$C:$C,'community %'!$T$71,'caseload data'!$D:$D,"TPO",'caseload data'!$B:$B,{"licence","community"}))/SUM(SUMIFS('caseload data'!I:I,'caseload data'!$B:$B,{"licence","community"},'caseload data'!$C:$C,'community %'!$T$71)),"")</f>
        <v/>
      </c>
      <c r="Z75" s="167" t="str" cm="1">
        <f t="array" ref="Z75">IFERROR(SUM(SUMIFS('caseload data'!J:J,'caseload data'!$C:$C,'community %'!$T$71,'caseload data'!$D:$D,"TPO",'caseload data'!$B:$B,{"licence","community"}))/SUM(SUMIFS('caseload data'!J:J,'caseload data'!$B:$B,{"licence","community"},'caseload data'!$C:$C,'community %'!$T$71)),"")</f>
        <v/>
      </c>
      <c r="AA75" s="167" t="str" cm="1">
        <f t="array" ref="AA75">IFERROR(SUM(SUMIFS('caseload data'!K:K,'caseload data'!$C:$C,'community %'!$T$71,'caseload data'!$D:$D,"TPO",'caseload data'!$B:$B,{"licence","community"}))/SUM(SUMIFS('caseload data'!K:K,'caseload data'!$B:$B,{"licence","community"},'caseload data'!$C:$C,'community %'!$T$71)),"")</f>
        <v/>
      </c>
      <c r="AB75" s="167" t="str" cm="1">
        <f t="array" ref="AB75">IFERROR(SUM(SUMIFS('caseload data'!L:L,'caseload data'!$C:$C,'community %'!$T$71,'caseload data'!$D:$D,"TPO",'caseload data'!$B:$B,{"licence","community"}))/SUM(SUMIFS('caseload data'!L:L,'caseload data'!$B:$B,{"licence","community"},'caseload data'!$C:$C,'community %'!$T$71)),"")</f>
        <v/>
      </c>
      <c r="AC75" s="167" t="str" cm="1">
        <f t="array" ref="AC75">IFERROR(SUM(SUMIFS('caseload data'!M:M,'caseload data'!$C:$C,'community %'!$T$71,'caseload data'!$D:$D,"TPO",'caseload data'!$B:$B,{"licence","community"}))/SUM(SUMIFS('caseload data'!M:M,'caseload data'!$B:$B,{"licence","community"},'caseload data'!$C:$C,'community %'!$T$71)),"")</f>
        <v/>
      </c>
      <c r="AD75" s="167" t="str" cm="1">
        <f t="array" ref="AD75">IFERROR(SUM(SUMIFS('caseload data'!N:N,'caseload data'!$C:$C,'community %'!$T$71,'caseload data'!$D:$D,"TPO",'caseload data'!$B:$B,{"licence","community"}))/SUM(SUMIFS('caseload data'!N:N,'caseload data'!$B:$B,{"licence","community"},'caseload data'!$C:$C,'community %'!$T$71)),"")</f>
        <v/>
      </c>
      <c r="AE75" s="167" t="str" cm="1">
        <f t="array" ref="AE75">IFERROR(SUM(SUMIFS('caseload data'!O:O,'caseload data'!$C:$C,'community %'!$T$71,'caseload data'!$D:$D,"TPO",'caseload data'!$B:$B,{"licence","community"}))/SUM(SUMIFS('caseload data'!O:O,'caseload data'!$B:$B,{"licence","community"},'caseload data'!$C:$C,'community %'!$T$71)),"")</f>
        <v/>
      </c>
      <c r="AF75" s="167" t="str" cm="1">
        <f t="array" ref="AF75">IFERROR(SUM(SUMIFS('caseload data'!P:P,'caseload data'!$C:$C,'community %'!$T$71,'caseload data'!$D:$D,"TPO",'caseload data'!$B:$B,{"licence","community"}))/SUM(SUMIFS('caseload data'!P:P,'caseload data'!$B:$B,{"licence","community"},'caseload data'!$C:$C,'community %'!$T$71)),"")</f>
        <v/>
      </c>
      <c r="AG75" s="167" t="str" cm="1">
        <f t="array" ref="AG75">IFERROR(SUM(SUMIFS('caseload data'!Q:Q,'caseload data'!$C:$C,'community %'!$T$71,'caseload data'!$D:$D,"TPO",'caseload data'!$B:$B,{"licence","community"}))/SUM(SUMIFS('caseload data'!Q:Q,'caseload data'!$B:$B,{"licence","community"},'caseload data'!$C:$C,'community %'!$T$71)),"")</f>
        <v/>
      </c>
      <c r="AH75" s="167" t="str" cm="1">
        <f t="array" ref="AH75">IFERROR(SUM(SUMIFS('caseload data'!R:R,'caseload data'!$C:$C,'community %'!$T$71,'caseload data'!$D:$D,"TPO",'caseload data'!$B:$B,{"licence","community"}))/SUM(SUMIFS('caseload data'!R:R,'caseload data'!$B:$B,{"licence","community"},'caseload data'!$C:$C,'community %'!$T$71)),"")</f>
        <v/>
      </c>
      <c r="AI75" s="167" t="str" cm="1">
        <f t="array" ref="AI75">IFERROR(SUM(SUMIFS('caseload data'!S:S,'caseload data'!$C:$C,'community %'!$T$71,'caseload data'!$D:$D,"TPO",'caseload data'!$B:$B,{"licence","community"}))/SUM(SUMIFS('caseload data'!S:S,'caseload data'!$B:$B,{"licence","community"},'caseload data'!$C:$C,'community %'!$T$71)),"")</f>
        <v/>
      </c>
      <c r="AJ75" s="167" t="str" cm="1">
        <f t="array" ref="AJ75">IFERROR(SUM(SUMIFS('caseload data'!T:T,'caseload data'!$C:$C,'community %'!$T$71,'caseload data'!$D:$D,"TPO",'caseload data'!$B:$B,{"licence","community"}))/SUM(SUMIFS('caseload data'!T:T,'caseload data'!$B:$B,{"licence","community"},'caseload data'!$C:$C,'community %'!$T$71)),"")</f>
        <v/>
      </c>
    </row>
    <row r="76" spans="2:36" x14ac:dyDescent="0.15">
      <c r="B76" s="98" t="s">
        <v>954</v>
      </c>
      <c r="C76" s="167" t="str">
        <f>IFERROR(SUM(SUMIFS('caseload data'!E:E,'caseload data'!$C:$C,'community %'!$B$71,'caseload data'!$D:$D,"SPO",'caseload data'!$B:$B,{"licence","community"}))/SUM(SUMIFS('caseload data'!E:E,'caseload data'!$B:$B,{"licence","community"},'caseload data'!$C:$C,'community %'!$B$71)),"")</f>
        <v/>
      </c>
      <c r="D76" s="167" t="str">
        <f>IFERROR(SUM(SUMIFS('caseload data'!F:F,'caseload data'!$C:$C,'community %'!$B$71,'caseload data'!$D:$D,"SPO",'caseload data'!$B:$B,{"licence","community"}))/SUM(SUMIFS('caseload data'!F:F,'caseload data'!$B:$B,{"licence","community"},'caseload data'!$C:$C,'community %'!$B$71)),"")</f>
        <v/>
      </c>
      <c r="E76" s="167" t="str">
        <f>IFERROR(SUM(SUMIFS('caseload data'!G:G,'caseload data'!$C:$C,'community %'!$B$71,'caseload data'!$D:$D,"SPO",'caseload data'!$B:$B,{"licence","community"}))/SUM(SUMIFS('caseload data'!G:G,'caseload data'!$B:$B,{"licence","community"},'caseload data'!$C:$C,'community %'!$B$71)),"")</f>
        <v/>
      </c>
      <c r="F76" s="167" t="str">
        <f>IFERROR(SUM(SUMIFS('caseload data'!H:H,'caseload data'!$C:$C,'community %'!$B$71,'caseload data'!$D:$D,"SPO",'caseload data'!$B:$B,{"licence","community"}))/SUM(SUMIFS('caseload data'!H:H,'caseload data'!$B:$B,{"licence","community"},'caseload data'!$C:$C,'community %'!$B$71)),"")</f>
        <v/>
      </c>
      <c r="G76" s="167" t="str">
        <f>IFERROR(SUM(SUMIFS('caseload data'!I:I,'caseload data'!$C:$C,'community %'!$B$71,'caseload data'!$D:$D,"SPO",'caseload data'!$B:$B,{"licence","community"}))/SUM(SUMIFS('caseload data'!I:I,'caseload data'!$B:$B,{"licence","community"},'caseload data'!$C:$C,'community %'!$B$71)),"")</f>
        <v/>
      </c>
      <c r="H76" s="167" t="str">
        <f>IFERROR(SUM(SUMIFS('caseload data'!J:J,'caseload data'!$C:$C,'community %'!$B$71,'caseload data'!$D:$D,"SPO",'caseload data'!$B:$B,{"licence","community"}))/SUM(SUMIFS('caseload data'!J:J,'caseload data'!$B:$B,{"licence","community"},'caseload data'!$C:$C,'community %'!$B$71)),"")</f>
        <v/>
      </c>
      <c r="I76" s="167" t="str">
        <f>IFERROR(SUM(SUMIFS('caseload data'!K:K,'caseload data'!$C:$C,'community %'!$B$71,'caseload data'!$D:$D,"SPO",'caseload data'!$B:$B,{"licence","community"}))/SUM(SUMIFS('caseload data'!K:K,'caseload data'!$B:$B,{"licence","community"},'caseload data'!$C:$C,'community %'!$B$71)),"")</f>
        <v/>
      </c>
      <c r="J76" s="167" t="str">
        <f>IFERROR(SUM(SUMIFS('caseload data'!L:L,'caseload data'!$C:$C,'community %'!$B$71,'caseload data'!$D:$D,"SPO",'caseload data'!$B:$B,{"licence","community"}))/SUM(SUMIFS('caseload data'!L:L,'caseload data'!$B:$B,{"licence","community"},'caseload data'!$C:$C,'community %'!$B$71)),"")</f>
        <v/>
      </c>
      <c r="K76" s="167" t="str">
        <f>IFERROR(SUM(SUMIFS('caseload data'!M:M,'caseload data'!$C:$C,'community %'!$B$71,'caseload data'!$D:$D,"SPO",'caseload data'!$B:$B,{"licence","community"}))/SUM(SUMIFS('caseload data'!M:M,'caseload data'!$B:$B,{"licence","community"},'caseload data'!$C:$C,'community %'!$B$71)),"")</f>
        <v/>
      </c>
      <c r="L76" s="167" t="str">
        <f>IFERROR(SUM(SUMIFS('caseload data'!N:N,'caseload data'!$C:$C,'community %'!$B$71,'caseload data'!$D:$D,"SPO",'caseload data'!$B:$B,{"licence","community"}))/SUM(SUMIFS('caseload data'!N:N,'caseload data'!$B:$B,{"licence","community"},'caseload data'!$C:$C,'community %'!$B$71)),"")</f>
        <v/>
      </c>
      <c r="M76" s="167" t="str">
        <f>IFERROR(SUM(SUMIFS('caseload data'!O:O,'caseload data'!$C:$C,'community %'!$B$71,'caseload data'!$D:$D,"SPO",'caseload data'!$B:$B,{"licence","community"}))/SUM(SUMIFS('caseload data'!O:O,'caseload data'!$B:$B,{"licence","community"},'caseload data'!$C:$C,'community %'!$B$71)),"")</f>
        <v/>
      </c>
      <c r="N76" s="167" t="str">
        <f>IFERROR(SUM(SUMIFS('caseload data'!P:P,'caseload data'!$C:$C,'community %'!$B$71,'caseload data'!$D:$D,"SPO",'caseload data'!$B:$B,{"licence","community"}))/SUM(SUMIFS('caseload data'!P:P,'caseload data'!$B:$B,{"licence","community"},'caseload data'!$C:$C,'community %'!$B$71)),"")</f>
        <v/>
      </c>
      <c r="O76" s="167" t="str">
        <f>IFERROR(SUM(SUMIFS('caseload data'!Q:Q,'caseload data'!$C:$C,'community %'!$B$71,'caseload data'!$D:$D,"SPO",'caseload data'!$B:$B,{"licence","community"}))/SUM(SUMIFS('caseload data'!Q:Q,'caseload data'!$B:$B,{"licence","community"},'caseload data'!$C:$C,'community %'!$B$71)),"")</f>
        <v/>
      </c>
      <c r="P76" s="167" t="str">
        <f>IFERROR(SUM(SUMIFS('caseload data'!R:R,'caseload data'!$C:$C,'community %'!$B$71,'caseload data'!$D:$D,"SPO",'caseload data'!$B:$B,{"licence","community"}))/SUM(SUMIFS('caseload data'!R:R,'caseload data'!$B:$B,{"licence","community"},'caseload data'!$C:$C,'community %'!$B$71)),"")</f>
        <v/>
      </c>
      <c r="Q76" s="167" t="str">
        <f>IFERROR(SUM(SUMIFS('caseload data'!S:S,'caseload data'!$C:$C,'community %'!$B$71,'caseload data'!$D:$D,"SPO",'caseload data'!$B:$B,{"licence","community"}))/SUM(SUMIFS('caseload data'!S:S,'caseload data'!$B:$B,{"licence","community"},'caseload data'!$C:$C,'community %'!$B$71)),"")</f>
        <v/>
      </c>
      <c r="R76" s="167" t="str">
        <f>IFERROR(SUM(SUMIFS('caseload data'!T:T,'caseload data'!$C:$C,'community %'!$B$71,'caseload data'!$D:$D,"SPO",'caseload data'!$B:$B,{"licence","community"}))/SUM(SUMIFS('caseload data'!T:T,'caseload data'!$B:$B,{"licence","community"},'caseload data'!$C:$C,'community %'!$B$71)),"")</f>
        <v/>
      </c>
      <c r="T76" s="98" t="s">
        <v>954</v>
      </c>
      <c r="U76" s="167" t="str" cm="1">
        <f t="array" ref="U76">IFERROR(SUM(SUMIFS('caseload data'!E:E,'caseload data'!$C:$C,'community %'!$T$71,'caseload data'!$D:$D,"SPO",'caseload data'!$B:$B,{"licence","community"}))/SUM(SUMIFS('caseload data'!E:E,'caseload data'!$B:$B,{"licence","community"},'caseload data'!$C:$C,'community %'!$T$71)),"")</f>
        <v/>
      </c>
      <c r="V76" s="167" t="str" cm="1">
        <f t="array" ref="V76">IFERROR(SUM(SUMIFS('caseload data'!F:F,'caseload data'!$C:$C,'community %'!$T$71,'caseload data'!$D:$D,"SPO",'caseload data'!$B:$B,{"licence","community"}))/SUM(SUMIFS('caseload data'!F:F,'caseload data'!$B:$B,{"licence","community"},'caseload data'!$C:$C,'community %'!$T$71)),"")</f>
        <v/>
      </c>
      <c r="W76" s="167" t="str" cm="1">
        <f t="array" ref="W76">IFERROR(SUM(SUMIFS('caseload data'!G:G,'caseload data'!$C:$C,'community %'!$T$71,'caseload data'!$D:$D,"SPO",'caseload data'!$B:$B,{"licence","community"}))/SUM(SUMIFS('caseload data'!G:G,'caseload data'!$B:$B,{"licence","community"},'caseload data'!$C:$C,'community %'!$T$71)),"")</f>
        <v/>
      </c>
      <c r="X76" s="167" t="str" cm="1">
        <f t="array" ref="X76">IFERROR(SUM(SUMIFS('caseload data'!H:H,'caseload data'!$C:$C,'community %'!$T$71,'caseload data'!$D:$D,"SPO",'caseload data'!$B:$B,{"licence","community"}))/SUM(SUMIFS('caseload data'!H:H,'caseload data'!$B:$B,{"licence","community"},'caseload data'!$C:$C,'community %'!$T$71)),"")</f>
        <v/>
      </c>
      <c r="Y76" s="167" t="str" cm="1">
        <f t="array" ref="Y76">IFERROR(SUM(SUMIFS('caseload data'!I:I,'caseload data'!$C:$C,'community %'!$T$71,'caseload data'!$D:$D,"SPO",'caseload data'!$B:$B,{"licence","community"}))/SUM(SUMIFS('caseload data'!I:I,'caseload data'!$B:$B,{"licence","community"},'caseload data'!$C:$C,'community %'!$T$71)),"")</f>
        <v/>
      </c>
      <c r="Z76" s="167" t="str" cm="1">
        <f t="array" ref="Z76">IFERROR(SUM(SUMIFS('caseload data'!J:J,'caseload data'!$C:$C,'community %'!$T$71,'caseload data'!$D:$D,"SPO",'caseload data'!$B:$B,{"licence","community"}))/SUM(SUMIFS('caseload data'!J:J,'caseload data'!$B:$B,{"licence","community"},'caseload data'!$C:$C,'community %'!$T$71)),"")</f>
        <v/>
      </c>
      <c r="AA76" s="167" t="str" cm="1">
        <f t="array" ref="AA76">IFERROR(SUM(SUMIFS('caseload data'!K:K,'caseload data'!$C:$C,'community %'!$T$71,'caseload data'!$D:$D,"SPO",'caseload data'!$B:$B,{"licence","community"}))/SUM(SUMIFS('caseload data'!K:K,'caseload data'!$B:$B,{"licence","community"},'caseload data'!$C:$C,'community %'!$T$71)),"")</f>
        <v/>
      </c>
      <c r="AB76" s="167" t="str" cm="1">
        <f t="array" ref="AB76">IFERROR(SUM(SUMIFS('caseload data'!L:L,'caseload data'!$C:$C,'community %'!$T$71,'caseload data'!$D:$D,"SPO",'caseload data'!$B:$B,{"licence","community"}))/SUM(SUMIFS('caseload data'!L:L,'caseload data'!$B:$B,{"licence","community"},'caseload data'!$C:$C,'community %'!$T$71)),"")</f>
        <v/>
      </c>
      <c r="AC76" s="167" t="str" cm="1">
        <f t="array" ref="AC76">IFERROR(SUM(SUMIFS('caseload data'!M:M,'caseload data'!$C:$C,'community %'!$T$71,'caseload data'!$D:$D,"SPO",'caseload data'!$B:$B,{"licence","community"}))/SUM(SUMIFS('caseload data'!M:M,'caseload data'!$B:$B,{"licence","community"},'caseload data'!$C:$C,'community %'!$T$71)),"")</f>
        <v/>
      </c>
      <c r="AD76" s="167" t="str" cm="1">
        <f t="array" ref="AD76">IFERROR(SUM(SUMIFS('caseload data'!N:N,'caseload data'!$C:$C,'community %'!$T$71,'caseload data'!$D:$D,"SPO",'caseload data'!$B:$B,{"licence","community"}))/SUM(SUMIFS('caseload data'!N:N,'caseload data'!$B:$B,{"licence","community"},'caseload data'!$C:$C,'community %'!$T$71)),"")</f>
        <v/>
      </c>
      <c r="AE76" s="167" t="str" cm="1">
        <f t="array" ref="AE76">IFERROR(SUM(SUMIFS('caseload data'!O:O,'caseload data'!$C:$C,'community %'!$T$71,'caseload data'!$D:$D,"SPO",'caseload data'!$B:$B,{"licence","community"}))/SUM(SUMIFS('caseload data'!O:O,'caseload data'!$B:$B,{"licence","community"},'caseload data'!$C:$C,'community %'!$T$71)),"")</f>
        <v/>
      </c>
      <c r="AF76" s="167" t="str" cm="1">
        <f t="array" ref="AF76">IFERROR(SUM(SUMIFS('caseload data'!P:P,'caseload data'!$C:$C,'community %'!$T$71,'caseload data'!$D:$D,"SPO",'caseload data'!$B:$B,{"licence","community"}))/SUM(SUMIFS('caseload data'!P:P,'caseload data'!$B:$B,{"licence","community"},'caseload data'!$C:$C,'community %'!$T$71)),"")</f>
        <v/>
      </c>
      <c r="AG76" s="167" t="str" cm="1">
        <f t="array" ref="AG76">IFERROR(SUM(SUMIFS('caseload data'!Q:Q,'caseload data'!$C:$C,'community %'!$T$71,'caseload data'!$D:$D,"SPO",'caseload data'!$B:$B,{"licence","community"}))/SUM(SUMIFS('caseload data'!Q:Q,'caseload data'!$B:$B,{"licence","community"},'caseload data'!$C:$C,'community %'!$T$71)),"")</f>
        <v/>
      </c>
      <c r="AH76" s="167" t="str" cm="1">
        <f t="array" ref="AH76">IFERROR(SUM(SUMIFS('caseload data'!R:R,'caseload data'!$C:$C,'community %'!$T$71,'caseload data'!$D:$D,"SPO",'caseload data'!$B:$B,{"licence","community"}))/SUM(SUMIFS('caseload data'!R:R,'caseload data'!$B:$B,{"licence","community"},'caseload data'!$C:$C,'community %'!$T$71)),"")</f>
        <v/>
      </c>
      <c r="AI76" s="167" t="str" cm="1">
        <f t="array" ref="AI76">IFERROR(SUM(SUMIFS('caseload data'!S:S,'caseload data'!$C:$C,'community %'!$T$71,'caseload data'!$D:$D,"SPO",'caseload data'!$B:$B,{"licence","community"}))/SUM(SUMIFS('caseload data'!S:S,'caseload data'!$B:$B,{"licence","community"},'caseload data'!$C:$C,'community %'!$T$71)),"")</f>
        <v/>
      </c>
      <c r="AJ76" s="167"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288">
        <f>HLOOKUP($B$5,Region_Table,22,0)</f>
        <v>0</v>
      </c>
      <c r="C78" s="540" t="s">
        <v>1081</v>
      </c>
      <c r="D78" s="541"/>
      <c r="E78" s="541"/>
      <c r="F78" s="541"/>
      <c r="G78" s="541"/>
      <c r="H78" s="541"/>
      <c r="I78" s="541"/>
      <c r="J78" s="541"/>
      <c r="K78" s="541"/>
      <c r="L78" s="541"/>
      <c r="M78" s="570"/>
      <c r="N78" s="570"/>
      <c r="O78" s="571"/>
      <c r="P78" s="543" cm="1">
        <f t="array" ref="P78">SUM(SUMIFS('caseload data'!V:V,'caseload data'!B:B,{"licence","community"},'caseload data'!$C:$C,B78))</f>
        <v>0</v>
      </c>
      <c r="Q78" s="560"/>
      <c r="R78" s="561"/>
      <c r="T78" s="288">
        <f>HLOOKUP($B$5,Region_Table,23,0)</f>
        <v>0</v>
      </c>
      <c r="U78" s="540" t="s">
        <v>1081</v>
      </c>
      <c r="V78" s="541"/>
      <c r="W78" s="541"/>
      <c r="X78" s="541"/>
      <c r="Y78" s="541"/>
      <c r="Z78" s="541"/>
      <c r="AA78" s="541"/>
      <c r="AB78" s="541"/>
      <c r="AC78" s="541"/>
      <c r="AD78" s="541"/>
      <c r="AE78" s="570"/>
      <c r="AF78" s="570"/>
      <c r="AG78" s="571"/>
      <c r="AH78" s="543" cm="1">
        <f t="array" ref="AH78">SUM(SUMIFS('caseload data'!V:V,'caseload data'!B:B,{"licence","community"},'caseload data'!$C:$C,T78))</f>
        <v>0</v>
      </c>
      <c r="AI78" s="560"/>
      <c r="AJ78" s="561"/>
    </row>
    <row r="79" spans="2:36" x14ac:dyDescent="0.15">
      <c r="B79" s="95"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167" t="str" cm="1">
        <f t="array" ref="C80">IFERROR(SUM(SUMIFS('caseload data'!E:E,'caseload data'!$C:$C,'community %'!$B$78,'caseload data'!$D:$D,"PO",'caseload data'!$B:$B,{"licence","community"}))/SUM(SUMIFS('caseload data'!E:E,'caseload data'!$B:$B,{"licence","community"},'caseload data'!$C:$C,'community %'!$B$78)),"")</f>
        <v/>
      </c>
      <c r="D80" s="167" t="str" cm="1">
        <f t="array" ref="D80">IFERROR(SUM(SUMIFS('caseload data'!F:F,'caseload data'!$C:$C,'community %'!$B$78,'caseload data'!$D:$D,"PO",'caseload data'!$B:$B,{"licence","community"}))/SUM(SUMIFS('caseload data'!F:F,'caseload data'!$B:$B,{"licence","community"},'caseload data'!$C:$C,'community %'!$B$78)),"")</f>
        <v/>
      </c>
      <c r="E80" s="167" t="str" cm="1">
        <f t="array" ref="E80">IFERROR(SUM(SUMIFS('caseload data'!G:G,'caseload data'!$C:$C,'community %'!$B$78,'caseload data'!$D:$D,"PO",'caseload data'!$B:$B,{"licence","community"}))/SUM(SUMIFS('caseload data'!G:G,'caseload data'!$B:$B,{"licence","community"},'caseload data'!$C:$C,'community %'!$B$78)),"")</f>
        <v/>
      </c>
      <c r="F80" s="167" t="str" cm="1">
        <f t="array" ref="F80">IFERROR(SUM(SUMIFS('caseload data'!H:H,'caseload data'!$C:$C,'community %'!$B$78,'caseload data'!$D:$D,"PO",'caseload data'!$B:$B,{"licence","community"}))/SUM(SUMIFS('caseload data'!H:H,'caseload data'!$B:$B,{"licence","community"},'caseload data'!$C:$C,'community %'!$B$78)),"")</f>
        <v/>
      </c>
      <c r="G80" s="167" t="str" cm="1">
        <f t="array" ref="G80">IFERROR(SUM(SUMIFS('caseload data'!I:I,'caseload data'!$C:$C,'community %'!$B$78,'caseload data'!$D:$D,"PO",'caseload data'!$B:$B,{"licence","community"}))/SUM(SUMIFS('caseload data'!I:I,'caseload data'!$B:$B,{"licence","community"},'caseload data'!$C:$C,'community %'!$B$78)),"")</f>
        <v/>
      </c>
      <c r="H80" s="167" t="str" cm="1">
        <f t="array" ref="H80">IFERROR(SUM(SUMIFS('caseload data'!J:J,'caseload data'!$C:$C,'community %'!$B$78,'caseload data'!$D:$D,"PO",'caseload data'!$B:$B,{"licence","community"}))/SUM(SUMIFS('caseload data'!J:J,'caseload data'!$B:$B,{"licence","community"},'caseload data'!$C:$C,'community %'!$B$78)),"")</f>
        <v/>
      </c>
      <c r="I80" s="167" t="str" cm="1">
        <f t="array" ref="I80">IFERROR(SUM(SUMIFS('caseload data'!K:K,'caseload data'!$C:$C,'community %'!$B$78,'caseload data'!$D:$D,"PO",'caseload data'!$B:$B,{"licence","community"}))/SUM(SUMIFS('caseload data'!K:K,'caseload data'!$B:$B,{"licence","community"},'caseload data'!$C:$C,'community %'!$B$78)),"")</f>
        <v/>
      </c>
      <c r="J80" s="167" t="str" cm="1">
        <f t="array" ref="J80">IFERROR(SUM(SUMIFS('caseload data'!L:L,'caseload data'!$C:$C,'community %'!$B$78,'caseload data'!$D:$D,"PO",'caseload data'!$B:$B,{"licence","community"}))/SUM(SUMIFS('caseload data'!L:L,'caseload data'!$B:$B,{"licence","community"},'caseload data'!$C:$C,'community %'!$B$78)),"")</f>
        <v/>
      </c>
      <c r="K80" s="167" t="str" cm="1">
        <f t="array" ref="K80">IFERROR(SUM(SUMIFS('caseload data'!M:M,'caseload data'!$C:$C,'community %'!$B$78,'caseload data'!$D:$D,"PO",'caseload data'!$B:$B,{"licence","community"}))/SUM(SUMIFS('caseload data'!M:M,'caseload data'!$B:$B,{"licence","community"},'caseload data'!$C:$C,'community %'!$B$78)),"")</f>
        <v/>
      </c>
      <c r="L80" s="167" t="str" cm="1">
        <f t="array" ref="L80">IFERROR(SUM(SUMIFS('caseload data'!N:N,'caseload data'!$C:$C,'community %'!$B$78,'caseload data'!$D:$D,"PO",'caseload data'!$B:$B,{"licence","community"}))/SUM(SUMIFS('caseload data'!N:N,'caseload data'!$B:$B,{"licence","community"},'caseload data'!$C:$C,'community %'!$B$78)),"")</f>
        <v/>
      </c>
      <c r="M80" s="167" t="str" cm="1">
        <f t="array" ref="M80">IFERROR(SUM(SUMIFS('caseload data'!O:O,'caseload data'!$C:$C,'community %'!$B$78,'caseload data'!$D:$D,"PO",'caseload data'!$B:$B,{"licence","community"}))/SUM(SUMIFS('caseload data'!O:O,'caseload data'!$B:$B,{"licence","community"},'caseload data'!$C:$C,'community %'!$B$78)),"")</f>
        <v/>
      </c>
      <c r="N80" s="167" t="str" cm="1">
        <f t="array" ref="N80">IFERROR(SUM(SUMIFS('caseload data'!P:P,'caseload data'!$C:$C,'community %'!$B$78,'caseload data'!$D:$D,"PO",'caseload data'!$B:$B,{"licence","community"}))/SUM(SUMIFS('caseload data'!P:P,'caseload data'!$B:$B,{"licence","community"},'caseload data'!$C:$C,'community %'!$B$78)),"")</f>
        <v/>
      </c>
      <c r="O80" s="167" t="str" cm="1">
        <f t="array" ref="O80">IFERROR(SUM(SUMIFS('caseload data'!Q:Q,'caseload data'!$C:$C,'community %'!$B$78,'caseload data'!$D:$D,"PO",'caseload data'!$B:$B,{"licence","community"}))/SUM(SUMIFS('caseload data'!Q:Q,'caseload data'!$B:$B,{"licence","community"},'caseload data'!$C:$C,'community %'!$B$78)),"")</f>
        <v/>
      </c>
      <c r="P80" s="167" t="str" cm="1">
        <f t="array" ref="P80">IFERROR(SUM(SUMIFS('caseload data'!R:R,'caseload data'!$C:$C,'community %'!$B$78,'caseload data'!$D:$D,"PO",'caseload data'!$B:$B,{"licence","community"}))/SUM(SUMIFS('caseload data'!R:R,'caseload data'!$B:$B,{"licence","community"},'caseload data'!$C:$C,'community %'!$B$78)),"")</f>
        <v/>
      </c>
      <c r="Q80" s="167" t="str" cm="1">
        <f t="array" ref="Q80">IFERROR(SUM(SUMIFS('caseload data'!S:S,'caseload data'!$C:$C,'community %'!$B$78,'caseload data'!$D:$D,"PO",'caseload data'!$B:$B,{"licence","community"}))/SUM(SUMIFS('caseload data'!S:S,'caseload data'!$B:$B,{"licence","community"},'caseload data'!$C:$C,'community %'!$B$78)),"")</f>
        <v/>
      </c>
      <c r="R80" s="167" t="str" cm="1">
        <f t="array" ref="R80">IFERROR(SUM(SUMIFS('caseload data'!T:T,'caseload data'!$C:$C,'community %'!$B$78,'caseload data'!$D:$D,"PO",'caseload data'!$B:$B,{"licence","community"}))/SUM(SUMIFS('caseload data'!T:T,'caseload data'!$B:$B,{"licence","community"},'caseload data'!$C:$C,'community %'!$B$78)),"")</f>
        <v/>
      </c>
      <c r="T80" s="96" t="s">
        <v>947</v>
      </c>
      <c r="U80" s="167" t="str" cm="1">
        <f t="array" ref="U80">IFERROR(SUM(SUMIFS('caseload data'!E:E,'caseload data'!$C:$C,'community %'!$T$78,'caseload data'!$D:$D,"PO",'caseload data'!$B:$B,{"licence","community"}))/SUM(SUMIFS('caseload data'!E:E,'caseload data'!$B:$B,{"licence","community"},'caseload data'!$C:$C,'community %'!$T$78)),"")</f>
        <v/>
      </c>
      <c r="V80" s="167" t="str" cm="1">
        <f t="array" ref="V80">IFERROR(SUM(SUMIFS('caseload data'!F:F,'caseload data'!$C:$C,'community %'!$T$78,'caseload data'!$D:$D,"PO",'caseload data'!$B:$B,{"licence","community"}))/SUM(SUMIFS('caseload data'!F:F,'caseload data'!$B:$B,{"licence","community"},'caseload data'!$C:$C,'community %'!$T$78)),"")</f>
        <v/>
      </c>
      <c r="W80" s="167" t="str" cm="1">
        <f t="array" ref="W80">IFERROR(SUM(SUMIFS('caseload data'!G:G,'caseload data'!$C:$C,'community %'!$T$78,'caseload data'!$D:$D,"PO",'caseload data'!$B:$B,{"licence","community"}))/SUM(SUMIFS('caseload data'!G:G,'caseload data'!$B:$B,{"licence","community"},'caseload data'!$C:$C,'community %'!$T$78)),"")</f>
        <v/>
      </c>
      <c r="X80" s="167" t="str" cm="1">
        <f t="array" ref="X80">IFERROR(SUM(SUMIFS('caseload data'!H:H,'caseload data'!$C:$C,'community %'!$T$78,'caseload data'!$D:$D,"PO",'caseload data'!$B:$B,{"licence","community"}))/SUM(SUMIFS('caseload data'!H:H,'caseload data'!$B:$B,{"licence","community"},'caseload data'!$C:$C,'community %'!$T$78)),"")</f>
        <v/>
      </c>
      <c r="Y80" s="167" t="str" cm="1">
        <f t="array" ref="Y80">IFERROR(SUM(SUMIFS('caseload data'!I:I,'caseload data'!$C:$C,'community %'!$T$78,'caseload data'!$D:$D,"PO",'caseload data'!$B:$B,{"licence","community"}))/SUM(SUMIFS('caseload data'!I:I,'caseload data'!$B:$B,{"licence","community"},'caseload data'!$C:$C,'community %'!$T$78)),"")</f>
        <v/>
      </c>
      <c r="Z80" s="167" t="str" cm="1">
        <f t="array" ref="Z80">IFERROR(SUM(SUMIFS('caseload data'!J:J,'caseload data'!$C:$C,'community %'!$T$78,'caseload data'!$D:$D,"PO",'caseload data'!$B:$B,{"licence","community"}))/SUM(SUMIFS('caseload data'!J:J,'caseload data'!$B:$B,{"licence","community"},'caseload data'!$C:$C,'community %'!$T$78)),"")</f>
        <v/>
      </c>
      <c r="AA80" s="167" t="str" cm="1">
        <f t="array" ref="AA80">IFERROR(SUM(SUMIFS('caseload data'!K:K,'caseload data'!$C:$C,'community %'!$T$78,'caseload data'!$D:$D,"PO",'caseload data'!$B:$B,{"licence","community"}))/SUM(SUMIFS('caseload data'!K:K,'caseload data'!$B:$B,{"licence","community"},'caseload data'!$C:$C,'community %'!$T$78)),"")</f>
        <v/>
      </c>
      <c r="AB80" s="167" t="str" cm="1">
        <f t="array" ref="AB80">IFERROR(SUM(SUMIFS('caseload data'!L:L,'caseload data'!$C:$C,'community %'!$T$78,'caseload data'!$D:$D,"PO",'caseload data'!$B:$B,{"licence","community"}))/SUM(SUMIFS('caseload data'!L:L,'caseload data'!$B:$B,{"licence","community"},'caseload data'!$C:$C,'community %'!$T$78)),"")</f>
        <v/>
      </c>
      <c r="AC80" s="167" t="str" cm="1">
        <f t="array" ref="AC80">IFERROR(SUM(SUMIFS('caseload data'!M:M,'caseload data'!$C:$C,'community %'!$T$78,'caseload data'!$D:$D,"PO",'caseload data'!$B:$B,{"licence","community"}))/SUM(SUMIFS('caseload data'!M:M,'caseload data'!$B:$B,{"licence","community"},'caseload data'!$C:$C,'community %'!$T$78)),"")</f>
        <v/>
      </c>
      <c r="AD80" s="167" t="str" cm="1">
        <f t="array" ref="AD80">IFERROR(SUM(SUMIFS('caseload data'!N:N,'caseload data'!$C:$C,'community %'!$T$78,'caseload data'!$D:$D,"PO",'caseload data'!$B:$B,{"licence","community"}))/SUM(SUMIFS('caseload data'!N:N,'caseload data'!$B:$B,{"licence","community"},'caseload data'!$C:$C,'community %'!$T$78)),"")</f>
        <v/>
      </c>
      <c r="AE80" s="167" t="str" cm="1">
        <f t="array" ref="AE80">IFERROR(SUM(SUMIFS('caseload data'!O:O,'caseload data'!$C:$C,'community %'!$T$78,'caseload data'!$D:$D,"PO",'caseload data'!$B:$B,{"licence","community"}))/SUM(SUMIFS('caseload data'!O:O,'caseload data'!$B:$B,{"licence","community"},'caseload data'!$C:$C,'community %'!$T$78)),"")</f>
        <v/>
      </c>
      <c r="AF80" s="167" t="str" cm="1">
        <f t="array" ref="AF80">IFERROR(SUM(SUMIFS('caseload data'!P:P,'caseload data'!$C:$C,'community %'!$T$78,'caseload data'!$D:$D,"PO",'caseload data'!$B:$B,{"licence","community"}))/SUM(SUMIFS('caseload data'!P:P,'caseload data'!$B:$B,{"licence","community"},'caseload data'!$C:$C,'community %'!$T$78)),"")</f>
        <v/>
      </c>
      <c r="AG80" s="167" t="str" cm="1">
        <f t="array" ref="AG80">IFERROR(SUM(SUMIFS('caseload data'!Q:Q,'caseload data'!$C:$C,'community %'!$T$78,'caseload data'!$D:$D,"PO",'caseload data'!$B:$B,{"licence","community"}))/SUM(SUMIFS('caseload data'!Q:Q,'caseload data'!$B:$B,{"licence","community"},'caseload data'!$C:$C,'community %'!$T$78)),"")</f>
        <v/>
      </c>
      <c r="AH80" s="167" t="str" cm="1">
        <f t="array" ref="AH80">IFERROR(SUM(SUMIFS('caseload data'!R:R,'caseload data'!$C:$C,'community %'!$T$78,'caseload data'!$D:$D,"PO",'caseload data'!$B:$B,{"licence","community"}))/SUM(SUMIFS('caseload data'!R:R,'caseload data'!$B:$B,{"licence","community"},'caseload data'!$C:$C,'community %'!$T$78)),"")</f>
        <v/>
      </c>
      <c r="AI80" s="167" t="str" cm="1">
        <f t="array" ref="AI80">IFERROR(SUM(SUMIFS('caseload data'!S:S,'caseload data'!$C:$C,'community %'!$T$78,'caseload data'!$D:$D,"PO",'caseload data'!$B:$B,{"licence","community"}))/SUM(SUMIFS('caseload data'!S:S,'caseload data'!$B:$B,{"licence","community"},'caseload data'!$C:$C,'community %'!$T$78)),"")</f>
        <v/>
      </c>
      <c r="AJ80" s="167" t="str" cm="1">
        <f t="array" ref="AJ80">IFERROR(SUM(SUMIFS('caseload data'!T:T,'caseload data'!$C:$C,'community %'!$T$78,'caseload data'!$D:$D,"PO",'caseload data'!$B:$B,{"licence","community"}))/SUM(SUMIFS('caseload data'!T:T,'caseload data'!$B:$B,{"licence","community"},'caseload data'!$C:$C,'community %'!$T$78)),"")</f>
        <v/>
      </c>
    </row>
    <row r="81" spans="2:36" x14ac:dyDescent="0.15">
      <c r="B81" s="97" t="s">
        <v>952</v>
      </c>
      <c r="C81" s="167" t="str" cm="1">
        <f t="array" ref="C81">IFERROR(SUM(SUMIFS('caseload data'!E:E,'caseload data'!$C:$C,'community %'!$B$78,'caseload data'!$D:$D,"PSO",'caseload data'!$B:$B,{"licence","community"}))/SUM(SUMIFS('caseload data'!E:E,'caseload data'!$B:$B,{"licence","community"},'caseload data'!$C:$C,'community %'!$B$78)),"")</f>
        <v/>
      </c>
      <c r="D81" s="167" t="str" cm="1">
        <f t="array" ref="D81">IFERROR(SUM(SUMIFS('caseload data'!F:F,'caseload data'!$C:$C,'community %'!$B$78,'caseload data'!$D:$D,"PSO",'caseload data'!$B:$B,{"licence","community"}))/SUM(SUMIFS('caseload data'!F:F,'caseload data'!$B:$B,{"licence","community"},'caseload data'!$C:$C,'community %'!$B$78)),"")</f>
        <v/>
      </c>
      <c r="E81" s="167" t="str" cm="1">
        <f t="array" ref="E81">IFERROR(SUM(SUMIFS('caseload data'!G:G,'caseload data'!$C:$C,'community %'!$B$78,'caseload data'!$D:$D,"PSO",'caseload data'!$B:$B,{"licence","community"}))/SUM(SUMIFS('caseload data'!G:G,'caseload data'!$B:$B,{"licence","community"},'caseload data'!$C:$C,'community %'!$B$78)),"")</f>
        <v/>
      </c>
      <c r="F81" s="167" t="str" cm="1">
        <f t="array" ref="F81">IFERROR(SUM(SUMIFS('caseload data'!H:H,'caseload data'!$C:$C,'community %'!$B$78,'caseload data'!$D:$D,"PSO",'caseload data'!$B:$B,{"licence","community"}))/SUM(SUMIFS('caseload data'!H:H,'caseload data'!$B:$B,{"licence","community"},'caseload data'!$C:$C,'community %'!$B$78)),"")</f>
        <v/>
      </c>
      <c r="G81" s="167" t="str" cm="1">
        <f t="array" ref="G81">IFERROR(SUM(SUMIFS('caseload data'!I:I,'caseload data'!$C:$C,'community %'!$B$78,'caseload data'!$D:$D,"PSO",'caseload data'!$B:$B,{"licence","community"}))/SUM(SUMIFS('caseload data'!I:I,'caseload data'!$B:$B,{"licence","community"},'caseload data'!$C:$C,'community %'!$B$78)),"")</f>
        <v/>
      </c>
      <c r="H81" s="167" t="str" cm="1">
        <f t="array" ref="H81">IFERROR(SUM(SUMIFS('caseload data'!J:J,'caseload data'!$C:$C,'community %'!$B$78,'caseload data'!$D:$D,"PSO",'caseload data'!$B:$B,{"licence","community"}))/SUM(SUMIFS('caseload data'!J:J,'caseload data'!$B:$B,{"licence","community"},'caseload data'!$C:$C,'community %'!$B$78)),"")</f>
        <v/>
      </c>
      <c r="I81" s="167" t="str" cm="1">
        <f t="array" ref="I81">IFERROR(SUM(SUMIFS('caseload data'!K:K,'caseload data'!$C:$C,'community %'!$B$78,'caseload data'!$D:$D,"PSO",'caseload data'!$B:$B,{"licence","community"}))/SUM(SUMIFS('caseload data'!K:K,'caseload data'!$B:$B,{"licence","community"},'caseload data'!$C:$C,'community %'!$B$78)),"")</f>
        <v/>
      </c>
      <c r="J81" s="167" t="str" cm="1">
        <f t="array" ref="J81">IFERROR(SUM(SUMIFS('caseload data'!L:L,'caseload data'!$C:$C,'community %'!$B$78,'caseload data'!$D:$D,"PSO",'caseload data'!$B:$B,{"licence","community"}))/SUM(SUMIFS('caseload data'!L:L,'caseload data'!$B:$B,{"licence","community"},'caseload data'!$C:$C,'community %'!$B$78)),"")</f>
        <v/>
      </c>
      <c r="K81" s="167" t="str" cm="1">
        <f t="array" ref="K81">IFERROR(SUM(SUMIFS('caseload data'!M:M,'caseload data'!$C:$C,'community %'!$B$78,'caseload data'!$D:$D,"PSO",'caseload data'!$B:$B,{"licence","community"}))/SUM(SUMIFS('caseload data'!M:M,'caseload data'!$B:$B,{"licence","community"},'caseload data'!$C:$C,'community %'!$B$78)),"")</f>
        <v/>
      </c>
      <c r="L81" s="167" t="str" cm="1">
        <f t="array" ref="L81">IFERROR(SUM(SUMIFS('caseload data'!N:N,'caseload data'!$C:$C,'community %'!$B$78,'caseload data'!$D:$D,"PSO",'caseload data'!$B:$B,{"licence","community"}))/SUM(SUMIFS('caseload data'!N:N,'caseload data'!$B:$B,{"licence","community"},'caseload data'!$C:$C,'community %'!$B$78)),"")</f>
        <v/>
      </c>
      <c r="M81" s="167" t="str" cm="1">
        <f t="array" ref="M81">IFERROR(SUM(SUMIFS('caseload data'!O:O,'caseload data'!$C:$C,'community %'!$B$78,'caseload data'!$D:$D,"PSO",'caseload data'!$B:$B,{"licence","community"}))/SUM(SUMIFS('caseload data'!O:O,'caseload data'!$B:$B,{"licence","community"},'caseload data'!$C:$C,'community %'!$B$78)),"")</f>
        <v/>
      </c>
      <c r="N81" s="167" t="str" cm="1">
        <f t="array" ref="N81">IFERROR(SUM(SUMIFS('caseload data'!P:P,'caseload data'!$C:$C,'community %'!$B$78,'caseload data'!$D:$D,"PSO",'caseload data'!$B:$B,{"licence","community"}))/SUM(SUMIFS('caseload data'!P:P,'caseload data'!$B:$B,{"licence","community"},'caseload data'!$C:$C,'community %'!$B$78)),"")</f>
        <v/>
      </c>
      <c r="O81" s="167" t="str" cm="1">
        <f t="array" ref="O81">IFERROR(SUM(SUMIFS('caseload data'!Q:Q,'caseload data'!$C:$C,'community %'!$B$78,'caseload data'!$D:$D,"PSO",'caseload data'!$B:$B,{"licence","community"}))/SUM(SUMIFS('caseload data'!Q:Q,'caseload data'!$B:$B,{"licence","community"},'caseload data'!$C:$C,'community %'!$B$78)),"")</f>
        <v/>
      </c>
      <c r="P81" s="167" t="str" cm="1">
        <f t="array" ref="P81">IFERROR(SUM(SUMIFS('caseload data'!R:R,'caseload data'!$C:$C,'community %'!$B$78,'caseload data'!$D:$D,"PSO",'caseload data'!$B:$B,{"licence","community"}))/SUM(SUMIFS('caseload data'!R:R,'caseload data'!$B:$B,{"licence","community"},'caseload data'!$C:$C,'community %'!$B$78)),"")</f>
        <v/>
      </c>
      <c r="Q81" s="167" t="str" cm="1">
        <f t="array" ref="Q81">IFERROR(SUM(SUMIFS('caseload data'!S:S,'caseload data'!$C:$C,'community %'!$B$78,'caseload data'!$D:$D,"PSO",'caseload data'!$B:$B,{"licence","community"}))/SUM(SUMIFS('caseload data'!S:S,'caseload data'!$B:$B,{"licence","community"},'caseload data'!$C:$C,'community %'!$B$78)),"")</f>
        <v/>
      </c>
      <c r="R81" s="167" t="str" cm="1">
        <f t="array" ref="R81">IFERROR(SUM(SUMIFS('caseload data'!T:T,'caseload data'!$C:$C,'community %'!$B$78,'caseload data'!$D:$D,"PSO",'caseload data'!$B:$B,{"licence","community"}))/SUM(SUMIFS('caseload data'!T:T,'caseload data'!$B:$B,{"licence","community"},'caseload data'!$C:$C,'community %'!$B$78)),"")</f>
        <v/>
      </c>
      <c r="T81" s="97" t="s">
        <v>952</v>
      </c>
      <c r="U81" s="167" t="str" cm="1">
        <f t="array" ref="U81">IFERROR(SUM(SUMIFS('caseload data'!E:E,'caseload data'!$C:$C,'community %'!$T$78,'caseload data'!$D:$D,"PSO",'caseload data'!$B:$B,{"licence","community"}))/SUM(SUMIFS('caseload data'!E:E,'caseload data'!$B:$B,{"licence","community"},'caseload data'!$C:$C,'community %'!$T$78)),"")</f>
        <v/>
      </c>
      <c r="V81" s="167" t="str" cm="1">
        <f t="array" ref="V81">IFERROR(SUM(SUMIFS('caseload data'!F:F,'caseload data'!$C:$C,'community %'!$T$78,'caseload data'!$D:$D,"PSO",'caseload data'!$B:$B,{"licence","community"}))/SUM(SUMIFS('caseload data'!F:F,'caseload data'!$B:$B,{"licence","community"},'caseload data'!$C:$C,'community %'!$T$78)),"")</f>
        <v/>
      </c>
      <c r="W81" s="167" t="str" cm="1">
        <f t="array" ref="W81">IFERROR(SUM(SUMIFS('caseload data'!G:G,'caseload data'!$C:$C,'community %'!$T$78,'caseload data'!$D:$D,"PSO",'caseload data'!$B:$B,{"licence","community"}))/SUM(SUMIFS('caseload data'!G:G,'caseload data'!$B:$B,{"licence","community"},'caseload data'!$C:$C,'community %'!$T$78)),"")</f>
        <v/>
      </c>
      <c r="X81" s="167" t="str" cm="1">
        <f t="array" ref="X81">IFERROR(SUM(SUMIFS('caseload data'!H:H,'caseload data'!$C:$C,'community %'!$T$78,'caseload data'!$D:$D,"PSO",'caseload data'!$B:$B,{"licence","community"}))/SUM(SUMIFS('caseload data'!H:H,'caseload data'!$B:$B,{"licence","community"},'caseload data'!$C:$C,'community %'!$T$78)),"")</f>
        <v/>
      </c>
      <c r="Y81" s="167" t="str" cm="1">
        <f t="array" ref="Y81">IFERROR(SUM(SUMIFS('caseload data'!I:I,'caseload data'!$C:$C,'community %'!$T$78,'caseload data'!$D:$D,"PSO",'caseload data'!$B:$B,{"licence","community"}))/SUM(SUMIFS('caseload data'!I:I,'caseload data'!$B:$B,{"licence","community"},'caseload data'!$C:$C,'community %'!$T$78)),"")</f>
        <v/>
      </c>
      <c r="Z81" s="167" t="str" cm="1">
        <f t="array" ref="Z81">IFERROR(SUM(SUMIFS('caseload data'!J:J,'caseload data'!$C:$C,'community %'!$T$78,'caseload data'!$D:$D,"PSO",'caseload data'!$B:$B,{"licence","community"}))/SUM(SUMIFS('caseload data'!J:J,'caseload data'!$B:$B,{"licence","community"},'caseload data'!$C:$C,'community %'!$T$78)),"")</f>
        <v/>
      </c>
      <c r="AA81" s="167" t="str" cm="1">
        <f t="array" ref="AA81">IFERROR(SUM(SUMIFS('caseload data'!K:K,'caseload data'!$C:$C,'community %'!$T$78,'caseload data'!$D:$D,"PSO",'caseload data'!$B:$B,{"licence","community"}))/SUM(SUMIFS('caseload data'!K:K,'caseload data'!$B:$B,{"licence","community"},'caseload data'!$C:$C,'community %'!$T$78)),"")</f>
        <v/>
      </c>
      <c r="AB81" s="167" t="str" cm="1">
        <f t="array" ref="AB81">IFERROR(SUM(SUMIFS('caseload data'!L:L,'caseload data'!$C:$C,'community %'!$T$78,'caseload data'!$D:$D,"PSO",'caseload data'!$B:$B,{"licence","community"}))/SUM(SUMIFS('caseload data'!L:L,'caseload data'!$B:$B,{"licence","community"},'caseload data'!$C:$C,'community %'!$T$78)),"")</f>
        <v/>
      </c>
      <c r="AC81" s="167" t="str" cm="1">
        <f t="array" ref="AC81">IFERROR(SUM(SUMIFS('caseload data'!M:M,'caseload data'!$C:$C,'community %'!$T$78,'caseload data'!$D:$D,"PSO",'caseload data'!$B:$B,{"licence","community"}))/SUM(SUMIFS('caseload data'!M:M,'caseload data'!$B:$B,{"licence","community"},'caseload data'!$C:$C,'community %'!$T$78)),"")</f>
        <v/>
      </c>
      <c r="AD81" s="167" t="str" cm="1">
        <f t="array" ref="AD81">IFERROR(SUM(SUMIFS('caseload data'!N:N,'caseload data'!$C:$C,'community %'!$T$78,'caseload data'!$D:$D,"PSO",'caseload data'!$B:$B,{"licence","community"}))/SUM(SUMIFS('caseload data'!N:N,'caseload data'!$B:$B,{"licence","community"},'caseload data'!$C:$C,'community %'!$T$78)),"")</f>
        <v/>
      </c>
      <c r="AE81" s="167" t="str" cm="1">
        <f t="array" ref="AE81">IFERROR(SUM(SUMIFS('caseload data'!O:O,'caseload data'!$C:$C,'community %'!$T$78,'caseload data'!$D:$D,"PSO",'caseload data'!$B:$B,{"licence","community"}))/SUM(SUMIFS('caseload data'!O:O,'caseload data'!$B:$B,{"licence","community"},'caseload data'!$C:$C,'community %'!$T$78)),"")</f>
        <v/>
      </c>
      <c r="AF81" s="167" t="str" cm="1">
        <f t="array" ref="AF81">IFERROR(SUM(SUMIFS('caseload data'!P:P,'caseload data'!$C:$C,'community %'!$T$78,'caseload data'!$D:$D,"PSO",'caseload data'!$B:$B,{"licence","community"}))/SUM(SUMIFS('caseload data'!P:P,'caseload data'!$B:$B,{"licence","community"},'caseload data'!$C:$C,'community %'!$T$78)),"")</f>
        <v/>
      </c>
      <c r="AG81" s="167" t="str" cm="1">
        <f t="array" ref="AG81">IFERROR(SUM(SUMIFS('caseload data'!Q:Q,'caseload data'!$C:$C,'community %'!$T$78,'caseload data'!$D:$D,"PSO",'caseload data'!$B:$B,{"licence","community"}))/SUM(SUMIFS('caseload data'!Q:Q,'caseload data'!$B:$B,{"licence","community"},'caseload data'!$C:$C,'community %'!$T$78)),"")</f>
        <v/>
      </c>
      <c r="AH81" s="167" t="str" cm="1">
        <f t="array" ref="AH81">IFERROR(SUM(SUMIFS('caseload data'!R:R,'caseload data'!$C:$C,'community %'!$T$78,'caseload data'!$D:$D,"PSO",'caseload data'!$B:$B,{"licence","community"}))/SUM(SUMIFS('caseload data'!R:R,'caseload data'!$B:$B,{"licence","community"},'caseload data'!$C:$C,'community %'!$T$78)),"")</f>
        <v/>
      </c>
      <c r="AI81" s="167" t="str" cm="1">
        <f t="array" ref="AI81">IFERROR(SUM(SUMIFS('caseload data'!S:S,'caseload data'!$C:$C,'community %'!$T$78,'caseload data'!$D:$D,"PSO",'caseload data'!$B:$B,{"licence","community"}))/SUM(SUMIFS('caseload data'!S:S,'caseload data'!$B:$B,{"licence","community"},'caseload data'!$C:$C,'community %'!$T$78)),"")</f>
        <v/>
      </c>
      <c r="AJ81" s="167" t="str" cm="1">
        <f t="array" ref="AJ81">IFERROR(SUM(SUMIFS('caseload data'!T:T,'caseload data'!$C:$C,'community %'!$T$78,'caseload data'!$D:$D,"PSO",'caseload data'!$B:$B,{"licence","community"}))/SUM(SUMIFS('caseload data'!T:T,'caseload data'!$B:$B,{"licence","community"},'caseload data'!$C:$C,'community %'!$T$78)),"")</f>
        <v/>
      </c>
    </row>
    <row r="82" spans="2:36" x14ac:dyDescent="0.15">
      <c r="B82" s="97" t="s">
        <v>953</v>
      </c>
      <c r="C82" s="167" t="str" cm="1">
        <f t="array" ref="C82">IFERROR(SUM(SUMIFS('caseload data'!E:E,'caseload data'!$C:$C,'community %'!$B$78,'caseload data'!$D:$D,"TPO",'caseload data'!$B:$B,{"licence","community"}))/SUM(SUMIFS('caseload data'!E:E,'caseload data'!$B:$B,{"licence","community"},'caseload data'!$C:$C,'community %'!$B$78)),"")</f>
        <v/>
      </c>
      <c r="D82" s="167" t="str" cm="1">
        <f t="array" ref="D82">IFERROR(SUM(SUMIFS('caseload data'!F:F,'caseload data'!$C:$C,'community %'!$B$78,'caseload data'!$D:$D,"TPO",'caseload data'!$B:$B,{"licence","community"}))/SUM(SUMIFS('caseload data'!F:F,'caseload data'!$B:$B,{"licence","community"},'caseload data'!$C:$C,'community %'!$B$78)),"")</f>
        <v/>
      </c>
      <c r="E82" s="167" t="str" cm="1">
        <f t="array" ref="E82">IFERROR(SUM(SUMIFS('caseload data'!G:G,'caseload data'!$C:$C,'community %'!$B$78,'caseload data'!$D:$D,"TPO",'caseload data'!$B:$B,{"licence","community"}))/SUM(SUMIFS('caseload data'!G:G,'caseload data'!$B:$B,{"licence","community"},'caseload data'!$C:$C,'community %'!$B$78)),"")</f>
        <v/>
      </c>
      <c r="F82" s="167" t="str" cm="1">
        <f t="array" ref="F82">IFERROR(SUM(SUMIFS('caseload data'!H:H,'caseload data'!$C:$C,'community %'!$B$78,'caseload data'!$D:$D,"TPO",'caseload data'!$B:$B,{"licence","community"}))/SUM(SUMIFS('caseload data'!H:H,'caseload data'!$B:$B,{"licence","community"},'caseload data'!$C:$C,'community %'!$B$78)),"")</f>
        <v/>
      </c>
      <c r="G82" s="167" t="str" cm="1">
        <f t="array" ref="G82">IFERROR(SUM(SUMIFS('caseload data'!I:I,'caseload data'!$C:$C,'community %'!$B$78,'caseload data'!$D:$D,"TPO",'caseload data'!$B:$B,{"licence","community"}))/SUM(SUMIFS('caseload data'!I:I,'caseload data'!$B:$B,{"licence","community"},'caseload data'!$C:$C,'community %'!$B$78)),"")</f>
        <v/>
      </c>
      <c r="H82" s="167" t="str" cm="1">
        <f t="array" ref="H82">IFERROR(SUM(SUMIFS('caseload data'!J:J,'caseload data'!$C:$C,'community %'!$B$78,'caseload data'!$D:$D,"TPO",'caseload data'!$B:$B,{"licence","community"}))/SUM(SUMIFS('caseload data'!J:J,'caseload data'!$B:$B,{"licence","community"},'caseload data'!$C:$C,'community %'!$B$78)),"")</f>
        <v/>
      </c>
      <c r="I82" s="167" t="str" cm="1">
        <f t="array" ref="I82">IFERROR(SUM(SUMIFS('caseload data'!K:K,'caseload data'!$C:$C,'community %'!$B$78,'caseload data'!$D:$D,"TPO",'caseload data'!$B:$B,{"licence","community"}))/SUM(SUMIFS('caseload data'!K:K,'caseload data'!$B:$B,{"licence","community"},'caseload data'!$C:$C,'community %'!$B$78)),"")</f>
        <v/>
      </c>
      <c r="J82" s="167" t="str" cm="1">
        <f t="array" ref="J82">IFERROR(SUM(SUMIFS('caseload data'!L:L,'caseload data'!$C:$C,'community %'!$B$78,'caseload data'!$D:$D,"TPO",'caseload data'!$B:$B,{"licence","community"}))/SUM(SUMIFS('caseload data'!L:L,'caseload data'!$B:$B,{"licence","community"},'caseload data'!$C:$C,'community %'!$B$78)),"")</f>
        <v/>
      </c>
      <c r="K82" s="167" t="str" cm="1">
        <f t="array" ref="K82">IFERROR(SUM(SUMIFS('caseload data'!M:M,'caseload data'!$C:$C,'community %'!$B$78,'caseload data'!$D:$D,"TPO",'caseload data'!$B:$B,{"licence","community"}))/SUM(SUMIFS('caseload data'!M:M,'caseload data'!$B:$B,{"licence","community"},'caseload data'!$C:$C,'community %'!$B$78)),"")</f>
        <v/>
      </c>
      <c r="L82" s="167" t="str" cm="1">
        <f t="array" ref="L82">IFERROR(SUM(SUMIFS('caseload data'!N:N,'caseload data'!$C:$C,'community %'!$B$78,'caseload data'!$D:$D,"TPO",'caseload data'!$B:$B,{"licence","community"}))/SUM(SUMIFS('caseload data'!N:N,'caseload data'!$B:$B,{"licence","community"},'caseload data'!$C:$C,'community %'!$B$78)),"")</f>
        <v/>
      </c>
      <c r="M82" s="167" t="str" cm="1">
        <f t="array" ref="M82">IFERROR(SUM(SUMIFS('caseload data'!O:O,'caseload data'!$C:$C,'community %'!$B$78,'caseload data'!$D:$D,"TPO",'caseload data'!$B:$B,{"licence","community"}))/SUM(SUMIFS('caseload data'!O:O,'caseload data'!$B:$B,{"licence","community"},'caseload data'!$C:$C,'community %'!$B$78)),"")</f>
        <v/>
      </c>
      <c r="N82" s="167" t="str" cm="1">
        <f t="array" ref="N82">IFERROR(SUM(SUMIFS('caseload data'!P:P,'caseload data'!$C:$C,'community %'!$B$78,'caseload data'!$D:$D,"TPO",'caseload data'!$B:$B,{"licence","community"}))/SUM(SUMIFS('caseload data'!P:P,'caseload data'!$B:$B,{"licence","community"},'caseload data'!$C:$C,'community %'!$B$78)),"")</f>
        <v/>
      </c>
      <c r="O82" s="167" t="str" cm="1">
        <f t="array" ref="O82">IFERROR(SUM(SUMIFS('caseload data'!Q:Q,'caseload data'!$C:$C,'community %'!$B$78,'caseload data'!$D:$D,"TPO",'caseload data'!$B:$B,{"licence","community"}))/SUM(SUMIFS('caseload data'!Q:Q,'caseload data'!$B:$B,{"licence","community"},'caseload data'!$C:$C,'community %'!$B$78)),"")</f>
        <v/>
      </c>
      <c r="P82" s="167" t="str" cm="1">
        <f t="array" ref="P82">IFERROR(SUM(SUMIFS('caseload data'!R:R,'caseload data'!$C:$C,'community %'!$B$78,'caseload data'!$D:$D,"TPO",'caseload data'!$B:$B,{"licence","community"}))/SUM(SUMIFS('caseload data'!R:R,'caseload data'!$B:$B,{"licence","community"},'caseload data'!$C:$C,'community %'!$B$78)),"")</f>
        <v/>
      </c>
      <c r="Q82" s="167" t="str" cm="1">
        <f t="array" ref="Q82">IFERROR(SUM(SUMIFS('caseload data'!S:S,'caseload data'!$C:$C,'community %'!$B$78,'caseload data'!$D:$D,"TPO",'caseload data'!$B:$B,{"licence","community"}))/SUM(SUMIFS('caseload data'!S:S,'caseload data'!$B:$B,{"licence","community"},'caseload data'!$C:$C,'community %'!$B$78)),"")</f>
        <v/>
      </c>
      <c r="R82" s="167" t="str" cm="1">
        <f t="array" ref="R82">IFERROR(SUM(SUMIFS('caseload data'!T:T,'caseload data'!$C:$C,'community %'!$B$78,'caseload data'!$D:$D,"TPO",'caseload data'!$B:$B,{"licence","community"}))/SUM(SUMIFS('caseload data'!T:T,'caseload data'!$B:$B,{"licence","community"},'caseload data'!$C:$C,'community %'!$B$78)),"")</f>
        <v/>
      </c>
      <c r="T82" s="97" t="s">
        <v>953</v>
      </c>
      <c r="U82" s="167" t="str" cm="1">
        <f t="array" ref="U82">IFERROR(SUM(SUMIFS('caseload data'!E:E,'caseload data'!$C:$C,'community %'!$T$78,'caseload data'!$D:$D,"TPO",'caseload data'!$B:$B,{"licence","community"}))/SUM(SUMIFS('caseload data'!E:E,'caseload data'!$B:$B,{"licence","community"},'caseload data'!$C:$C,'community %'!$T$78)),"")</f>
        <v/>
      </c>
      <c r="V82" s="167" t="str" cm="1">
        <f t="array" ref="V82">IFERROR(SUM(SUMIFS('caseload data'!F:F,'caseload data'!$C:$C,'community %'!$T$78,'caseload data'!$D:$D,"TPO",'caseload data'!$B:$B,{"licence","community"}))/SUM(SUMIFS('caseload data'!F:F,'caseload data'!$B:$B,{"licence","community"},'caseload data'!$C:$C,'community %'!$T$78)),"")</f>
        <v/>
      </c>
      <c r="W82" s="167" t="str" cm="1">
        <f t="array" ref="W82">IFERROR(SUM(SUMIFS('caseload data'!G:G,'caseload data'!$C:$C,'community %'!$T$78,'caseload data'!$D:$D,"TPO",'caseload data'!$B:$B,{"licence","community"}))/SUM(SUMIFS('caseload data'!G:G,'caseload data'!$B:$B,{"licence","community"},'caseload data'!$C:$C,'community %'!$T$78)),"")</f>
        <v/>
      </c>
      <c r="X82" s="167" t="str" cm="1">
        <f t="array" ref="X82">IFERROR(SUM(SUMIFS('caseload data'!H:H,'caseload data'!$C:$C,'community %'!$T$78,'caseload data'!$D:$D,"TPO",'caseload data'!$B:$B,{"licence","community"}))/SUM(SUMIFS('caseload data'!H:H,'caseload data'!$B:$B,{"licence","community"},'caseload data'!$C:$C,'community %'!$T$78)),"")</f>
        <v/>
      </c>
      <c r="Y82" s="167" t="str" cm="1">
        <f t="array" ref="Y82">IFERROR(SUM(SUMIFS('caseload data'!I:I,'caseload data'!$C:$C,'community %'!$T$78,'caseload data'!$D:$D,"TPO",'caseload data'!$B:$B,{"licence","community"}))/SUM(SUMIFS('caseload data'!I:I,'caseload data'!$B:$B,{"licence","community"},'caseload data'!$C:$C,'community %'!$T$78)),"")</f>
        <v/>
      </c>
      <c r="Z82" s="167" t="str" cm="1">
        <f t="array" ref="Z82">IFERROR(SUM(SUMIFS('caseload data'!J:J,'caseload data'!$C:$C,'community %'!$T$78,'caseload data'!$D:$D,"TPO",'caseload data'!$B:$B,{"licence","community"}))/SUM(SUMIFS('caseload data'!J:J,'caseload data'!$B:$B,{"licence","community"},'caseload data'!$C:$C,'community %'!$T$78)),"")</f>
        <v/>
      </c>
      <c r="AA82" s="167" t="str" cm="1">
        <f t="array" ref="AA82">IFERROR(SUM(SUMIFS('caseload data'!K:K,'caseload data'!$C:$C,'community %'!$T$78,'caseload data'!$D:$D,"TPO",'caseload data'!$B:$B,{"licence","community"}))/SUM(SUMIFS('caseload data'!K:K,'caseload data'!$B:$B,{"licence","community"},'caseload data'!$C:$C,'community %'!$T$78)),"")</f>
        <v/>
      </c>
      <c r="AB82" s="167" t="str" cm="1">
        <f t="array" ref="AB82">IFERROR(SUM(SUMIFS('caseload data'!L:L,'caseload data'!$C:$C,'community %'!$T$78,'caseload data'!$D:$D,"TPO",'caseload data'!$B:$B,{"licence","community"}))/SUM(SUMIFS('caseload data'!L:L,'caseload data'!$B:$B,{"licence","community"},'caseload data'!$C:$C,'community %'!$T$78)),"")</f>
        <v/>
      </c>
      <c r="AC82" s="167" t="str" cm="1">
        <f t="array" ref="AC82">IFERROR(SUM(SUMIFS('caseload data'!M:M,'caseload data'!$C:$C,'community %'!$T$78,'caseload data'!$D:$D,"TPO",'caseload data'!$B:$B,{"licence","community"}))/SUM(SUMIFS('caseload data'!M:M,'caseload data'!$B:$B,{"licence","community"},'caseload data'!$C:$C,'community %'!$T$78)),"")</f>
        <v/>
      </c>
      <c r="AD82" s="167" t="str" cm="1">
        <f t="array" ref="AD82">IFERROR(SUM(SUMIFS('caseload data'!N:N,'caseload data'!$C:$C,'community %'!$T$78,'caseload data'!$D:$D,"TPO",'caseload data'!$B:$B,{"licence","community"}))/SUM(SUMIFS('caseload data'!N:N,'caseload data'!$B:$B,{"licence","community"},'caseload data'!$C:$C,'community %'!$T$78)),"")</f>
        <v/>
      </c>
      <c r="AE82" s="167" t="str" cm="1">
        <f t="array" ref="AE82">IFERROR(SUM(SUMIFS('caseload data'!O:O,'caseload data'!$C:$C,'community %'!$T$78,'caseload data'!$D:$D,"TPO",'caseload data'!$B:$B,{"licence","community"}))/SUM(SUMIFS('caseload data'!O:O,'caseload data'!$B:$B,{"licence","community"},'caseload data'!$C:$C,'community %'!$T$78)),"")</f>
        <v/>
      </c>
      <c r="AF82" s="167" t="str" cm="1">
        <f t="array" ref="AF82">IFERROR(SUM(SUMIFS('caseload data'!P:P,'caseload data'!$C:$C,'community %'!$T$78,'caseload data'!$D:$D,"TPO",'caseload data'!$B:$B,{"licence","community"}))/SUM(SUMIFS('caseload data'!P:P,'caseload data'!$B:$B,{"licence","community"},'caseload data'!$C:$C,'community %'!$T$78)),"")</f>
        <v/>
      </c>
      <c r="AG82" s="167" t="str" cm="1">
        <f t="array" ref="AG82">IFERROR(SUM(SUMIFS('caseload data'!Q:Q,'caseload data'!$C:$C,'community %'!$T$78,'caseload data'!$D:$D,"TPO",'caseload data'!$B:$B,{"licence","community"}))/SUM(SUMIFS('caseload data'!Q:Q,'caseload data'!$B:$B,{"licence","community"},'caseload data'!$C:$C,'community %'!$T$78)),"")</f>
        <v/>
      </c>
      <c r="AH82" s="167" t="str" cm="1">
        <f t="array" ref="AH82">IFERROR(SUM(SUMIFS('caseload data'!R:R,'caseload data'!$C:$C,'community %'!$T$78,'caseload data'!$D:$D,"TPO",'caseload data'!$B:$B,{"licence","community"}))/SUM(SUMIFS('caseload data'!R:R,'caseload data'!$B:$B,{"licence","community"},'caseload data'!$C:$C,'community %'!$T$78)),"")</f>
        <v/>
      </c>
      <c r="AI82" s="167" t="str" cm="1">
        <f t="array" ref="AI82">IFERROR(SUM(SUMIFS('caseload data'!S:S,'caseload data'!$C:$C,'community %'!$T$78,'caseload data'!$D:$D,"TPO",'caseload data'!$B:$B,{"licence","community"}))/SUM(SUMIFS('caseload data'!S:S,'caseload data'!$B:$B,{"licence","community"},'caseload data'!$C:$C,'community %'!$T$78)),"")</f>
        <v/>
      </c>
      <c r="AJ82" s="167" t="str" cm="1">
        <f t="array" ref="AJ82">IFERROR(SUM(SUMIFS('caseload data'!T:T,'caseload data'!$C:$C,'community %'!$T$78,'caseload data'!$D:$D,"TPO",'caseload data'!$B:$B,{"licence","community"}))/SUM(SUMIFS('caseload data'!T:T,'caseload data'!$B:$B,{"licence","community"},'caseload data'!$C:$C,'community %'!$T$78)),"")</f>
        <v/>
      </c>
    </row>
    <row r="83" spans="2:36" x14ac:dyDescent="0.15">
      <c r="B83" s="98" t="s">
        <v>954</v>
      </c>
      <c r="C83" s="167" t="str" cm="1">
        <f t="array" ref="C83">IFERROR(SUM(SUMIFS('caseload data'!E:E,'caseload data'!$C:$C,'community %'!$B$78,'caseload data'!$D:$D,"SPO",'caseload data'!$B:$B,{"licence","community"}))/SUM(SUMIFS('caseload data'!E:E,'caseload data'!$B:$B,{"licence","community"},'caseload data'!$C:$C,'community %'!$B$78)),"")</f>
        <v/>
      </c>
      <c r="D83" s="167" t="str" cm="1">
        <f t="array" ref="D83">IFERROR(SUM(SUMIFS('caseload data'!F:F,'caseload data'!$C:$C,'community %'!$B$78,'caseload data'!$D:$D,"SPO",'caseload data'!$B:$B,{"licence","community"}))/SUM(SUMIFS('caseload data'!F:F,'caseload data'!$B:$B,{"licence","community"},'caseload data'!$C:$C,'community %'!$B$78)),"")</f>
        <v/>
      </c>
      <c r="E83" s="167" t="str" cm="1">
        <f t="array" ref="E83">IFERROR(SUM(SUMIFS('caseload data'!G:G,'caseload data'!$C:$C,'community %'!$B$78,'caseload data'!$D:$D,"SPO",'caseload data'!$B:$B,{"licence","community"}))/SUM(SUMIFS('caseload data'!G:G,'caseload data'!$B:$B,{"licence","community"},'caseload data'!$C:$C,'community %'!$B$78)),"")</f>
        <v/>
      </c>
      <c r="F83" s="167" t="str" cm="1">
        <f t="array" ref="F83">IFERROR(SUM(SUMIFS('caseload data'!H:H,'caseload data'!$C:$C,'community %'!$B$78,'caseload data'!$D:$D,"SPO",'caseload data'!$B:$B,{"licence","community"}))/SUM(SUMIFS('caseload data'!H:H,'caseload data'!$B:$B,{"licence","community"},'caseload data'!$C:$C,'community %'!$B$78)),"")</f>
        <v/>
      </c>
      <c r="G83" s="167" t="str" cm="1">
        <f t="array" ref="G83">IFERROR(SUM(SUMIFS('caseload data'!I:I,'caseload data'!$C:$C,'community %'!$B$78,'caseload data'!$D:$D,"SPO",'caseload data'!$B:$B,{"licence","community"}))/SUM(SUMIFS('caseload data'!I:I,'caseload data'!$B:$B,{"licence","community"},'caseload data'!$C:$C,'community %'!$B$78)),"")</f>
        <v/>
      </c>
      <c r="H83" s="167" t="str" cm="1">
        <f t="array" ref="H83">IFERROR(SUM(SUMIFS('caseload data'!J:J,'caseload data'!$C:$C,'community %'!$B$78,'caseload data'!$D:$D,"SPO",'caseload data'!$B:$B,{"licence","community"}))/SUM(SUMIFS('caseload data'!J:J,'caseload data'!$B:$B,{"licence","community"},'caseload data'!$C:$C,'community %'!$B$78)),"")</f>
        <v/>
      </c>
      <c r="I83" s="167" t="str" cm="1">
        <f t="array" ref="I83">IFERROR(SUM(SUMIFS('caseload data'!K:K,'caseload data'!$C:$C,'community %'!$B$78,'caseload data'!$D:$D,"SPO",'caseload data'!$B:$B,{"licence","community"}))/SUM(SUMIFS('caseload data'!K:K,'caseload data'!$B:$B,{"licence","community"},'caseload data'!$C:$C,'community %'!$B$78)),"")</f>
        <v/>
      </c>
      <c r="J83" s="167" t="str" cm="1">
        <f t="array" ref="J83">IFERROR(SUM(SUMIFS('caseload data'!L:L,'caseload data'!$C:$C,'community %'!$B$78,'caseload data'!$D:$D,"SPO",'caseload data'!$B:$B,{"licence","community"}))/SUM(SUMIFS('caseload data'!L:L,'caseload data'!$B:$B,{"licence","community"},'caseload data'!$C:$C,'community %'!$B$78)),"")</f>
        <v/>
      </c>
      <c r="K83" s="167" t="str" cm="1">
        <f t="array" ref="K83">IFERROR(SUM(SUMIFS('caseload data'!M:M,'caseload data'!$C:$C,'community %'!$B$78,'caseload data'!$D:$D,"SPO",'caseload data'!$B:$B,{"licence","community"}))/SUM(SUMIFS('caseload data'!M:M,'caseload data'!$B:$B,{"licence","community"},'caseload data'!$C:$C,'community %'!$B$78)),"")</f>
        <v/>
      </c>
      <c r="L83" s="167" t="str" cm="1">
        <f t="array" ref="L83">IFERROR(SUM(SUMIFS('caseload data'!N:N,'caseload data'!$C:$C,'community %'!$B$78,'caseload data'!$D:$D,"SPO",'caseload data'!$B:$B,{"licence","community"}))/SUM(SUMIFS('caseload data'!N:N,'caseload data'!$B:$B,{"licence","community"},'caseload data'!$C:$C,'community %'!$B$78)),"")</f>
        <v/>
      </c>
      <c r="M83" s="167" t="str" cm="1">
        <f t="array" ref="M83">IFERROR(SUM(SUMIFS('caseload data'!O:O,'caseload data'!$C:$C,'community %'!$B$78,'caseload data'!$D:$D,"SPO",'caseload data'!$B:$B,{"licence","community"}))/SUM(SUMIFS('caseload data'!O:O,'caseload data'!$B:$B,{"licence","community"},'caseload data'!$C:$C,'community %'!$B$78)),"")</f>
        <v/>
      </c>
      <c r="N83" s="167" t="str" cm="1">
        <f t="array" ref="N83">IFERROR(SUM(SUMIFS('caseload data'!P:P,'caseload data'!$C:$C,'community %'!$B$78,'caseload data'!$D:$D,"SPO",'caseload data'!$B:$B,{"licence","community"}))/SUM(SUMIFS('caseload data'!P:P,'caseload data'!$B:$B,{"licence","community"},'caseload data'!$C:$C,'community %'!$B$78)),"")</f>
        <v/>
      </c>
      <c r="O83" s="167" t="str" cm="1">
        <f t="array" ref="O83">IFERROR(SUM(SUMIFS('caseload data'!Q:Q,'caseload data'!$C:$C,'community %'!$B$78,'caseload data'!$D:$D,"SPO",'caseload data'!$B:$B,{"licence","community"}))/SUM(SUMIFS('caseload data'!Q:Q,'caseload data'!$B:$B,{"licence","community"},'caseload data'!$C:$C,'community %'!$B$78)),"")</f>
        <v/>
      </c>
      <c r="P83" s="167" t="str" cm="1">
        <f t="array" ref="P83">IFERROR(SUM(SUMIFS('caseload data'!R:R,'caseload data'!$C:$C,'community %'!$B$78,'caseload data'!$D:$D,"SPO",'caseload data'!$B:$B,{"licence","community"}))/SUM(SUMIFS('caseload data'!R:R,'caseload data'!$B:$B,{"licence","community"},'caseload data'!$C:$C,'community %'!$B$78)),"")</f>
        <v/>
      </c>
      <c r="Q83" s="167" t="str" cm="1">
        <f t="array" ref="Q83">IFERROR(SUM(SUMIFS('caseload data'!S:S,'caseload data'!$C:$C,'community %'!$B$78,'caseload data'!$D:$D,"SPO",'caseload data'!$B:$B,{"licence","community"}))/SUM(SUMIFS('caseload data'!S:S,'caseload data'!$B:$B,{"licence","community"},'caseload data'!$C:$C,'community %'!$B$78)),"")</f>
        <v/>
      </c>
      <c r="R83" s="167" t="str" cm="1">
        <f t="array" ref="R83">IFERROR(SUM(SUMIFS('caseload data'!T:T,'caseload data'!$C:$C,'community %'!$B$78,'caseload data'!$D:$D,"SPO",'caseload data'!$B:$B,{"licence","community"}))/SUM(SUMIFS('caseload data'!T:T,'caseload data'!$B:$B,{"licence","community"},'caseload data'!$C:$C,'community %'!$B$78)),"")</f>
        <v/>
      </c>
      <c r="T83" s="98" t="s">
        <v>954</v>
      </c>
      <c r="U83" s="167" t="str" cm="1">
        <f t="array" ref="U83">IFERROR(SUM(SUMIFS('caseload data'!E:E,'caseload data'!$C:$C,'community %'!$T$78,'caseload data'!$D:$D,"SPO",'caseload data'!$B:$B,{"licence","community"}))/SUM(SUMIFS('caseload data'!E:E,'caseload data'!$B:$B,{"licence","community"},'caseload data'!$C:$C,'community %'!$T$78)),"")</f>
        <v/>
      </c>
      <c r="V83" s="167" t="str" cm="1">
        <f t="array" ref="V83">IFERROR(SUM(SUMIFS('caseload data'!F:F,'caseload data'!$C:$C,'community %'!$T$78,'caseload data'!$D:$D,"SPO",'caseload data'!$B:$B,{"licence","community"}))/SUM(SUMIFS('caseload data'!F:F,'caseload data'!$B:$B,{"licence","community"},'caseload data'!$C:$C,'community %'!$T$78)),"")</f>
        <v/>
      </c>
      <c r="W83" s="167" t="str" cm="1">
        <f t="array" ref="W83">IFERROR(SUM(SUMIFS('caseload data'!G:G,'caseload data'!$C:$C,'community %'!$T$78,'caseload data'!$D:$D,"SPO",'caseload data'!$B:$B,{"licence","community"}))/SUM(SUMIFS('caseload data'!G:G,'caseload data'!$B:$B,{"licence","community"},'caseload data'!$C:$C,'community %'!$T$78)),"")</f>
        <v/>
      </c>
      <c r="X83" s="167" t="str" cm="1">
        <f t="array" ref="X83">IFERROR(SUM(SUMIFS('caseload data'!H:H,'caseload data'!$C:$C,'community %'!$T$78,'caseload data'!$D:$D,"SPO",'caseload data'!$B:$B,{"licence","community"}))/SUM(SUMIFS('caseload data'!H:H,'caseload data'!$B:$B,{"licence","community"},'caseload data'!$C:$C,'community %'!$T$78)),"")</f>
        <v/>
      </c>
      <c r="Y83" s="167" t="str" cm="1">
        <f t="array" ref="Y83">IFERROR(SUM(SUMIFS('caseload data'!I:I,'caseload data'!$C:$C,'community %'!$T$78,'caseload data'!$D:$D,"SPO",'caseload data'!$B:$B,{"licence","community"}))/SUM(SUMIFS('caseload data'!I:I,'caseload data'!$B:$B,{"licence","community"},'caseload data'!$C:$C,'community %'!$T$78)),"")</f>
        <v/>
      </c>
      <c r="Z83" s="167" t="str" cm="1">
        <f t="array" ref="Z83">IFERROR(SUM(SUMIFS('caseload data'!J:J,'caseload data'!$C:$C,'community %'!$T$78,'caseload data'!$D:$D,"SPO",'caseload data'!$B:$B,{"licence","community"}))/SUM(SUMIFS('caseload data'!J:J,'caseload data'!$B:$B,{"licence","community"},'caseload data'!$C:$C,'community %'!$T$78)),"")</f>
        <v/>
      </c>
      <c r="AA83" s="167" t="str" cm="1">
        <f t="array" ref="AA83">IFERROR(SUM(SUMIFS('caseload data'!K:K,'caseload data'!$C:$C,'community %'!$T$78,'caseload data'!$D:$D,"SPO",'caseload data'!$B:$B,{"licence","community"}))/SUM(SUMIFS('caseload data'!K:K,'caseload data'!$B:$B,{"licence","community"},'caseload data'!$C:$C,'community %'!$T$78)),"")</f>
        <v/>
      </c>
      <c r="AB83" s="167" t="str" cm="1">
        <f t="array" ref="AB83">IFERROR(SUM(SUMIFS('caseload data'!L:L,'caseload data'!$C:$C,'community %'!$T$78,'caseload data'!$D:$D,"SPO",'caseload data'!$B:$B,{"licence","community"}))/SUM(SUMIFS('caseload data'!L:L,'caseload data'!$B:$B,{"licence","community"},'caseload data'!$C:$C,'community %'!$T$78)),"")</f>
        <v/>
      </c>
      <c r="AC83" s="167" t="str" cm="1">
        <f t="array" ref="AC83">IFERROR(SUM(SUMIFS('caseload data'!M:M,'caseload data'!$C:$C,'community %'!$T$78,'caseload data'!$D:$D,"SPO",'caseload data'!$B:$B,{"licence","community"}))/SUM(SUMIFS('caseload data'!M:M,'caseload data'!$B:$B,{"licence","community"},'caseload data'!$C:$C,'community %'!$T$78)),"")</f>
        <v/>
      </c>
      <c r="AD83" s="167" t="str" cm="1">
        <f t="array" ref="AD83">IFERROR(SUM(SUMIFS('caseload data'!N:N,'caseload data'!$C:$C,'community %'!$T$78,'caseload data'!$D:$D,"SPO",'caseload data'!$B:$B,{"licence","community"}))/SUM(SUMIFS('caseload data'!N:N,'caseload data'!$B:$B,{"licence","community"},'caseload data'!$C:$C,'community %'!$T$78)),"")</f>
        <v/>
      </c>
      <c r="AE83" s="167" t="str" cm="1">
        <f t="array" ref="AE83">IFERROR(SUM(SUMIFS('caseload data'!O:O,'caseload data'!$C:$C,'community %'!$T$78,'caseload data'!$D:$D,"SPO",'caseload data'!$B:$B,{"licence","community"}))/SUM(SUMIFS('caseload data'!O:O,'caseload data'!$B:$B,{"licence","community"},'caseload data'!$C:$C,'community %'!$T$78)),"")</f>
        <v/>
      </c>
      <c r="AF83" s="167" t="str" cm="1">
        <f t="array" ref="AF83">IFERROR(SUM(SUMIFS('caseload data'!P:P,'caseload data'!$C:$C,'community %'!$T$78,'caseload data'!$D:$D,"SPO",'caseload data'!$B:$B,{"licence","community"}))/SUM(SUMIFS('caseload data'!P:P,'caseload data'!$B:$B,{"licence","community"},'caseload data'!$C:$C,'community %'!$T$78)),"")</f>
        <v/>
      </c>
      <c r="AG83" s="167" t="str" cm="1">
        <f t="array" ref="AG83">IFERROR(SUM(SUMIFS('caseload data'!Q:Q,'caseload data'!$C:$C,'community %'!$T$78,'caseload data'!$D:$D,"SPO",'caseload data'!$B:$B,{"licence","community"}))/SUM(SUMIFS('caseload data'!Q:Q,'caseload data'!$B:$B,{"licence","community"},'caseload data'!$C:$C,'community %'!$T$78)),"")</f>
        <v/>
      </c>
      <c r="AH83" s="167" t="str" cm="1">
        <f t="array" ref="AH83">IFERROR(SUM(SUMIFS('caseload data'!R:R,'caseload data'!$C:$C,'community %'!$T$78,'caseload data'!$D:$D,"SPO",'caseload data'!$B:$B,{"licence","community"}))/SUM(SUMIFS('caseload data'!R:R,'caseload data'!$B:$B,{"licence","community"},'caseload data'!$C:$C,'community %'!$T$78)),"")</f>
        <v/>
      </c>
      <c r="AI83" s="167" t="str" cm="1">
        <f t="array" ref="AI83">IFERROR(SUM(SUMIFS('caseload data'!S:S,'caseload data'!$C:$C,'community %'!$T$78,'caseload data'!$D:$D,"SPO",'caseload data'!$B:$B,{"licence","community"}))/SUM(SUMIFS('caseload data'!S:S,'caseload data'!$B:$B,{"licence","community"},'caseload data'!$C:$C,'community %'!$T$78)),"")</f>
        <v/>
      </c>
      <c r="AJ83" s="167" t="str" cm="1">
        <f t="array" ref="AJ83">IFERROR(SUM(SUMIFS('caseload data'!T:T,'caseload data'!$C:$C,'community %'!$T$78,'caseload data'!$D:$D,"SPO",'caseload data'!$B:$B,{"licence","community"}))/SUM(SUMIFS('caseload data'!T:T,'caseload data'!$B:$B,{"licence","community"},'caseload data'!$C:$C,'community %'!$T$78)),"")</f>
        <v/>
      </c>
    </row>
    <row r="85" spans="2:36" ht="16" x14ac:dyDescent="0.15">
      <c r="B85" s="288">
        <f>HLOOKUP($B$5,Region_Table,24,0)</f>
        <v>0</v>
      </c>
      <c r="C85" s="540" t="s">
        <v>1081</v>
      </c>
      <c r="D85" s="541"/>
      <c r="E85" s="541"/>
      <c r="F85" s="541"/>
      <c r="G85" s="541"/>
      <c r="H85" s="541"/>
      <c r="I85" s="541"/>
      <c r="J85" s="541"/>
      <c r="K85" s="541"/>
      <c r="L85" s="541"/>
      <c r="M85" s="570"/>
      <c r="N85" s="570"/>
      <c r="O85" s="571"/>
      <c r="P85" s="543" cm="1">
        <f t="array" ref="P85">SUM(SUMIFS('caseload data'!V:V,'caseload data'!B:B,{"licence","community"},'caseload data'!$C:$C,B85))</f>
        <v>0</v>
      </c>
      <c r="Q85" s="560"/>
      <c r="R85" s="561"/>
      <c r="T85" s="288">
        <f>HLOOKUP($B$5,Region_Table,25,0)</f>
        <v>0</v>
      </c>
      <c r="U85" s="540" t="s">
        <v>1081</v>
      </c>
      <c r="V85" s="541"/>
      <c r="W85" s="541"/>
      <c r="X85" s="541"/>
      <c r="Y85" s="541"/>
      <c r="Z85" s="541"/>
      <c r="AA85" s="541"/>
      <c r="AB85" s="541"/>
      <c r="AC85" s="541"/>
      <c r="AD85" s="541"/>
      <c r="AE85" s="570"/>
      <c r="AF85" s="570"/>
      <c r="AG85" s="571"/>
      <c r="AH85" s="543" cm="1">
        <f t="array" ref="AH85">SUM(SUMIFS('caseload data'!V:V,'caseload data'!B:B,{"licence","community"},'caseload data'!$C:$C,T85))</f>
        <v>0</v>
      </c>
      <c r="AI85" s="560"/>
      <c r="AJ85" s="561"/>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167" t="str" cm="1">
        <f t="array" ref="C87">IFERROR(SUM(SUMIFS('caseload data'!E:E,'caseload data'!$C:$C,'community %'!$B$85,'caseload data'!$D:$D,"PO",'caseload data'!$B:$B,{"licence","community"}))/SUM(SUMIFS('caseload data'!E:E,'caseload data'!$B:$B,{"licence","community"},'caseload data'!$C:$C,'community %'!$B$85)),"")</f>
        <v/>
      </c>
      <c r="D87" s="167" t="str" cm="1">
        <f t="array" ref="D87">IFERROR(SUM(SUMIFS('caseload data'!F:F,'caseload data'!$C:$C,'community %'!$B$85,'caseload data'!$D:$D,"PO",'caseload data'!$B:$B,{"licence","community"}))/SUM(SUMIFS('caseload data'!F:F,'caseload data'!$B:$B,{"licence","community"},'caseload data'!$C:$C,'community %'!$B$85)),"")</f>
        <v/>
      </c>
      <c r="E87" s="167" t="str" cm="1">
        <f t="array" ref="E87">IFERROR(SUM(SUMIFS('caseload data'!G:G,'caseload data'!$C:$C,'community %'!$B$85,'caseload data'!$D:$D,"PO",'caseload data'!$B:$B,{"licence","community"}))/SUM(SUMIFS('caseload data'!G:G,'caseload data'!$B:$B,{"licence","community"},'caseload data'!$C:$C,'community %'!$B$85)),"")</f>
        <v/>
      </c>
      <c r="F87" s="167" t="str" cm="1">
        <f t="array" ref="F87">IFERROR(SUM(SUMIFS('caseload data'!H:H,'caseload data'!$C:$C,'community %'!$B$85,'caseload data'!$D:$D,"PO",'caseload data'!$B:$B,{"licence","community"}))/SUM(SUMIFS('caseload data'!H:H,'caseload data'!$B:$B,{"licence","community"},'caseload data'!$C:$C,'community %'!$B$85)),"")</f>
        <v/>
      </c>
      <c r="G87" s="167" t="str" cm="1">
        <f t="array" ref="G87">IFERROR(SUM(SUMIFS('caseload data'!I:I,'caseload data'!$C:$C,'community %'!$B$85,'caseload data'!$D:$D,"PO",'caseload data'!$B:$B,{"licence","community"}))/SUM(SUMIFS('caseload data'!I:I,'caseload data'!$B:$B,{"licence","community"},'caseload data'!$C:$C,'community %'!$B$85)),"")</f>
        <v/>
      </c>
      <c r="H87" s="167" t="str" cm="1">
        <f t="array" ref="H87">IFERROR(SUM(SUMIFS('caseload data'!J:J,'caseload data'!$C:$C,'community %'!$B$85,'caseload data'!$D:$D,"PO",'caseload data'!$B:$B,{"licence","community"}))/SUM(SUMIFS('caseload data'!J:J,'caseload data'!$B:$B,{"licence","community"},'caseload data'!$C:$C,'community %'!$B$85)),"")</f>
        <v/>
      </c>
      <c r="I87" s="167" t="str" cm="1">
        <f t="array" ref="I87">IFERROR(SUM(SUMIFS('caseload data'!K:K,'caseload data'!$C:$C,'community %'!$B$85,'caseload data'!$D:$D,"PO",'caseload data'!$B:$B,{"licence","community"}))/SUM(SUMIFS('caseload data'!K:K,'caseload data'!$B:$B,{"licence","community"},'caseload data'!$C:$C,'community %'!$B$85)),"")</f>
        <v/>
      </c>
      <c r="J87" s="167" t="str" cm="1">
        <f t="array" ref="J87">IFERROR(SUM(SUMIFS('caseload data'!L:L,'caseload data'!$C:$C,'community %'!$B$85,'caseload data'!$D:$D,"PO",'caseload data'!$B:$B,{"licence","community"}))/SUM(SUMIFS('caseload data'!L:L,'caseload data'!$B:$B,{"licence","community"},'caseload data'!$C:$C,'community %'!$B$85)),"")</f>
        <v/>
      </c>
      <c r="K87" s="167" t="str" cm="1">
        <f t="array" ref="K87">IFERROR(SUM(SUMIFS('caseload data'!M:M,'caseload data'!$C:$C,'community %'!$B$85,'caseload data'!$D:$D,"PO",'caseload data'!$B:$B,{"licence","community"}))/SUM(SUMIFS('caseload data'!M:M,'caseload data'!$B:$B,{"licence","community"},'caseload data'!$C:$C,'community %'!$B$85)),"")</f>
        <v/>
      </c>
      <c r="L87" s="167" t="str" cm="1">
        <f t="array" ref="L87">IFERROR(SUM(SUMIFS('caseload data'!N:N,'caseload data'!$C:$C,'community %'!$B$85,'caseload data'!$D:$D,"PO",'caseload data'!$B:$B,{"licence","community"}))/SUM(SUMIFS('caseload data'!N:N,'caseload data'!$B:$B,{"licence","community"},'caseload data'!$C:$C,'community %'!$B$85)),"")</f>
        <v/>
      </c>
      <c r="M87" s="167" t="str" cm="1">
        <f t="array" ref="M87">IFERROR(SUM(SUMIFS('caseload data'!O:O,'caseload data'!$C:$C,'community %'!$B$85,'caseload data'!$D:$D,"PO",'caseload data'!$B:$B,{"licence","community"}))/SUM(SUMIFS('caseload data'!O:O,'caseload data'!$B:$B,{"licence","community"},'caseload data'!$C:$C,'community %'!$B$85)),"")</f>
        <v/>
      </c>
      <c r="N87" s="167" t="str" cm="1">
        <f t="array" ref="N87">IFERROR(SUM(SUMIFS('caseload data'!P:P,'caseload data'!$C:$C,'community %'!$B$85,'caseload data'!$D:$D,"PO",'caseload data'!$B:$B,{"licence","community"}))/SUM(SUMIFS('caseload data'!P:P,'caseload data'!$B:$B,{"licence","community"},'caseload data'!$C:$C,'community %'!$B$85)),"")</f>
        <v/>
      </c>
      <c r="O87" s="167" t="str" cm="1">
        <f t="array" ref="O87">IFERROR(SUM(SUMIFS('caseload data'!Q:Q,'caseload data'!$C:$C,'community %'!$B$85,'caseload data'!$D:$D,"PO",'caseload data'!$B:$B,{"licence","community"}))/SUM(SUMIFS('caseload data'!Q:Q,'caseload data'!$B:$B,{"licence","community"},'caseload data'!$C:$C,'community %'!$B$85)),"")</f>
        <v/>
      </c>
      <c r="P87" s="167" t="str" cm="1">
        <f t="array" ref="P87">IFERROR(SUM(SUMIFS('caseload data'!R:R,'caseload data'!$C:$C,'community %'!$B$85,'caseload data'!$D:$D,"PO",'caseload data'!$B:$B,{"licence","community"}))/SUM(SUMIFS('caseload data'!R:R,'caseload data'!$B:$B,{"licence","community"},'caseload data'!$C:$C,'community %'!$B$85)),"")</f>
        <v/>
      </c>
      <c r="Q87" s="167" t="str" cm="1">
        <f t="array" ref="Q87">IFERROR(SUM(SUMIFS('caseload data'!S:S,'caseload data'!$C:$C,'community %'!$B$85,'caseload data'!$D:$D,"PO",'caseload data'!$B:$B,{"licence","community"}))/SUM(SUMIFS('caseload data'!S:S,'caseload data'!$B:$B,{"licence","community"},'caseload data'!$C:$C,'community %'!$B$85)),"")</f>
        <v/>
      </c>
      <c r="R87" s="167" t="str" cm="1">
        <f t="array" ref="R87">IFERROR(SUM(SUMIFS('caseload data'!T:T,'caseload data'!$C:$C,'community %'!$B$85,'caseload data'!$D:$D,"PO",'caseload data'!$B:$B,{"licence","community"}))/SUM(SUMIFS('caseload data'!T:T,'caseload data'!$B:$B,{"licence","community"},'caseload data'!$C:$C,'community %'!$B$85)),"")</f>
        <v/>
      </c>
      <c r="T87" s="96" t="s">
        <v>947</v>
      </c>
      <c r="U87" s="167" t="str" cm="1">
        <f t="array" ref="U87">IFERROR(SUM(SUMIFS('caseload data'!E:E,'caseload data'!$C:$C,'community %'!$T$85,'caseload data'!$D:$D,"PO",'caseload data'!$B:$B,{"licence","community"}))/SUM(SUMIFS('caseload data'!E:E,'caseload data'!$B:$B,{"licence","community"},'caseload data'!$C:$C,'community %'!$T$85)),"")</f>
        <v/>
      </c>
      <c r="V87" s="167" t="str" cm="1">
        <f t="array" ref="V87">IFERROR(SUM(SUMIFS('caseload data'!F:F,'caseload data'!$C:$C,'community %'!$T$85,'caseload data'!$D:$D,"PO",'caseload data'!$B:$B,{"licence","community"}))/SUM(SUMIFS('caseload data'!F:F,'caseload data'!$B:$B,{"licence","community"},'caseload data'!$C:$C,'community %'!$T$85)),"")</f>
        <v/>
      </c>
      <c r="W87" s="167" t="str" cm="1">
        <f t="array" ref="W87">IFERROR(SUM(SUMIFS('caseload data'!G:G,'caseload data'!$C:$C,'community %'!$T$85,'caseload data'!$D:$D,"PO",'caseload data'!$B:$B,{"licence","community"}))/SUM(SUMIFS('caseload data'!G:G,'caseload data'!$B:$B,{"licence","community"},'caseload data'!$C:$C,'community %'!$T$85)),"")</f>
        <v/>
      </c>
      <c r="X87" s="167" t="str" cm="1">
        <f t="array" ref="X87">IFERROR(SUM(SUMIFS('caseload data'!H:H,'caseload data'!$C:$C,'community %'!$T$85,'caseload data'!$D:$D,"PO",'caseload data'!$B:$B,{"licence","community"}))/SUM(SUMIFS('caseload data'!H:H,'caseload data'!$B:$B,{"licence","community"},'caseload data'!$C:$C,'community %'!$T$85)),"")</f>
        <v/>
      </c>
      <c r="Y87" s="167" t="str" cm="1">
        <f t="array" ref="Y87">IFERROR(SUM(SUMIFS('caseload data'!I:I,'caseload data'!$C:$C,'community %'!$T$85,'caseload data'!$D:$D,"PO",'caseload data'!$B:$B,{"licence","community"}))/SUM(SUMIFS('caseload data'!I:I,'caseload data'!$B:$B,{"licence","community"},'caseload data'!$C:$C,'community %'!$T$85)),"")</f>
        <v/>
      </c>
      <c r="Z87" s="167" t="str" cm="1">
        <f t="array" ref="Z87">IFERROR(SUM(SUMIFS('caseload data'!J:J,'caseload data'!$C:$C,'community %'!$T$85,'caseload data'!$D:$D,"PO",'caseload data'!$B:$B,{"licence","community"}))/SUM(SUMIFS('caseload data'!J:J,'caseload data'!$B:$B,{"licence","community"},'caseload data'!$C:$C,'community %'!$T$85)),"")</f>
        <v/>
      </c>
      <c r="AA87" s="167" t="str" cm="1">
        <f t="array" ref="AA87">IFERROR(SUM(SUMIFS('caseload data'!K:K,'caseload data'!$C:$C,'community %'!$T$85,'caseload data'!$D:$D,"PO",'caseload data'!$B:$B,{"licence","community"}))/SUM(SUMIFS('caseload data'!K:K,'caseload data'!$B:$B,{"licence","community"},'caseload data'!$C:$C,'community %'!$T$85)),"")</f>
        <v/>
      </c>
      <c r="AB87" s="167" t="str" cm="1">
        <f t="array" ref="AB87">IFERROR(SUM(SUMIFS('caseload data'!L:L,'caseload data'!$C:$C,'community %'!$T$85,'caseload data'!$D:$D,"PO",'caseload data'!$B:$B,{"licence","community"}))/SUM(SUMIFS('caseload data'!L:L,'caseload data'!$B:$B,{"licence","community"},'caseload data'!$C:$C,'community %'!$T$85)),"")</f>
        <v/>
      </c>
      <c r="AC87" s="167" t="str" cm="1">
        <f t="array" ref="AC87">IFERROR(SUM(SUMIFS('caseload data'!M:M,'caseload data'!$C:$C,'community %'!$T$85,'caseload data'!$D:$D,"PO",'caseload data'!$B:$B,{"licence","community"}))/SUM(SUMIFS('caseload data'!M:M,'caseload data'!$B:$B,{"licence","community"},'caseload data'!$C:$C,'community %'!$T$85)),"")</f>
        <v/>
      </c>
      <c r="AD87" s="167" t="str" cm="1">
        <f t="array" ref="AD87">IFERROR(SUM(SUMIFS('caseload data'!N:N,'caseload data'!$C:$C,'community %'!$T$85,'caseload data'!$D:$D,"PO",'caseload data'!$B:$B,{"licence","community"}))/SUM(SUMIFS('caseload data'!N:N,'caseload data'!$B:$B,{"licence","community"},'caseload data'!$C:$C,'community %'!$T$85)),"")</f>
        <v/>
      </c>
      <c r="AE87" s="167" t="str" cm="1">
        <f t="array" ref="AE87">IFERROR(SUM(SUMIFS('caseload data'!O:O,'caseload data'!$C:$C,'community %'!$T$85,'caseload data'!$D:$D,"PO",'caseload data'!$B:$B,{"licence","community"}))/SUM(SUMIFS('caseload data'!O:O,'caseload data'!$B:$B,{"licence","community"},'caseload data'!$C:$C,'community %'!$T$85)),"")</f>
        <v/>
      </c>
      <c r="AF87" s="167" t="str" cm="1">
        <f t="array" ref="AF87">IFERROR(SUM(SUMIFS('caseload data'!P:P,'caseload data'!$C:$C,'community %'!$T$85,'caseload data'!$D:$D,"PO",'caseload data'!$B:$B,{"licence","community"}))/SUM(SUMIFS('caseload data'!P:P,'caseload data'!$B:$B,{"licence","community"},'caseload data'!$C:$C,'community %'!$T$85)),"")</f>
        <v/>
      </c>
      <c r="AG87" s="167" t="str" cm="1">
        <f t="array" ref="AG87">IFERROR(SUM(SUMIFS('caseload data'!Q:Q,'caseload data'!$C:$C,'community %'!$T$85,'caseload data'!$D:$D,"PO",'caseload data'!$B:$B,{"licence","community"}))/SUM(SUMIFS('caseload data'!Q:Q,'caseload data'!$B:$B,{"licence","community"},'caseload data'!$C:$C,'community %'!$T$85)),"")</f>
        <v/>
      </c>
      <c r="AH87" s="167" t="str" cm="1">
        <f t="array" ref="AH87">IFERROR(SUM(SUMIFS('caseload data'!R:R,'caseload data'!$C:$C,'community %'!$T$85,'caseload data'!$D:$D,"PO",'caseload data'!$B:$B,{"licence","community"}))/SUM(SUMIFS('caseload data'!R:R,'caseload data'!$B:$B,{"licence","community"},'caseload data'!$C:$C,'community %'!$T$85)),"")</f>
        <v/>
      </c>
      <c r="AI87" s="167" t="str" cm="1">
        <f t="array" ref="AI87">IFERROR(SUM(SUMIFS('caseload data'!S:S,'caseload data'!$C:$C,'community %'!$T$85,'caseload data'!$D:$D,"PO",'caseload data'!$B:$B,{"licence","community"}))/SUM(SUMIFS('caseload data'!S:S,'caseload data'!$B:$B,{"licence","community"},'caseload data'!$C:$C,'community %'!$T$85)),"")</f>
        <v/>
      </c>
      <c r="AJ87" s="167" t="str" cm="1">
        <f t="array" ref="AJ87">IFERROR(SUM(SUMIFS('caseload data'!T:T,'caseload data'!$C:$C,'community %'!$T$85,'caseload data'!$D:$D,"PO",'caseload data'!$B:$B,{"licence","community"}))/SUM(SUMIFS('caseload data'!T:T,'caseload data'!$B:$B,{"licence","community"},'caseload data'!$C:$C,'community %'!$T$85)),"")</f>
        <v/>
      </c>
    </row>
    <row r="88" spans="2:36" x14ac:dyDescent="0.15">
      <c r="B88" s="97" t="s">
        <v>952</v>
      </c>
      <c r="C88" s="167" t="str" cm="1">
        <f t="array" ref="C88">IFERROR(SUM(SUMIFS('caseload data'!E:E,'caseload data'!$C:$C,'community %'!$B$85,'caseload data'!$D:$D,"PSO",'caseload data'!$B:$B,{"licence","community"}))/SUM(SUMIFS('caseload data'!E:E,'caseload data'!$B:$B,{"licence","community"},'caseload data'!$C:$C,'community %'!$B$85)),"")</f>
        <v/>
      </c>
      <c r="D88" s="167" t="str" cm="1">
        <f t="array" ref="D88">IFERROR(SUM(SUMIFS('caseload data'!F:F,'caseload data'!$C:$C,'community %'!$B$85,'caseload data'!$D:$D,"PSO",'caseload data'!$B:$B,{"licence","community"}))/SUM(SUMIFS('caseload data'!F:F,'caseload data'!$B:$B,{"licence","community"},'caseload data'!$C:$C,'community %'!$B$85)),"")</f>
        <v/>
      </c>
      <c r="E88" s="167" t="str" cm="1">
        <f t="array" ref="E88">IFERROR(SUM(SUMIFS('caseload data'!G:G,'caseload data'!$C:$C,'community %'!$B$85,'caseload data'!$D:$D,"PSO",'caseload data'!$B:$B,{"licence","community"}))/SUM(SUMIFS('caseload data'!G:G,'caseload data'!$B:$B,{"licence","community"},'caseload data'!$C:$C,'community %'!$B$85)),"")</f>
        <v/>
      </c>
      <c r="F88" s="167" t="str" cm="1">
        <f t="array" ref="F88">IFERROR(SUM(SUMIFS('caseload data'!H:H,'caseload data'!$C:$C,'community %'!$B$85,'caseload data'!$D:$D,"PSO",'caseload data'!$B:$B,{"licence","community"}))/SUM(SUMIFS('caseload data'!H:H,'caseload data'!$B:$B,{"licence","community"},'caseload data'!$C:$C,'community %'!$B$85)),"")</f>
        <v/>
      </c>
      <c r="G88" s="167" t="str" cm="1">
        <f t="array" ref="G88">IFERROR(SUM(SUMIFS('caseload data'!I:I,'caseload data'!$C:$C,'community %'!$B$85,'caseload data'!$D:$D,"PSO",'caseload data'!$B:$B,{"licence","community"}))/SUM(SUMIFS('caseload data'!I:I,'caseload data'!$B:$B,{"licence","community"},'caseload data'!$C:$C,'community %'!$B$85)),"")</f>
        <v/>
      </c>
      <c r="H88" s="167" t="str" cm="1">
        <f t="array" ref="H88">IFERROR(SUM(SUMIFS('caseload data'!J:J,'caseload data'!$C:$C,'community %'!$B$85,'caseload data'!$D:$D,"PSO",'caseload data'!$B:$B,{"licence","community"}))/SUM(SUMIFS('caseload data'!J:J,'caseload data'!$B:$B,{"licence","community"},'caseload data'!$C:$C,'community %'!$B$85)),"")</f>
        <v/>
      </c>
      <c r="I88" s="167" t="str" cm="1">
        <f t="array" ref="I88">IFERROR(SUM(SUMIFS('caseload data'!K:K,'caseload data'!$C:$C,'community %'!$B$85,'caseload data'!$D:$D,"PSO",'caseload data'!$B:$B,{"licence","community"}))/SUM(SUMIFS('caseload data'!K:K,'caseload data'!$B:$B,{"licence","community"},'caseload data'!$C:$C,'community %'!$B$85)),"")</f>
        <v/>
      </c>
      <c r="J88" s="167" t="str" cm="1">
        <f t="array" ref="J88">IFERROR(SUM(SUMIFS('caseload data'!L:L,'caseload data'!$C:$C,'community %'!$B$85,'caseload data'!$D:$D,"PSO",'caseload data'!$B:$B,{"licence","community"}))/SUM(SUMIFS('caseload data'!L:L,'caseload data'!$B:$B,{"licence","community"},'caseload data'!$C:$C,'community %'!$B$85)),"")</f>
        <v/>
      </c>
      <c r="K88" s="167" t="str" cm="1">
        <f t="array" ref="K88">IFERROR(SUM(SUMIFS('caseload data'!M:M,'caseload data'!$C:$C,'community %'!$B$85,'caseload data'!$D:$D,"PSO",'caseload data'!$B:$B,{"licence","community"}))/SUM(SUMIFS('caseload data'!M:M,'caseload data'!$B:$B,{"licence","community"},'caseload data'!$C:$C,'community %'!$B$85)),"")</f>
        <v/>
      </c>
      <c r="L88" s="167" t="str" cm="1">
        <f t="array" ref="L88">IFERROR(SUM(SUMIFS('caseload data'!N:N,'caseload data'!$C:$C,'community %'!$B$85,'caseload data'!$D:$D,"PSO",'caseload data'!$B:$B,{"licence","community"}))/SUM(SUMIFS('caseload data'!N:N,'caseload data'!$B:$B,{"licence","community"},'caseload data'!$C:$C,'community %'!$B$85)),"")</f>
        <v/>
      </c>
      <c r="M88" s="167" t="str" cm="1">
        <f t="array" ref="M88">IFERROR(SUM(SUMIFS('caseload data'!O:O,'caseload data'!$C:$C,'community %'!$B$85,'caseload data'!$D:$D,"PSO",'caseload data'!$B:$B,{"licence","community"}))/SUM(SUMIFS('caseload data'!O:O,'caseload data'!$B:$B,{"licence","community"},'caseload data'!$C:$C,'community %'!$B$85)),"")</f>
        <v/>
      </c>
      <c r="N88" s="167" t="str" cm="1">
        <f t="array" ref="N88">IFERROR(SUM(SUMIFS('caseload data'!P:P,'caseload data'!$C:$C,'community %'!$B$85,'caseload data'!$D:$D,"PSO",'caseload data'!$B:$B,{"licence","community"}))/SUM(SUMIFS('caseload data'!P:P,'caseload data'!$B:$B,{"licence","community"},'caseload data'!$C:$C,'community %'!$B$85)),"")</f>
        <v/>
      </c>
      <c r="O88" s="167" t="str" cm="1">
        <f t="array" ref="O88">IFERROR(SUM(SUMIFS('caseload data'!Q:Q,'caseload data'!$C:$C,'community %'!$B$85,'caseload data'!$D:$D,"PSO",'caseload data'!$B:$B,{"licence","community"}))/SUM(SUMIFS('caseload data'!Q:Q,'caseload data'!$B:$B,{"licence","community"},'caseload data'!$C:$C,'community %'!$B$85)),"")</f>
        <v/>
      </c>
      <c r="P88" s="167" t="str" cm="1">
        <f t="array" ref="P88">IFERROR(SUM(SUMIFS('caseload data'!R:R,'caseload data'!$C:$C,'community %'!$B$85,'caseload data'!$D:$D,"PSO",'caseload data'!$B:$B,{"licence","community"}))/SUM(SUMIFS('caseload data'!R:R,'caseload data'!$B:$B,{"licence","community"},'caseload data'!$C:$C,'community %'!$B$85)),"")</f>
        <v/>
      </c>
      <c r="Q88" s="167" t="str" cm="1">
        <f t="array" ref="Q88">IFERROR(SUM(SUMIFS('caseload data'!S:S,'caseload data'!$C:$C,'community %'!$B$85,'caseload data'!$D:$D,"PSO",'caseload data'!$B:$B,{"licence","community"}))/SUM(SUMIFS('caseload data'!S:S,'caseload data'!$B:$B,{"licence","community"},'caseload data'!$C:$C,'community %'!$B$85)),"")</f>
        <v/>
      </c>
      <c r="R88" s="167" t="str" cm="1">
        <f t="array" ref="R88">IFERROR(SUM(SUMIFS('caseload data'!T:T,'caseload data'!$C:$C,'community %'!$B$85,'caseload data'!$D:$D,"PSO",'caseload data'!$B:$B,{"licence","community"}))/SUM(SUMIFS('caseload data'!T:T,'caseload data'!$B:$B,{"licence","community"},'caseload data'!$C:$C,'community %'!$B$85)),"")</f>
        <v/>
      </c>
      <c r="T88" s="97" t="s">
        <v>952</v>
      </c>
      <c r="U88" s="167" t="str" cm="1">
        <f t="array" ref="U88">IFERROR(SUM(SUMIFS('caseload data'!E:E,'caseload data'!$C:$C,'community %'!$T$85,'caseload data'!$D:$D,"PSO",'caseload data'!$B:$B,{"licence","community"}))/SUM(SUMIFS('caseload data'!E:E,'caseload data'!$B:$B,{"licence","community"},'caseload data'!$C:$C,'community %'!$T$85)),"")</f>
        <v/>
      </c>
      <c r="V88" s="167" t="str" cm="1">
        <f t="array" ref="V88">IFERROR(SUM(SUMIFS('caseload data'!F:F,'caseload data'!$C:$C,'community %'!$T$85,'caseload data'!$D:$D,"PSO",'caseload data'!$B:$B,{"licence","community"}))/SUM(SUMIFS('caseload data'!F:F,'caseload data'!$B:$B,{"licence","community"},'caseload data'!$C:$C,'community %'!$T$85)),"")</f>
        <v/>
      </c>
      <c r="W88" s="167" t="str" cm="1">
        <f t="array" ref="W88">IFERROR(SUM(SUMIFS('caseload data'!G:G,'caseload data'!$C:$C,'community %'!$T$85,'caseload data'!$D:$D,"PSO",'caseload data'!$B:$B,{"licence","community"}))/SUM(SUMIFS('caseload data'!G:G,'caseload data'!$B:$B,{"licence","community"},'caseload data'!$C:$C,'community %'!$T$85)),"")</f>
        <v/>
      </c>
      <c r="X88" s="167" t="str" cm="1">
        <f t="array" ref="X88">IFERROR(SUM(SUMIFS('caseload data'!H:H,'caseload data'!$C:$C,'community %'!$T$85,'caseload data'!$D:$D,"PSO",'caseload data'!$B:$B,{"licence","community"}))/SUM(SUMIFS('caseload data'!H:H,'caseload data'!$B:$B,{"licence","community"},'caseload data'!$C:$C,'community %'!$T$85)),"")</f>
        <v/>
      </c>
      <c r="Y88" s="167" t="str" cm="1">
        <f t="array" ref="Y88">IFERROR(SUM(SUMIFS('caseload data'!I:I,'caseload data'!$C:$C,'community %'!$T$85,'caseload data'!$D:$D,"PSO",'caseload data'!$B:$B,{"licence","community"}))/SUM(SUMIFS('caseload data'!I:I,'caseload data'!$B:$B,{"licence","community"},'caseload data'!$C:$C,'community %'!$T$85)),"")</f>
        <v/>
      </c>
      <c r="Z88" s="167" t="str" cm="1">
        <f t="array" ref="Z88">IFERROR(SUM(SUMIFS('caseload data'!J:J,'caseload data'!$C:$C,'community %'!$T$85,'caseload data'!$D:$D,"PSO",'caseload data'!$B:$B,{"licence","community"}))/SUM(SUMIFS('caseload data'!J:J,'caseload data'!$B:$B,{"licence","community"},'caseload data'!$C:$C,'community %'!$T$85)),"")</f>
        <v/>
      </c>
      <c r="AA88" s="167" t="str" cm="1">
        <f t="array" ref="AA88">IFERROR(SUM(SUMIFS('caseload data'!K:K,'caseload data'!$C:$C,'community %'!$T$85,'caseload data'!$D:$D,"PSO",'caseload data'!$B:$B,{"licence","community"}))/SUM(SUMIFS('caseload data'!K:K,'caseload data'!$B:$B,{"licence","community"},'caseload data'!$C:$C,'community %'!$T$85)),"")</f>
        <v/>
      </c>
      <c r="AB88" s="167" t="str" cm="1">
        <f t="array" ref="AB88">IFERROR(SUM(SUMIFS('caseload data'!L:L,'caseload data'!$C:$C,'community %'!$T$85,'caseload data'!$D:$D,"PSO",'caseload data'!$B:$B,{"licence","community"}))/SUM(SUMIFS('caseload data'!L:L,'caseload data'!$B:$B,{"licence","community"},'caseload data'!$C:$C,'community %'!$T$85)),"")</f>
        <v/>
      </c>
      <c r="AC88" s="167" t="str" cm="1">
        <f t="array" ref="AC88">IFERROR(SUM(SUMIFS('caseload data'!M:M,'caseload data'!$C:$C,'community %'!$T$85,'caseload data'!$D:$D,"PSO",'caseload data'!$B:$B,{"licence","community"}))/SUM(SUMIFS('caseload data'!M:M,'caseload data'!$B:$B,{"licence","community"},'caseload data'!$C:$C,'community %'!$T$85)),"")</f>
        <v/>
      </c>
      <c r="AD88" s="167" t="str" cm="1">
        <f t="array" ref="AD88">IFERROR(SUM(SUMIFS('caseload data'!N:N,'caseload data'!$C:$C,'community %'!$T$85,'caseload data'!$D:$D,"PSO",'caseload data'!$B:$B,{"licence","community"}))/SUM(SUMIFS('caseload data'!N:N,'caseload data'!$B:$B,{"licence","community"},'caseload data'!$C:$C,'community %'!$T$85)),"")</f>
        <v/>
      </c>
      <c r="AE88" s="167" t="str" cm="1">
        <f t="array" ref="AE88">IFERROR(SUM(SUMIFS('caseload data'!O:O,'caseload data'!$C:$C,'community %'!$T$85,'caseload data'!$D:$D,"PSO",'caseload data'!$B:$B,{"licence","community"}))/SUM(SUMIFS('caseload data'!O:O,'caseload data'!$B:$B,{"licence","community"},'caseload data'!$C:$C,'community %'!$T$85)),"")</f>
        <v/>
      </c>
      <c r="AF88" s="167" t="str" cm="1">
        <f t="array" ref="AF88">IFERROR(SUM(SUMIFS('caseload data'!P:P,'caseload data'!$C:$C,'community %'!$T$85,'caseload data'!$D:$D,"PSO",'caseload data'!$B:$B,{"licence","community"}))/SUM(SUMIFS('caseload data'!P:P,'caseload data'!$B:$B,{"licence","community"},'caseload data'!$C:$C,'community %'!$T$85)),"")</f>
        <v/>
      </c>
      <c r="AG88" s="167" t="str" cm="1">
        <f t="array" ref="AG88">IFERROR(SUM(SUMIFS('caseload data'!Q:Q,'caseload data'!$C:$C,'community %'!$T$85,'caseload data'!$D:$D,"PSO",'caseload data'!$B:$B,{"licence","community"}))/SUM(SUMIFS('caseload data'!Q:Q,'caseload data'!$B:$B,{"licence","community"},'caseload data'!$C:$C,'community %'!$T$85)),"")</f>
        <v/>
      </c>
      <c r="AH88" s="167" t="str" cm="1">
        <f t="array" ref="AH88">IFERROR(SUM(SUMIFS('caseload data'!R:R,'caseload data'!$C:$C,'community %'!$T$85,'caseload data'!$D:$D,"PSO",'caseload data'!$B:$B,{"licence","community"}))/SUM(SUMIFS('caseload data'!R:R,'caseload data'!$B:$B,{"licence","community"},'caseload data'!$C:$C,'community %'!$T$85)),"")</f>
        <v/>
      </c>
      <c r="AI88" s="167" t="str" cm="1">
        <f t="array" ref="AI88">IFERROR(SUM(SUMIFS('caseload data'!S:S,'caseload data'!$C:$C,'community %'!$T$85,'caseload data'!$D:$D,"PSO",'caseload data'!$B:$B,{"licence","community"}))/SUM(SUMIFS('caseload data'!S:S,'caseload data'!$B:$B,{"licence","community"},'caseload data'!$C:$C,'community %'!$T$85)),"")</f>
        <v/>
      </c>
      <c r="AJ88" s="167" t="str" cm="1">
        <f t="array" ref="AJ88">IFERROR(SUM(SUMIFS('caseload data'!T:T,'caseload data'!$C:$C,'community %'!$T$85,'caseload data'!$D:$D,"PSO",'caseload data'!$B:$B,{"licence","community"}))/SUM(SUMIFS('caseload data'!T:T,'caseload data'!$B:$B,{"licence","community"},'caseload data'!$C:$C,'community %'!$T$85)),"")</f>
        <v/>
      </c>
    </row>
    <row r="89" spans="2:36" x14ac:dyDescent="0.15">
      <c r="B89" s="97" t="s">
        <v>953</v>
      </c>
      <c r="C89" s="167" t="str" cm="1">
        <f t="array" ref="C89">IFERROR(SUM(SUMIFS('caseload data'!E:E,'caseload data'!$C:$C,'community %'!$B$85,'caseload data'!$D:$D,"TPO",'caseload data'!$B:$B,{"licence","community"}))/SUM(SUMIFS('caseload data'!E:E,'caseload data'!$B:$B,{"licence","community"},'caseload data'!$C:$C,'community %'!$B$85)),"")</f>
        <v/>
      </c>
      <c r="D89" s="167" t="str" cm="1">
        <f t="array" ref="D89">IFERROR(SUM(SUMIFS('caseload data'!F:F,'caseload data'!$C:$C,'community %'!$B$85,'caseload data'!$D:$D,"TPO",'caseload data'!$B:$B,{"licence","community"}))/SUM(SUMIFS('caseload data'!F:F,'caseload data'!$B:$B,{"licence","community"},'caseload data'!$C:$C,'community %'!$B$85)),"")</f>
        <v/>
      </c>
      <c r="E89" s="167" t="str" cm="1">
        <f t="array" ref="E89">IFERROR(SUM(SUMIFS('caseload data'!G:G,'caseload data'!$C:$C,'community %'!$B$85,'caseload data'!$D:$D,"TPO",'caseload data'!$B:$B,{"licence","community"}))/SUM(SUMIFS('caseload data'!G:G,'caseload data'!$B:$B,{"licence","community"},'caseload data'!$C:$C,'community %'!$B$85)),"")</f>
        <v/>
      </c>
      <c r="F89" s="167" t="str" cm="1">
        <f t="array" ref="F89">IFERROR(SUM(SUMIFS('caseload data'!H:H,'caseload data'!$C:$C,'community %'!$B$85,'caseload data'!$D:$D,"TPO",'caseload data'!$B:$B,{"licence","community"}))/SUM(SUMIFS('caseload data'!H:H,'caseload data'!$B:$B,{"licence","community"},'caseload data'!$C:$C,'community %'!$B$85)),"")</f>
        <v/>
      </c>
      <c r="G89" s="167" t="str" cm="1">
        <f t="array" ref="G89">IFERROR(SUM(SUMIFS('caseload data'!I:I,'caseload data'!$C:$C,'community %'!$B$85,'caseload data'!$D:$D,"TPO",'caseload data'!$B:$B,{"licence","community"}))/SUM(SUMIFS('caseload data'!I:I,'caseload data'!$B:$B,{"licence","community"},'caseload data'!$C:$C,'community %'!$B$85)),"")</f>
        <v/>
      </c>
      <c r="H89" s="167" t="str" cm="1">
        <f t="array" ref="H89">IFERROR(SUM(SUMIFS('caseload data'!J:J,'caseload data'!$C:$C,'community %'!$B$85,'caseload data'!$D:$D,"TPO",'caseload data'!$B:$B,{"licence","community"}))/SUM(SUMIFS('caseload data'!J:J,'caseload data'!$B:$B,{"licence","community"},'caseload data'!$C:$C,'community %'!$B$85)),"")</f>
        <v/>
      </c>
      <c r="I89" s="167" t="str" cm="1">
        <f t="array" ref="I89">IFERROR(SUM(SUMIFS('caseload data'!K:K,'caseload data'!$C:$C,'community %'!$B$85,'caseload data'!$D:$D,"TPO",'caseload data'!$B:$B,{"licence","community"}))/SUM(SUMIFS('caseload data'!K:K,'caseload data'!$B:$B,{"licence","community"},'caseload data'!$C:$C,'community %'!$B$85)),"")</f>
        <v/>
      </c>
      <c r="J89" s="167" t="str" cm="1">
        <f t="array" ref="J89">IFERROR(SUM(SUMIFS('caseload data'!L:L,'caseload data'!$C:$C,'community %'!$B$85,'caseload data'!$D:$D,"TPO",'caseload data'!$B:$B,{"licence","community"}))/SUM(SUMIFS('caseload data'!L:L,'caseload data'!$B:$B,{"licence","community"},'caseload data'!$C:$C,'community %'!$B$85)),"")</f>
        <v/>
      </c>
      <c r="K89" s="167" t="str" cm="1">
        <f t="array" ref="K89">IFERROR(SUM(SUMIFS('caseload data'!M:M,'caseload data'!$C:$C,'community %'!$B$85,'caseload data'!$D:$D,"TPO",'caseload data'!$B:$B,{"licence","community"}))/SUM(SUMIFS('caseload data'!M:M,'caseload data'!$B:$B,{"licence","community"},'caseload data'!$C:$C,'community %'!$B$85)),"")</f>
        <v/>
      </c>
      <c r="L89" s="167" t="str" cm="1">
        <f t="array" ref="L89">IFERROR(SUM(SUMIFS('caseload data'!N:N,'caseload data'!$C:$C,'community %'!$B$85,'caseload data'!$D:$D,"TPO",'caseload data'!$B:$B,{"licence","community"}))/SUM(SUMIFS('caseload data'!N:N,'caseload data'!$B:$B,{"licence","community"},'caseload data'!$C:$C,'community %'!$B$85)),"")</f>
        <v/>
      </c>
      <c r="M89" s="167" t="str" cm="1">
        <f t="array" ref="M89">IFERROR(SUM(SUMIFS('caseload data'!O:O,'caseload data'!$C:$C,'community %'!$B$85,'caseload data'!$D:$D,"TPO",'caseload data'!$B:$B,{"licence","community"}))/SUM(SUMIFS('caseload data'!O:O,'caseload data'!$B:$B,{"licence","community"},'caseload data'!$C:$C,'community %'!$B$85)),"")</f>
        <v/>
      </c>
      <c r="N89" s="167" t="str" cm="1">
        <f t="array" ref="N89">IFERROR(SUM(SUMIFS('caseload data'!P:P,'caseload data'!$C:$C,'community %'!$B$85,'caseload data'!$D:$D,"TPO",'caseload data'!$B:$B,{"licence","community"}))/SUM(SUMIFS('caseload data'!P:P,'caseload data'!$B:$B,{"licence","community"},'caseload data'!$C:$C,'community %'!$B$85)),"")</f>
        <v/>
      </c>
      <c r="O89" s="167" t="str" cm="1">
        <f t="array" ref="O89">IFERROR(SUM(SUMIFS('caseload data'!Q:Q,'caseload data'!$C:$C,'community %'!$B$85,'caseload data'!$D:$D,"TPO",'caseload data'!$B:$B,{"licence","community"}))/SUM(SUMIFS('caseload data'!Q:Q,'caseload data'!$B:$B,{"licence","community"},'caseload data'!$C:$C,'community %'!$B$85)),"")</f>
        <v/>
      </c>
      <c r="P89" s="167" t="str" cm="1">
        <f t="array" ref="P89">IFERROR(SUM(SUMIFS('caseload data'!R:R,'caseload data'!$C:$C,'community %'!$B$85,'caseload data'!$D:$D,"TPO",'caseload data'!$B:$B,{"licence","community"}))/SUM(SUMIFS('caseload data'!R:R,'caseload data'!$B:$B,{"licence","community"},'caseload data'!$C:$C,'community %'!$B$85)),"")</f>
        <v/>
      </c>
      <c r="Q89" s="167" t="str" cm="1">
        <f t="array" ref="Q89">IFERROR(SUM(SUMIFS('caseload data'!S:S,'caseload data'!$C:$C,'community %'!$B$85,'caseload data'!$D:$D,"TPO",'caseload data'!$B:$B,{"licence","community"}))/SUM(SUMIFS('caseload data'!S:S,'caseload data'!$B:$B,{"licence","community"},'caseload data'!$C:$C,'community %'!$B$85)),"")</f>
        <v/>
      </c>
      <c r="R89" s="167" t="str" cm="1">
        <f t="array" ref="R89">IFERROR(SUM(SUMIFS('caseload data'!T:T,'caseload data'!$C:$C,'community %'!$B$85,'caseload data'!$D:$D,"TPO",'caseload data'!$B:$B,{"licence","community"}))/SUM(SUMIFS('caseload data'!T:T,'caseload data'!$B:$B,{"licence","community"},'caseload data'!$C:$C,'community %'!$B$85)),"")</f>
        <v/>
      </c>
      <c r="T89" s="97" t="s">
        <v>953</v>
      </c>
      <c r="U89" s="167" t="str" cm="1">
        <f t="array" ref="U89">IFERROR(SUM(SUMIFS('caseload data'!E:E,'caseload data'!$C:$C,'community %'!$T$85,'caseload data'!$D:$D,"TPO",'caseload data'!$B:$B,{"licence","community"}))/SUM(SUMIFS('caseload data'!E:E,'caseload data'!$B:$B,{"licence","community"},'caseload data'!$C:$C,'community %'!$T$85)),"")</f>
        <v/>
      </c>
      <c r="V89" s="167" t="str" cm="1">
        <f t="array" ref="V89">IFERROR(SUM(SUMIFS('caseload data'!F:F,'caseload data'!$C:$C,'community %'!$T$85,'caseload data'!$D:$D,"TPO",'caseload data'!$B:$B,{"licence","community"}))/SUM(SUMIFS('caseload data'!F:F,'caseload data'!$B:$B,{"licence","community"},'caseload data'!$C:$C,'community %'!$T$85)),"")</f>
        <v/>
      </c>
      <c r="W89" s="167" t="str" cm="1">
        <f t="array" ref="W89">IFERROR(SUM(SUMIFS('caseload data'!G:G,'caseload data'!$C:$C,'community %'!$T$85,'caseload data'!$D:$D,"TPO",'caseload data'!$B:$B,{"licence","community"}))/SUM(SUMIFS('caseload data'!G:G,'caseload data'!$B:$B,{"licence","community"},'caseload data'!$C:$C,'community %'!$T$85)),"")</f>
        <v/>
      </c>
      <c r="X89" s="167" t="str" cm="1">
        <f t="array" ref="X89">IFERROR(SUM(SUMIFS('caseload data'!H:H,'caseload data'!$C:$C,'community %'!$T$85,'caseload data'!$D:$D,"TPO",'caseload data'!$B:$B,{"licence","community"}))/SUM(SUMIFS('caseload data'!H:H,'caseload data'!$B:$B,{"licence","community"},'caseload data'!$C:$C,'community %'!$T$85)),"")</f>
        <v/>
      </c>
      <c r="Y89" s="167" t="str" cm="1">
        <f t="array" ref="Y89">IFERROR(SUM(SUMIFS('caseload data'!I:I,'caseload data'!$C:$C,'community %'!$T$85,'caseload data'!$D:$D,"TPO",'caseload data'!$B:$B,{"licence","community"}))/SUM(SUMIFS('caseload data'!I:I,'caseload data'!$B:$B,{"licence","community"},'caseload data'!$C:$C,'community %'!$T$85)),"")</f>
        <v/>
      </c>
      <c r="Z89" s="167" t="str" cm="1">
        <f t="array" ref="Z89">IFERROR(SUM(SUMIFS('caseload data'!J:J,'caseload data'!$C:$C,'community %'!$T$85,'caseload data'!$D:$D,"TPO",'caseload data'!$B:$B,{"licence","community"}))/SUM(SUMIFS('caseload data'!J:J,'caseload data'!$B:$B,{"licence","community"},'caseload data'!$C:$C,'community %'!$T$85)),"")</f>
        <v/>
      </c>
      <c r="AA89" s="167" t="str" cm="1">
        <f t="array" ref="AA89">IFERROR(SUM(SUMIFS('caseload data'!K:K,'caseload data'!$C:$C,'community %'!$T$85,'caseload data'!$D:$D,"TPO",'caseload data'!$B:$B,{"licence","community"}))/SUM(SUMIFS('caseload data'!K:K,'caseload data'!$B:$B,{"licence","community"},'caseload data'!$C:$C,'community %'!$T$85)),"")</f>
        <v/>
      </c>
      <c r="AB89" s="167" t="str" cm="1">
        <f t="array" ref="AB89">IFERROR(SUM(SUMIFS('caseload data'!L:L,'caseload data'!$C:$C,'community %'!$T$85,'caseload data'!$D:$D,"TPO",'caseload data'!$B:$B,{"licence","community"}))/SUM(SUMIFS('caseload data'!L:L,'caseload data'!$B:$B,{"licence","community"},'caseload data'!$C:$C,'community %'!$T$85)),"")</f>
        <v/>
      </c>
      <c r="AC89" s="167" t="str" cm="1">
        <f t="array" ref="AC89">IFERROR(SUM(SUMIFS('caseload data'!M:M,'caseload data'!$C:$C,'community %'!$T$85,'caseload data'!$D:$D,"TPO",'caseload data'!$B:$B,{"licence","community"}))/SUM(SUMIFS('caseload data'!M:M,'caseload data'!$B:$B,{"licence","community"},'caseload data'!$C:$C,'community %'!$T$85)),"")</f>
        <v/>
      </c>
      <c r="AD89" s="167" t="str" cm="1">
        <f t="array" ref="AD89">IFERROR(SUM(SUMIFS('caseload data'!N:N,'caseload data'!$C:$C,'community %'!$T$85,'caseload data'!$D:$D,"TPO",'caseload data'!$B:$B,{"licence","community"}))/SUM(SUMIFS('caseload data'!N:N,'caseload data'!$B:$B,{"licence","community"},'caseload data'!$C:$C,'community %'!$T$85)),"")</f>
        <v/>
      </c>
      <c r="AE89" s="167" t="str" cm="1">
        <f t="array" ref="AE89">IFERROR(SUM(SUMIFS('caseload data'!O:O,'caseload data'!$C:$C,'community %'!$T$85,'caseload data'!$D:$D,"TPO",'caseload data'!$B:$B,{"licence","community"}))/SUM(SUMIFS('caseload data'!O:O,'caseload data'!$B:$B,{"licence","community"},'caseload data'!$C:$C,'community %'!$T$85)),"")</f>
        <v/>
      </c>
      <c r="AF89" s="167" t="str" cm="1">
        <f t="array" ref="AF89">IFERROR(SUM(SUMIFS('caseload data'!P:P,'caseload data'!$C:$C,'community %'!$T$85,'caseload data'!$D:$D,"TPO",'caseload data'!$B:$B,{"licence","community"}))/SUM(SUMIFS('caseload data'!P:P,'caseload data'!$B:$B,{"licence","community"},'caseload data'!$C:$C,'community %'!$T$85)),"")</f>
        <v/>
      </c>
      <c r="AG89" s="167" t="str" cm="1">
        <f t="array" ref="AG89">IFERROR(SUM(SUMIFS('caseload data'!Q:Q,'caseload data'!$C:$C,'community %'!$T$85,'caseload data'!$D:$D,"TPO",'caseload data'!$B:$B,{"licence","community"}))/SUM(SUMIFS('caseload data'!Q:Q,'caseload data'!$B:$B,{"licence","community"},'caseload data'!$C:$C,'community %'!$T$85)),"")</f>
        <v/>
      </c>
      <c r="AH89" s="167" t="str" cm="1">
        <f t="array" ref="AH89">IFERROR(SUM(SUMIFS('caseload data'!R:R,'caseload data'!$C:$C,'community %'!$T$85,'caseload data'!$D:$D,"TPO",'caseload data'!$B:$B,{"licence","community"}))/SUM(SUMIFS('caseload data'!R:R,'caseload data'!$B:$B,{"licence","community"},'caseload data'!$C:$C,'community %'!$T$85)),"")</f>
        <v/>
      </c>
      <c r="AI89" s="167" t="str" cm="1">
        <f t="array" ref="AI89">IFERROR(SUM(SUMIFS('caseload data'!S:S,'caseload data'!$C:$C,'community %'!$T$85,'caseload data'!$D:$D,"TPO",'caseload data'!$B:$B,{"licence","community"}))/SUM(SUMIFS('caseload data'!S:S,'caseload data'!$B:$B,{"licence","community"},'caseload data'!$C:$C,'community %'!$T$85)),"")</f>
        <v/>
      </c>
      <c r="AJ89" s="167" t="str" cm="1">
        <f t="array" ref="AJ89">IFERROR(SUM(SUMIFS('caseload data'!T:T,'caseload data'!$C:$C,'community %'!$T$85,'caseload data'!$D:$D,"TPO",'caseload data'!$B:$B,{"licence","community"}))/SUM(SUMIFS('caseload data'!T:T,'caseload data'!$B:$B,{"licence","community"},'caseload data'!$C:$C,'community %'!$T$85)),"")</f>
        <v/>
      </c>
    </row>
    <row r="90" spans="2:36" x14ac:dyDescent="0.15">
      <c r="B90" s="98" t="s">
        <v>954</v>
      </c>
      <c r="C90" s="167" t="str" cm="1">
        <f t="array" ref="C90">IFERROR(SUM(SUMIFS('caseload data'!E:E,'caseload data'!$C:$C,'community %'!$B$85,'caseload data'!$D:$D,"SPO",'caseload data'!$B:$B,{"licence","community"}))/SUM(SUMIFS('caseload data'!E:E,'caseload data'!$B:$B,{"licence","community"},'caseload data'!$C:$C,'community %'!$B$85)),"")</f>
        <v/>
      </c>
      <c r="D90" s="167" t="str" cm="1">
        <f t="array" ref="D90">IFERROR(SUM(SUMIFS('caseload data'!F:F,'caseload data'!$C:$C,'community %'!$B$85,'caseload data'!$D:$D,"SPO",'caseload data'!$B:$B,{"licence","community"}))/SUM(SUMIFS('caseload data'!F:F,'caseload data'!$B:$B,{"licence","community"},'caseload data'!$C:$C,'community %'!$B$85)),"")</f>
        <v/>
      </c>
      <c r="E90" s="167" t="str" cm="1">
        <f t="array" ref="E90">IFERROR(SUM(SUMIFS('caseload data'!G:G,'caseload data'!$C:$C,'community %'!$B$85,'caseload data'!$D:$D,"SPO",'caseload data'!$B:$B,{"licence","community"}))/SUM(SUMIFS('caseload data'!G:G,'caseload data'!$B:$B,{"licence","community"},'caseload data'!$C:$C,'community %'!$B$85)),"")</f>
        <v/>
      </c>
      <c r="F90" s="167" t="str" cm="1">
        <f t="array" ref="F90">IFERROR(SUM(SUMIFS('caseload data'!H:H,'caseload data'!$C:$C,'community %'!$B$85,'caseload data'!$D:$D,"SPO",'caseload data'!$B:$B,{"licence","community"}))/SUM(SUMIFS('caseload data'!H:H,'caseload data'!$B:$B,{"licence","community"},'caseload data'!$C:$C,'community %'!$B$85)),"")</f>
        <v/>
      </c>
      <c r="G90" s="167" t="str" cm="1">
        <f t="array" ref="G90">IFERROR(SUM(SUMIFS('caseload data'!I:I,'caseload data'!$C:$C,'community %'!$B$85,'caseload data'!$D:$D,"SPO",'caseload data'!$B:$B,{"licence","community"}))/SUM(SUMIFS('caseload data'!I:I,'caseload data'!$B:$B,{"licence","community"},'caseload data'!$C:$C,'community %'!$B$85)),"")</f>
        <v/>
      </c>
      <c r="H90" s="167" t="str" cm="1">
        <f t="array" ref="H90">IFERROR(SUM(SUMIFS('caseload data'!J:J,'caseload data'!$C:$C,'community %'!$B$85,'caseload data'!$D:$D,"SPO",'caseload data'!$B:$B,{"licence","community"}))/SUM(SUMIFS('caseload data'!J:J,'caseload data'!$B:$B,{"licence","community"},'caseload data'!$C:$C,'community %'!$B$85)),"")</f>
        <v/>
      </c>
      <c r="I90" s="167" t="str" cm="1">
        <f t="array" ref="I90">IFERROR(SUM(SUMIFS('caseload data'!K:K,'caseload data'!$C:$C,'community %'!$B$85,'caseload data'!$D:$D,"SPO",'caseload data'!$B:$B,{"licence","community"}))/SUM(SUMIFS('caseload data'!K:K,'caseload data'!$B:$B,{"licence","community"},'caseload data'!$C:$C,'community %'!$B$85)),"")</f>
        <v/>
      </c>
      <c r="J90" s="167" t="str" cm="1">
        <f t="array" ref="J90">IFERROR(SUM(SUMIFS('caseload data'!L:L,'caseload data'!$C:$C,'community %'!$B$85,'caseload data'!$D:$D,"SPO",'caseload data'!$B:$B,{"licence","community"}))/SUM(SUMIFS('caseload data'!L:L,'caseload data'!$B:$B,{"licence","community"},'caseload data'!$C:$C,'community %'!$B$85)),"")</f>
        <v/>
      </c>
      <c r="K90" s="167" t="str" cm="1">
        <f t="array" ref="K90">IFERROR(SUM(SUMIFS('caseload data'!M:M,'caseload data'!$C:$C,'community %'!$B$85,'caseload data'!$D:$D,"SPO",'caseload data'!$B:$B,{"licence","community"}))/SUM(SUMIFS('caseload data'!M:M,'caseload data'!$B:$B,{"licence","community"},'caseload data'!$C:$C,'community %'!$B$85)),"")</f>
        <v/>
      </c>
      <c r="L90" s="167" t="str" cm="1">
        <f t="array" ref="L90">IFERROR(SUM(SUMIFS('caseload data'!N:N,'caseload data'!$C:$C,'community %'!$B$85,'caseload data'!$D:$D,"SPO",'caseload data'!$B:$B,{"licence","community"}))/SUM(SUMIFS('caseload data'!N:N,'caseload data'!$B:$B,{"licence","community"},'caseload data'!$C:$C,'community %'!$B$85)),"")</f>
        <v/>
      </c>
      <c r="M90" s="167" t="str" cm="1">
        <f t="array" ref="M90">IFERROR(SUM(SUMIFS('caseload data'!O:O,'caseload data'!$C:$C,'community %'!$B$85,'caseload data'!$D:$D,"SPO",'caseload data'!$B:$B,{"licence","community"}))/SUM(SUMIFS('caseload data'!O:O,'caseload data'!$B:$B,{"licence","community"},'caseload data'!$C:$C,'community %'!$B$85)),"")</f>
        <v/>
      </c>
      <c r="N90" s="167" t="str" cm="1">
        <f t="array" ref="N90">IFERROR(SUM(SUMIFS('caseload data'!P:P,'caseload data'!$C:$C,'community %'!$B$85,'caseload data'!$D:$D,"SPO",'caseload data'!$B:$B,{"licence","community"}))/SUM(SUMIFS('caseload data'!P:P,'caseload data'!$B:$B,{"licence","community"},'caseload data'!$C:$C,'community %'!$B$85)),"")</f>
        <v/>
      </c>
      <c r="O90" s="167" t="str" cm="1">
        <f t="array" ref="O90">IFERROR(SUM(SUMIFS('caseload data'!Q:Q,'caseload data'!$C:$C,'community %'!$B$85,'caseload data'!$D:$D,"SPO",'caseload data'!$B:$B,{"licence","community"}))/SUM(SUMIFS('caseload data'!Q:Q,'caseload data'!$B:$B,{"licence","community"},'caseload data'!$C:$C,'community %'!$B$85)),"")</f>
        <v/>
      </c>
      <c r="P90" s="167" t="str" cm="1">
        <f t="array" ref="P90">IFERROR(SUM(SUMIFS('caseload data'!R:R,'caseload data'!$C:$C,'community %'!$B$85,'caseload data'!$D:$D,"SPO",'caseload data'!$B:$B,{"licence","community"}))/SUM(SUMIFS('caseload data'!R:R,'caseload data'!$B:$B,{"licence","community"},'caseload data'!$C:$C,'community %'!$B$85)),"")</f>
        <v/>
      </c>
      <c r="Q90" s="167" t="str" cm="1">
        <f t="array" ref="Q90">IFERROR(SUM(SUMIFS('caseload data'!S:S,'caseload data'!$C:$C,'community %'!$B$85,'caseload data'!$D:$D,"SPO",'caseload data'!$B:$B,{"licence","community"}))/SUM(SUMIFS('caseload data'!S:S,'caseload data'!$B:$B,{"licence","community"},'caseload data'!$C:$C,'community %'!$B$85)),"")</f>
        <v/>
      </c>
      <c r="R90" s="167" t="str" cm="1">
        <f t="array" ref="R90">IFERROR(SUM(SUMIFS('caseload data'!T:T,'caseload data'!$C:$C,'community %'!$B$85,'caseload data'!$D:$D,"SPO",'caseload data'!$B:$B,{"licence","community"}))/SUM(SUMIFS('caseload data'!T:T,'caseload data'!$B:$B,{"licence","community"},'caseload data'!$C:$C,'community %'!$B$85)),"")</f>
        <v/>
      </c>
      <c r="T90" s="98" t="s">
        <v>954</v>
      </c>
      <c r="U90" s="167" t="str" cm="1">
        <f t="array" ref="U90">IFERROR(SUM(SUMIFS('caseload data'!E:E,'caseload data'!$C:$C,'community %'!$T$85,'caseload data'!$D:$D,"SPO",'caseload data'!$B:$B,{"licence","community"}))/SUM(SUMIFS('caseload data'!E:E,'caseload data'!$B:$B,{"licence","community"},'caseload data'!$C:$C,'community %'!$T$85)),"")</f>
        <v/>
      </c>
      <c r="V90" s="167" t="str" cm="1">
        <f t="array" ref="V90">IFERROR(SUM(SUMIFS('caseload data'!F:F,'caseload data'!$C:$C,'community %'!$T$85,'caseload data'!$D:$D,"SPO",'caseload data'!$B:$B,{"licence","community"}))/SUM(SUMIFS('caseload data'!F:F,'caseload data'!$B:$B,{"licence","community"},'caseload data'!$C:$C,'community %'!$T$85)),"")</f>
        <v/>
      </c>
      <c r="W90" s="167" t="str" cm="1">
        <f t="array" ref="W90">IFERROR(SUM(SUMIFS('caseload data'!G:G,'caseload data'!$C:$C,'community %'!$T$85,'caseload data'!$D:$D,"SPO",'caseload data'!$B:$B,{"licence","community"}))/SUM(SUMIFS('caseload data'!G:G,'caseload data'!$B:$B,{"licence","community"},'caseload data'!$C:$C,'community %'!$T$85)),"")</f>
        <v/>
      </c>
      <c r="X90" s="167" t="str" cm="1">
        <f t="array" ref="X90">IFERROR(SUM(SUMIFS('caseload data'!H:H,'caseload data'!$C:$C,'community %'!$T$85,'caseload data'!$D:$D,"SPO",'caseload data'!$B:$B,{"licence","community"}))/SUM(SUMIFS('caseload data'!H:H,'caseload data'!$B:$B,{"licence","community"},'caseload data'!$C:$C,'community %'!$T$85)),"")</f>
        <v/>
      </c>
      <c r="Y90" s="167" t="str" cm="1">
        <f t="array" ref="Y90">IFERROR(SUM(SUMIFS('caseload data'!I:I,'caseload data'!$C:$C,'community %'!$T$85,'caseload data'!$D:$D,"SPO",'caseload data'!$B:$B,{"licence","community"}))/SUM(SUMIFS('caseload data'!I:I,'caseload data'!$B:$B,{"licence","community"},'caseload data'!$C:$C,'community %'!$T$85)),"")</f>
        <v/>
      </c>
      <c r="Z90" s="167" t="str" cm="1">
        <f t="array" ref="Z90">IFERROR(SUM(SUMIFS('caseload data'!J:J,'caseload data'!$C:$C,'community %'!$T$85,'caseload data'!$D:$D,"SPO",'caseload data'!$B:$B,{"licence","community"}))/SUM(SUMIFS('caseload data'!J:J,'caseload data'!$B:$B,{"licence","community"},'caseload data'!$C:$C,'community %'!$T$85)),"")</f>
        <v/>
      </c>
      <c r="AA90" s="167" t="str" cm="1">
        <f t="array" ref="AA90">IFERROR(SUM(SUMIFS('caseload data'!K:K,'caseload data'!$C:$C,'community %'!$T$85,'caseload data'!$D:$D,"SPO",'caseload data'!$B:$B,{"licence","community"}))/SUM(SUMIFS('caseload data'!K:K,'caseload data'!$B:$B,{"licence","community"},'caseload data'!$C:$C,'community %'!$T$85)),"")</f>
        <v/>
      </c>
      <c r="AB90" s="167" t="str" cm="1">
        <f t="array" ref="AB90">IFERROR(SUM(SUMIFS('caseload data'!L:L,'caseload data'!$C:$C,'community %'!$T$85,'caseload data'!$D:$D,"SPO",'caseload data'!$B:$B,{"licence","community"}))/SUM(SUMIFS('caseload data'!L:L,'caseload data'!$B:$B,{"licence","community"},'caseload data'!$C:$C,'community %'!$T$85)),"")</f>
        <v/>
      </c>
      <c r="AC90" s="167" t="str" cm="1">
        <f t="array" ref="AC90">IFERROR(SUM(SUMIFS('caseload data'!M:M,'caseload data'!$C:$C,'community %'!$T$85,'caseload data'!$D:$D,"SPO",'caseload data'!$B:$B,{"licence","community"}))/SUM(SUMIFS('caseload data'!M:M,'caseload data'!$B:$B,{"licence","community"},'caseload data'!$C:$C,'community %'!$T$85)),"")</f>
        <v/>
      </c>
      <c r="AD90" s="167" t="str" cm="1">
        <f t="array" ref="AD90">IFERROR(SUM(SUMIFS('caseload data'!N:N,'caseload data'!$C:$C,'community %'!$T$85,'caseload data'!$D:$D,"SPO",'caseload data'!$B:$B,{"licence","community"}))/SUM(SUMIFS('caseload data'!N:N,'caseload data'!$B:$B,{"licence","community"},'caseload data'!$C:$C,'community %'!$T$85)),"")</f>
        <v/>
      </c>
      <c r="AE90" s="167" t="str" cm="1">
        <f t="array" ref="AE90">IFERROR(SUM(SUMIFS('caseload data'!O:O,'caseload data'!$C:$C,'community %'!$T$85,'caseload data'!$D:$D,"SPO",'caseload data'!$B:$B,{"licence","community"}))/SUM(SUMIFS('caseload data'!O:O,'caseload data'!$B:$B,{"licence","community"},'caseload data'!$C:$C,'community %'!$T$85)),"")</f>
        <v/>
      </c>
      <c r="AF90" s="167" t="str" cm="1">
        <f t="array" ref="AF90">IFERROR(SUM(SUMIFS('caseload data'!P:P,'caseload data'!$C:$C,'community %'!$T$85,'caseload data'!$D:$D,"SPO",'caseload data'!$B:$B,{"licence","community"}))/SUM(SUMIFS('caseload data'!P:P,'caseload data'!$B:$B,{"licence","community"},'caseload data'!$C:$C,'community %'!$T$85)),"")</f>
        <v/>
      </c>
      <c r="AG90" s="167" t="str" cm="1">
        <f t="array" ref="AG90">IFERROR(SUM(SUMIFS('caseload data'!Q:Q,'caseload data'!$C:$C,'community %'!$T$85,'caseload data'!$D:$D,"SPO",'caseload data'!$B:$B,{"licence","community"}))/SUM(SUMIFS('caseload data'!Q:Q,'caseload data'!$B:$B,{"licence","community"},'caseload data'!$C:$C,'community %'!$T$85)),"")</f>
        <v/>
      </c>
      <c r="AH90" s="167" t="str" cm="1">
        <f t="array" ref="AH90">IFERROR(SUM(SUMIFS('caseload data'!R:R,'caseload data'!$C:$C,'community %'!$T$85,'caseload data'!$D:$D,"SPO",'caseload data'!$B:$B,{"licence","community"}))/SUM(SUMIFS('caseload data'!R:R,'caseload data'!$B:$B,{"licence","community"},'caseload data'!$C:$C,'community %'!$T$85)),"")</f>
        <v/>
      </c>
      <c r="AI90" s="167" t="str" cm="1">
        <f t="array" ref="AI90">IFERROR(SUM(SUMIFS('caseload data'!S:S,'caseload data'!$C:$C,'community %'!$T$85,'caseload data'!$D:$D,"SPO",'caseload data'!$B:$B,{"licence","community"}))/SUM(SUMIFS('caseload data'!S:S,'caseload data'!$B:$B,{"licence","community"},'caseload data'!$C:$C,'community %'!$T$85)),"")</f>
        <v/>
      </c>
      <c r="AJ90" s="167"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288">
        <f>HLOOKUP($B$5,Region_Table,26,0)</f>
        <v>0</v>
      </c>
      <c r="C92" s="540" t="s">
        <v>1081</v>
      </c>
      <c r="D92" s="541"/>
      <c r="E92" s="541"/>
      <c r="F92" s="541"/>
      <c r="G92" s="541"/>
      <c r="H92" s="541"/>
      <c r="I92" s="541"/>
      <c r="J92" s="541"/>
      <c r="K92" s="541"/>
      <c r="L92" s="541"/>
      <c r="M92" s="570"/>
      <c r="N92" s="570"/>
      <c r="O92" s="571"/>
      <c r="P92" s="543" cm="1">
        <f t="array" ref="P92">SUM(SUMIFS('caseload data'!V:V,'caseload data'!B:B,{"licence","community"},'caseload data'!$C:$C,B92))</f>
        <v>0</v>
      </c>
      <c r="Q92" s="560"/>
      <c r="R92" s="561"/>
      <c r="T92" s="288">
        <f>HLOOKUP($B$5,Region_Table,27,0)</f>
        <v>0</v>
      </c>
      <c r="U92" s="540" t="s">
        <v>1081</v>
      </c>
      <c r="V92" s="541"/>
      <c r="W92" s="541"/>
      <c r="X92" s="541"/>
      <c r="Y92" s="541"/>
      <c r="Z92" s="541"/>
      <c r="AA92" s="541"/>
      <c r="AB92" s="541"/>
      <c r="AC92" s="541"/>
      <c r="AD92" s="541"/>
      <c r="AE92" s="570"/>
      <c r="AF92" s="570"/>
      <c r="AG92" s="571"/>
      <c r="AH92" s="543" cm="1">
        <f t="array" ref="AH92">SUM(SUMIFS('caseload data'!V:V,'caseload data'!B:B,{"licence","community"},'caseload data'!$C:$C,T92))</f>
        <v>0</v>
      </c>
      <c r="AI92" s="560"/>
      <c r="AJ92" s="561"/>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167" t="str" cm="1">
        <f t="array" ref="C94">IFERROR(SUM(SUMIFS('caseload data'!E:E,'caseload data'!$C:$C,'community %'!$B$92,'caseload data'!$D:$D,"PO",'caseload data'!$B:$B,{"licence","community"}))/SUM(SUMIFS('caseload data'!E:E,'caseload data'!$B:$B,{"licence","community"},'caseload data'!$C:$C,'community %'!$B$92)),"")</f>
        <v/>
      </c>
      <c r="D94" s="167" t="str" cm="1">
        <f t="array" ref="D94">IFERROR(SUM(SUMIFS('caseload data'!F:F,'caseload data'!$C:$C,'community %'!$B$92,'caseload data'!$D:$D,"PO",'caseload data'!$B:$B,{"licence","community"}))/SUM(SUMIFS('caseload data'!F:F,'caseload data'!$B:$B,{"licence","community"},'caseload data'!$C:$C,'community %'!$B$92)),"")</f>
        <v/>
      </c>
      <c r="E94" s="167" t="str" cm="1">
        <f t="array" ref="E94">IFERROR(SUM(SUMIFS('caseload data'!G:G,'caseload data'!$C:$C,'community %'!$B$92,'caseload data'!$D:$D,"PO",'caseload data'!$B:$B,{"licence","community"}))/SUM(SUMIFS('caseload data'!G:G,'caseload data'!$B:$B,{"licence","community"},'caseload data'!$C:$C,'community %'!$B$92)),"")</f>
        <v/>
      </c>
      <c r="F94" s="167" t="str" cm="1">
        <f t="array" ref="F94">IFERROR(SUM(SUMIFS('caseload data'!H:H,'caseload data'!$C:$C,'community %'!$B$92,'caseload data'!$D:$D,"PO",'caseload data'!$B:$B,{"licence","community"}))/SUM(SUMIFS('caseload data'!H:H,'caseload data'!$B:$B,{"licence","community"},'caseload data'!$C:$C,'community %'!$B$92)),"")</f>
        <v/>
      </c>
      <c r="G94" s="167" t="str" cm="1">
        <f t="array" ref="G94">IFERROR(SUM(SUMIFS('caseload data'!I:I,'caseload data'!$C:$C,'community %'!$B$92,'caseload data'!$D:$D,"PO",'caseload data'!$B:$B,{"licence","community"}))/SUM(SUMIFS('caseload data'!I:I,'caseload data'!$B:$B,{"licence","community"},'caseload data'!$C:$C,'community %'!$B$92)),"")</f>
        <v/>
      </c>
      <c r="H94" s="167" t="str" cm="1">
        <f t="array" ref="H94">IFERROR(SUM(SUMIFS('caseload data'!J:J,'caseload data'!$C:$C,'community %'!$B$92,'caseload data'!$D:$D,"PO",'caseload data'!$B:$B,{"licence","community"}))/SUM(SUMIFS('caseload data'!J:J,'caseload data'!$B:$B,{"licence","community"},'caseload data'!$C:$C,'community %'!$B$92)),"")</f>
        <v/>
      </c>
      <c r="I94" s="167" t="str" cm="1">
        <f t="array" ref="I94">IFERROR(SUM(SUMIFS('caseload data'!K:K,'caseload data'!$C:$C,'community %'!$B$92,'caseload data'!$D:$D,"PO",'caseload data'!$B:$B,{"licence","community"}))/SUM(SUMIFS('caseload data'!K:K,'caseload data'!$B:$B,{"licence","community"},'caseload data'!$C:$C,'community %'!$B$92)),"")</f>
        <v/>
      </c>
      <c r="J94" s="167" t="str" cm="1">
        <f t="array" ref="J94">IFERROR(SUM(SUMIFS('caseload data'!L:L,'caseload data'!$C:$C,'community %'!$B$92,'caseload data'!$D:$D,"PO",'caseload data'!$B:$B,{"licence","community"}))/SUM(SUMIFS('caseload data'!L:L,'caseload data'!$B:$B,{"licence","community"},'caseload data'!$C:$C,'community %'!$B$92)),"")</f>
        <v/>
      </c>
      <c r="K94" s="167" t="str" cm="1">
        <f t="array" ref="K94">IFERROR(SUM(SUMIFS('caseload data'!M:M,'caseload data'!$C:$C,'community %'!$B$92,'caseload data'!$D:$D,"PO",'caseload data'!$B:$B,{"licence","community"}))/SUM(SUMIFS('caseload data'!M:M,'caseload data'!$B:$B,{"licence","community"},'caseload data'!$C:$C,'community %'!$B$92)),"")</f>
        <v/>
      </c>
      <c r="L94" s="167" t="str" cm="1">
        <f t="array" ref="L94">IFERROR(SUM(SUMIFS('caseload data'!N:N,'caseload data'!$C:$C,'community %'!$B$92,'caseload data'!$D:$D,"PO",'caseload data'!$B:$B,{"licence","community"}))/SUM(SUMIFS('caseload data'!N:N,'caseload data'!$B:$B,{"licence","community"},'caseload data'!$C:$C,'community %'!$B$92)),"")</f>
        <v/>
      </c>
      <c r="M94" s="167" t="str" cm="1">
        <f t="array" ref="M94">IFERROR(SUM(SUMIFS('caseload data'!O:O,'caseload data'!$C:$C,'community %'!$B$92,'caseload data'!$D:$D,"PO",'caseload data'!$B:$B,{"licence","community"}))/SUM(SUMIFS('caseload data'!O:O,'caseload data'!$B:$B,{"licence","community"},'caseload data'!$C:$C,'community %'!$B$92)),"")</f>
        <v/>
      </c>
      <c r="N94" s="167" t="str" cm="1">
        <f t="array" ref="N94">IFERROR(SUM(SUMIFS('caseload data'!P:P,'caseload data'!$C:$C,'community %'!$B$92,'caseload data'!$D:$D,"PO",'caseload data'!$B:$B,{"licence","community"}))/SUM(SUMIFS('caseload data'!P:P,'caseload data'!$B:$B,{"licence","community"},'caseload data'!$C:$C,'community %'!$B$92)),"")</f>
        <v/>
      </c>
      <c r="O94" s="167" t="str" cm="1">
        <f t="array" ref="O94">IFERROR(SUM(SUMIFS('caseload data'!Q:Q,'caseload data'!$C:$C,'community %'!$B$92,'caseload data'!$D:$D,"PO",'caseload data'!$B:$B,{"licence","community"}))/SUM(SUMIFS('caseload data'!Q:Q,'caseload data'!$B:$B,{"licence","community"},'caseload data'!$C:$C,'community %'!$B$92)),"")</f>
        <v/>
      </c>
      <c r="P94" s="167" t="str" cm="1">
        <f t="array" ref="P94">IFERROR(SUM(SUMIFS('caseload data'!R:R,'caseload data'!$C:$C,'community %'!$B$92,'caseload data'!$D:$D,"PO",'caseload data'!$B:$B,{"licence","community"}))/SUM(SUMIFS('caseload data'!R:R,'caseload data'!$B:$B,{"licence","community"},'caseload data'!$C:$C,'community %'!$B$92)),"")</f>
        <v/>
      </c>
      <c r="Q94" s="167" t="str" cm="1">
        <f t="array" ref="Q94">IFERROR(SUM(SUMIFS('caseload data'!S:S,'caseload data'!$C:$C,'community %'!$B$92,'caseload data'!$D:$D,"PO",'caseload data'!$B:$B,{"licence","community"}))/SUM(SUMIFS('caseload data'!S:S,'caseload data'!$B:$B,{"licence","community"},'caseload data'!$C:$C,'community %'!$B$92)),"")</f>
        <v/>
      </c>
      <c r="R94" s="167" t="str" cm="1">
        <f t="array" ref="R94">IFERROR(SUM(SUMIFS('caseload data'!T:T,'caseload data'!$C:$C,'community %'!$B$92,'caseload data'!$D:$D,"PO",'caseload data'!$B:$B,{"licence","community"}))/SUM(SUMIFS('caseload data'!T:T,'caseload data'!$B:$B,{"licence","community"},'caseload data'!$C:$C,'community %'!$B$92)),"")</f>
        <v/>
      </c>
      <c r="T94" s="96" t="s">
        <v>947</v>
      </c>
      <c r="U94" s="167" t="str" cm="1">
        <f t="array" ref="U94">IFERROR(SUM(SUMIFS('caseload data'!E:E,'caseload data'!$C:$C,'community %'!$T$92,'caseload data'!$D:$D,"PO",'caseload data'!$B:$B,{"licence","community"}))/SUM(SUMIFS('caseload data'!E:E,'caseload data'!$B:$B,{"licence","community"},'caseload data'!$C:$C,'community %'!$T$92)),"")</f>
        <v/>
      </c>
      <c r="V94" s="167" t="str" cm="1">
        <f t="array" ref="V94">IFERROR(SUM(SUMIFS('caseload data'!F:F,'caseload data'!$C:$C,'community %'!$T$92,'caseload data'!$D:$D,"PO",'caseload data'!$B:$B,{"licence","community"}))/SUM(SUMIFS('caseload data'!F:F,'caseload data'!$B:$B,{"licence","community"},'caseload data'!$C:$C,'community %'!$T$92)),"")</f>
        <v/>
      </c>
      <c r="W94" s="167" t="str" cm="1">
        <f t="array" ref="W94">IFERROR(SUM(SUMIFS('caseload data'!G:G,'caseload data'!$C:$C,'community %'!$T$92,'caseload data'!$D:$D,"PO",'caseload data'!$B:$B,{"licence","community"}))/SUM(SUMIFS('caseload data'!G:G,'caseload data'!$B:$B,{"licence","community"},'caseload data'!$C:$C,'community %'!$T$92)),"")</f>
        <v/>
      </c>
      <c r="X94" s="167" t="str" cm="1">
        <f t="array" ref="X94">IFERROR(SUM(SUMIFS('caseload data'!H:H,'caseload data'!$C:$C,'community %'!$T$92,'caseload data'!$D:$D,"PO",'caseload data'!$B:$B,{"licence","community"}))/SUM(SUMIFS('caseload data'!H:H,'caseload data'!$B:$B,{"licence","community"},'caseload data'!$C:$C,'community %'!$T$92)),"")</f>
        <v/>
      </c>
      <c r="Y94" s="167" t="str" cm="1">
        <f t="array" ref="Y94">IFERROR(SUM(SUMIFS('caseload data'!I:I,'caseload data'!$C:$C,'community %'!$T$92,'caseload data'!$D:$D,"PO",'caseload data'!$B:$B,{"licence","community"}))/SUM(SUMIFS('caseload data'!I:I,'caseload data'!$B:$B,{"licence","community"},'caseload data'!$C:$C,'community %'!$T$92)),"")</f>
        <v/>
      </c>
      <c r="Z94" s="167" t="str" cm="1">
        <f t="array" ref="Z94">IFERROR(SUM(SUMIFS('caseload data'!J:J,'caseload data'!$C:$C,'community %'!$T$92,'caseload data'!$D:$D,"PO",'caseload data'!$B:$B,{"licence","community"}))/SUM(SUMIFS('caseload data'!J:J,'caseload data'!$B:$B,{"licence","community"},'caseload data'!$C:$C,'community %'!$T$92)),"")</f>
        <v/>
      </c>
      <c r="AA94" s="167" t="str" cm="1">
        <f t="array" ref="AA94">IFERROR(SUM(SUMIFS('caseload data'!K:K,'caseload data'!$C:$C,'community %'!$T$92,'caseload data'!$D:$D,"PO",'caseload data'!$B:$B,{"licence","community"}))/SUM(SUMIFS('caseload data'!K:K,'caseload data'!$B:$B,{"licence","community"},'caseload data'!$C:$C,'community %'!$T$92)),"")</f>
        <v/>
      </c>
      <c r="AB94" s="167" t="str" cm="1">
        <f t="array" ref="AB94">IFERROR(SUM(SUMIFS('caseload data'!L:L,'caseload data'!$C:$C,'community %'!$T$92,'caseload data'!$D:$D,"PO",'caseload data'!$B:$B,{"licence","community"}))/SUM(SUMIFS('caseload data'!L:L,'caseload data'!$B:$B,{"licence","community"},'caseload data'!$C:$C,'community %'!$T$92)),"")</f>
        <v/>
      </c>
      <c r="AC94" s="167" t="str" cm="1">
        <f t="array" ref="AC94">IFERROR(SUM(SUMIFS('caseload data'!M:M,'caseload data'!$C:$C,'community %'!$T$92,'caseload data'!$D:$D,"PO",'caseload data'!$B:$B,{"licence","community"}))/SUM(SUMIFS('caseload data'!M:M,'caseload data'!$B:$B,{"licence","community"},'caseload data'!$C:$C,'community %'!$T$92)),"")</f>
        <v/>
      </c>
      <c r="AD94" s="167" t="str" cm="1">
        <f t="array" ref="AD94">IFERROR(SUM(SUMIFS('caseload data'!N:N,'caseload data'!$C:$C,'community %'!$T$92,'caseload data'!$D:$D,"PO",'caseload data'!$B:$B,{"licence","community"}))/SUM(SUMIFS('caseload data'!N:N,'caseload data'!$B:$B,{"licence","community"},'caseload data'!$C:$C,'community %'!$T$92)),"")</f>
        <v/>
      </c>
      <c r="AE94" s="167" t="str" cm="1">
        <f t="array" ref="AE94">IFERROR(SUM(SUMIFS('caseload data'!O:O,'caseload data'!$C:$C,'community %'!$T$92,'caseload data'!$D:$D,"PO",'caseload data'!$B:$B,{"licence","community"}))/SUM(SUMIFS('caseload data'!O:O,'caseload data'!$B:$B,{"licence","community"},'caseload data'!$C:$C,'community %'!$T$92)),"")</f>
        <v/>
      </c>
      <c r="AF94" s="167" t="str" cm="1">
        <f t="array" ref="AF94">IFERROR(SUM(SUMIFS('caseload data'!P:P,'caseload data'!$C:$C,'community %'!$T$92,'caseload data'!$D:$D,"PO",'caseload data'!$B:$B,{"licence","community"}))/SUM(SUMIFS('caseload data'!P:P,'caseload data'!$B:$B,{"licence","community"},'caseload data'!$C:$C,'community %'!$T$92)),"")</f>
        <v/>
      </c>
      <c r="AG94" s="167" t="str" cm="1">
        <f t="array" ref="AG94">IFERROR(SUM(SUMIFS('caseload data'!Q:Q,'caseload data'!$C:$C,'community %'!$T$92,'caseload data'!$D:$D,"PO",'caseload data'!$B:$B,{"licence","community"}))/SUM(SUMIFS('caseload data'!Q:Q,'caseload data'!$B:$B,{"licence","community"},'caseload data'!$C:$C,'community %'!$T$92)),"")</f>
        <v/>
      </c>
      <c r="AH94" s="167" t="str" cm="1">
        <f t="array" ref="AH94">IFERROR(SUM(SUMIFS('caseload data'!R:R,'caseload data'!$C:$C,'community %'!$T$92,'caseload data'!$D:$D,"PO",'caseload data'!$B:$B,{"licence","community"}))/SUM(SUMIFS('caseload data'!R:R,'caseload data'!$B:$B,{"licence","community"},'caseload data'!$C:$C,'community %'!$T$92)),"")</f>
        <v/>
      </c>
      <c r="AI94" s="167" t="str" cm="1">
        <f t="array" ref="AI94">IFERROR(SUM(SUMIFS('caseload data'!S:S,'caseload data'!$C:$C,'community %'!$T$92,'caseload data'!$D:$D,"PO",'caseload data'!$B:$B,{"licence","community"}))/SUM(SUMIFS('caseload data'!S:S,'caseload data'!$B:$B,{"licence","community"},'caseload data'!$C:$C,'community %'!$T$92)),"")</f>
        <v/>
      </c>
      <c r="AJ94" s="167" t="str" cm="1">
        <f t="array" ref="AJ94">IFERROR(SUM(SUMIFS('caseload data'!T:T,'caseload data'!$C:$C,'community %'!$T$92,'caseload data'!$D:$D,"PO",'caseload data'!$B:$B,{"licence","community"}))/SUM(SUMIFS('caseload data'!T:T,'caseload data'!$B:$B,{"licence","community"},'caseload data'!$C:$C,'community %'!$T$92)),"")</f>
        <v/>
      </c>
    </row>
    <row r="95" spans="2:36" x14ac:dyDescent="0.15">
      <c r="B95" s="97" t="s">
        <v>952</v>
      </c>
      <c r="C95" s="167" t="str" cm="1">
        <f t="array" ref="C95">IFERROR(SUM(SUMIFS('caseload data'!E:E,'caseload data'!$C:$C,'community %'!$B$92,'caseload data'!$D:$D,"PSO",'caseload data'!$B:$B,{"licence","community"}))/SUM(SUMIFS('caseload data'!E:E,'caseload data'!$B:$B,{"licence","community"},'caseload data'!$C:$C,'community %'!$B$92)),"")</f>
        <v/>
      </c>
      <c r="D95" s="167" t="str" cm="1">
        <f t="array" ref="D95">IFERROR(SUM(SUMIFS('caseload data'!F:F,'caseload data'!$C:$C,'community %'!$B$92,'caseload data'!$D:$D,"PSO",'caseload data'!$B:$B,{"licence","community"}))/SUM(SUMIFS('caseload data'!F:F,'caseload data'!$B:$B,{"licence","community"},'caseload data'!$C:$C,'community %'!$B$92)),"")</f>
        <v/>
      </c>
      <c r="E95" s="167" t="str" cm="1">
        <f t="array" ref="E95">IFERROR(SUM(SUMIFS('caseload data'!G:G,'caseload data'!$C:$C,'community %'!$B$92,'caseload data'!$D:$D,"PSO",'caseload data'!$B:$B,{"licence","community"}))/SUM(SUMIFS('caseload data'!G:G,'caseload data'!$B:$B,{"licence","community"},'caseload data'!$C:$C,'community %'!$B$92)),"")</f>
        <v/>
      </c>
      <c r="F95" s="167" t="str" cm="1">
        <f t="array" ref="F95">IFERROR(SUM(SUMIFS('caseload data'!H:H,'caseload data'!$C:$C,'community %'!$B$92,'caseload data'!$D:$D,"PSO",'caseload data'!$B:$B,{"licence","community"}))/SUM(SUMIFS('caseload data'!H:H,'caseload data'!$B:$B,{"licence","community"},'caseload data'!$C:$C,'community %'!$B$92)),"")</f>
        <v/>
      </c>
      <c r="G95" s="167" t="str" cm="1">
        <f t="array" ref="G95">IFERROR(SUM(SUMIFS('caseload data'!I:I,'caseload data'!$C:$C,'community %'!$B$92,'caseload data'!$D:$D,"PSO",'caseload data'!$B:$B,{"licence","community"}))/SUM(SUMIFS('caseload data'!I:I,'caseload data'!$B:$B,{"licence","community"},'caseload data'!$C:$C,'community %'!$B$92)),"")</f>
        <v/>
      </c>
      <c r="H95" s="167" t="str" cm="1">
        <f t="array" ref="H95">IFERROR(SUM(SUMIFS('caseload data'!J:J,'caseload data'!$C:$C,'community %'!$B$92,'caseload data'!$D:$D,"PSO",'caseload data'!$B:$B,{"licence","community"}))/SUM(SUMIFS('caseload data'!J:J,'caseload data'!$B:$B,{"licence","community"},'caseload data'!$C:$C,'community %'!$B$92)),"")</f>
        <v/>
      </c>
      <c r="I95" s="167" t="str" cm="1">
        <f t="array" ref="I95">IFERROR(SUM(SUMIFS('caseload data'!K:K,'caseload data'!$C:$C,'community %'!$B$92,'caseload data'!$D:$D,"PSO",'caseload data'!$B:$B,{"licence","community"}))/SUM(SUMIFS('caseload data'!K:K,'caseload data'!$B:$B,{"licence","community"},'caseload data'!$C:$C,'community %'!$B$92)),"")</f>
        <v/>
      </c>
      <c r="J95" s="167" t="str" cm="1">
        <f t="array" ref="J95">IFERROR(SUM(SUMIFS('caseload data'!L:L,'caseload data'!$C:$C,'community %'!$B$92,'caseload data'!$D:$D,"PSO",'caseload data'!$B:$B,{"licence","community"}))/SUM(SUMIFS('caseload data'!L:L,'caseload data'!$B:$B,{"licence","community"},'caseload data'!$C:$C,'community %'!$B$92)),"")</f>
        <v/>
      </c>
      <c r="K95" s="167" t="str" cm="1">
        <f t="array" ref="K95">IFERROR(SUM(SUMIFS('caseload data'!M:M,'caseload data'!$C:$C,'community %'!$B$92,'caseload data'!$D:$D,"PSO",'caseload data'!$B:$B,{"licence","community"}))/SUM(SUMIFS('caseload data'!M:M,'caseload data'!$B:$B,{"licence","community"},'caseload data'!$C:$C,'community %'!$B$92)),"")</f>
        <v/>
      </c>
      <c r="L95" s="167" t="str" cm="1">
        <f t="array" ref="L95">IFERROR(SUM(SUMIFS('caseload data'!N:N,'caseload data'!$C:$C,'community %'!$B$92,'caseload data'!$D:$D,"PSO",'caseload data'!$B:$B,{"licence","community"}))/SUM(SUMIFS('caseload data'!N:N,'caseload data'!$B:$B,{"licence","community"},'caseload data'!$C:$C,'community %'!$B$92)),"")</f>
        <v/>
      </c>
      <c r="M95" s="167" t="str" cm="1">
        <f t="array" ref="M95">IFERROR(SUM(SUMIFS('caseload data'!O:O,'caseload data'!$C:$C,'community %'!$B$92,'caseload data'!$D:$D,"PSO",'caseload data'!$B:$B,{"licence","community"}))/SUM(SUMIFS('caseload data'!O:O,'caseload data'!$B:$B,{"licence","community"},'caseload data'!$C:$C,'community %'!$B$92)),"")</f>
        <v/>
      </c>
      <c r="N95" s="167" t="str" cm="1">
        <f t="array" ref="N95">IFERROR(SUM(SUMIFS('caseload data'!P:P,'caseload data'!$C:$C,'community %'!$B$92,'caseload data'!$D:$D,"PSO",'caseload data'!$B:$B,{"licence","community"}))/SUM(SUMIFS('caseload data'!P:P,'caseload data'!$B:$B,{"licence","community"},'caseload data'!$C:$C,'community %'!$B$92)),"")</f>
        <v/>
      </c>
      <c r="O95" s="167" t="str" cm="1">
        <f t="array" ref="O95">IFERROR(SUM(SUMIFS('caseload data'!Q:Q,'caseload data'!$C:$C,'community %'!$B$92,'caseload data'!$D:$D,"PSO",'caseload data'!$B:$B,{"licence","community"}))/SUM(SUMIFS('caseload data'!Q:Q,'caseload data'!$B:$B,{"licence","community"},'caseload data'!$C:$C,'community %'!$B$92)),"")</f>
        <v/>
      </c>
      <c r="P95" s="167" t="str" cm="1">
        <f t="array" ref="P95">IFERROR(SUM(SUMIFS('caseload data'!R:R,'caseload data'!$C:$C,'community %'!$B$92,'caseload data'!$D:$D,"PSO",'caseload data'!$B:$B,{"licence","community"}))/SUM(SUMIFS('caseload data'!R:R,'caseload data'!$B:$B,{"licence","community"},'caseload data'!$C:$C,'community %'!$B$92)),"")</f>
        <v/>
      </c>
      <c r="Q95" s="167" t="str" cm="1">
        <f t="array" ref="Q95">IFERROR(SUM(SUMIFS('caseload data'!S:S,'caseload data'!$C:$C,'community %'!$B$92,'caseload data'!$D:$D,"PSO",'caseload data'!$B:$B,{"licence","community"}))/SUM(SUMIFS('caseload data'!S:S,'caseload data'!$B:$B,{"licence","community"},'caseload data'!$C:$C,'community %'!$B$92)),"")</f>
        <v/>
      </c>
      <c r="R95" s="167" t="str" cm="1">
        <f t="array" ref="R95">IFERROR(SUM(SUMIFS('caseload data'!T:T,'caseload data'!$C:$C,'community %'!$B$92,'caseload data'!$D:$D,"PSO",'caseload data'!$B:$B,{"licence","community"}))/SUM(SUMIFS('caseload data'!T:T,'caseload data'!$B:$B,{"licence","community"},'caseload data'!$C:$C,'community %'!$B$92)),"")</f>
        <v/>
      </c>
      <c r="T95" s="97" t="s">
        <v>952</v>
      </c>
      <c r="U95" s="167" t="str" cm="1">
        <f t="array" ref="U95">IFERROR(SUM(SUMIFS('caseload data'!E:E,'caseload data'!$C:$C,'community %'!$T$92,'caseload data'!$D:$D,"PSO",'caseload data'!$B:$B,{"licence","community"}))/SUM(SUMIFS('caseload data'!E:E,'caseload data'!$B:$B,{"licence","community"},'caseload data'!$C:$C,'community %'!$T$92)),"")</f>
        <v/>
      </c>
      <c r="V95" s="167" t="str" cm="1">
        <f t="array" ref="V95">IFERROR(SUM(SUMIFS('caseload data'!F:F,'caseload data'!$C:$C,'community %'!$T$92,'caseload data'!$D:$D,"PSO",'caseload data'!$B:$B,{"licence","community"}))/SUM(SUMIFS('caseload data'!F:F,'caseload data'!$B:$B,{"licence","community"},'caseload data'!$C:$C,'community %'!$T$92)),"")</f>
        <v/>
      </c>
      <c r="W95" s="167" t="str" cm="1">
        <f t="array" ref="W95">IFERROR(SUM(SUMIFS('caseload data'!G:G,'caseload data'!$C:$C,'community %'!$T$92,'caseload data'!$D:$D,"PSO",'caseload data'!$B:$B,{"licence","community"}))/SUM(SUMIFS('caseload data'!G:G,'caseload data'!$B:$B,{"licence","community"},'caseload data'!$C:$C,'community %'!$T$92)),"")</f>
        <v/>
      </c>
      <c r="X95" s="167" t="str" cm="1">
        <f t="array" ref="X95">IFERROR(SUM(SUMIFS('caseload data'!H:H,'caseload data'!$C:$C,'community %'!$T$92,'caseload data'!$D:$D,"PSO",'caseload data'!$B:$B,{"licence","community"}))/SUM(SUMIFS('caseload data'!H:H,'caseload data'!$B:$B,{"licence","community"},'caseload data'!$C:$C,'community %'!$T$92)),"")</f>
        <v/>
      </c>
      <c r="Y95" s="167" t="str" cm="1">
        <f t="array" ref="Y95">IFERROR(SUM(SUMIFS('caseload data'!I:I,'caseload data'!$C:$C,'community %'!$T$92,'caseload data'!$D:$D,"PSO",'caseload data'!$B:$B,{"licence","community"}))/SUM(SUMIFS('caseload data'!I:I,'caseload data'!$B:$B,{"licence","community"},'caseload data'!$C:$C,'community %'!$T$92)),"")</f>
        <v/>
      </c>
      <c r="Z95" s="167" t="str" cm="1">
        <f t="array" ref="Z95">IFERROR(SUM(SUMIFS('caseload data'!J:J,'caseload data'!$C:$C,'community %'!$T$92,'caseload data'!$D:$D,"PSO",'caseload data'!$B:$B,{"licence","community"}))/SUM(SUMIFS('caseload data'!J:J,'caseload data'!$B:$B,{"licence","community"},'caseload data'!$C:$C,'community %'!$T$92)),"")</f>
        <v/>
      </c>
      <c r="AA95" s="167" t="str" cm="1">
        <f t="array" ref="AA95">IFERROR(SUM(SUMIFS('caseload data'!K:K,'caseload data'!$C:$C,'community %'!$T$92,'caseload data'!$D:$D,"PSO",'caseload data'!$B:$B,{"licence","community"}))/SUM(SUMIFS('caseload data'!K:K,'caseload data'!$B:$B,{"licence","community"},'caseload data'!$C:$C,'community %'!$T$92)),"")</f>
        <v/>
      </c>
      <c r="AB95" s="167" t="str" cm="1">
        <f t="array" ref="AB95">IFERROR(SUM(SUMIFS('caseload data'!L:L,'caseload data'!$C:$C,'community %'!$T$92,'caseload data'!$D:$D,"PSO",'caseload data'!$B:$B,{"licence","community"}))/SUM(SUMIFS('caseload data'!L:L,'caseload data'!$B:$B,{"licence","community"},'caseload data'!$C:$C,'community %'!$T$92)),"")</f>
        <v/>
      </c>
      <c r="AC95" s="167" t="str" cm="1">
        <f t="array" ref="AC95">IFERROR(SUM(SUMIFS('caseload data'!M:M,'caseload data'!$C:$C,'community %'!$T$92,'caseload data'!$D:$D,"PSO",'caseload data'!$B:$B,{"licence","community"}))/SUM(SUMIFS('caseload data'!M:M,'caseload data'!$B:$B,{"licence","community"},'caseload data'!$C:$C,'community %'!$T$92)),"")</f>
        <v/>
      </c>
      <c r="AD95" s="167" t="str" cm="1">
        <f t="array" ref="AD95">IFERROR(SUM(SUMIFS('caseload data'!N:N,'caseload data'!$C:$C,'community %'!$T$92,'caseload data'!$D:$D,"PSO",'caseload data'!$B:$B,{"licence","community"}))/SUM(SUMIFS('caseload data'!N:N,'caseload data'!$B:$B,{"licence","community"},'caseload data'!$C:$C,'community %'!$T$92)),"")</f>
        <v/>
      </c>
      <c r="AE95" s="167" t="str" cm="1">
        <f t="array" ref="AE95">IFERROR(SUM(SUMIFS('caseload data'!O:O,'caseload data'!$C:$C,'community %'!$T$92,'caseload data'!$D:$D,"PSO",'caseload data'!$B:$B,{"licence","community"}))/SUM(SUMIFS('caseload data'!O:O,'caseload data'!$B:$B,{"licence","community"},'caseload data'!$C:$C,'community %'!$T$92)),"")</f>
        <v/>
      </c>
      <c r="AF95" s="167" t="str" cm="1">
        <f t="array" ref="AF95">IFERROR(SUM(SUMIFS('caseload data'!P:P,'caseload data'!$C:$C,'community %'!$T$92,'caseload data'!$D:$D,"PSO",'caseload data'!$B:$B,{"licence","community"}))/SUM(SUMIFS('caseload data'!P:P,'caseload data'!$B:$B,{"licence","community"},'caseload data'!$C:$C,'community %'!$T$92)),"")</f>
        <v/>
      </c>
      <c r="AG95" s="167" t="str" cm="1">
        <f t="array" ref="AG95">IFERROR(SUM(SUMIFS('caseload data'!Q:Q,'caseload data'!$C:$C,'community %'!$T$92,'caseload data'!$D:$D,"PSO",'caseload data'!$B:$B,{"licence","community"}))/SUM(SUMIFS('caseload data'!Q:Q,'caseload data'!$B:$B,{"licence","community"},'caseload data'!$C:$C,'community %'!$T$92)),"")</f>
        <v/>
      </c>
      <c r="AH95" s="167" t="str" cm="1">
        <f t="array" ref="AH95">IFERROR(SUM(SUMIFS('caseload data'!R:R,'caseload data'!$C:$C,'community %'!$T$92,'caseload data'!$D:$D,"PSO",'caseload data'!$B:$B,{"licence","community"}))/SUM(SUMIFS('caseload data'!R:R,'caseload data'!$B:$B,{"licence","community"},'caseload data'!$C:$C,'community %'!$T$92)),"")</f>
        <v/>
      </c>
      <c r="AI95" s="167" t="str" cm="1">
        <f t="array" ref="AI95">IFERROR(SUM(SUMIFS('caseload data'!S:S,'caseload data'!$C:$C,'community %'!$T$92,'caseload data'!$D:$D,"PSO",'caseload data'!$B:$B,{"licence","community"}))/SUM(SUMIFS('caseload data'!S:S,'caseload data'!$B:$B,{"licence","community"},'caseload data'!$C:$C,'community %'!$T$92)),"")</f>
        <v/>
      </c>
      <c r="AJ95" s="167" t="str" cm="1">
        <f t="array" ref="AJ95">IFERROR(SUM(SUMIFS('caseload data'!T:T,'caseload data'!$C:$C,'community %'!$T$92,'caseload data'!$D:$D,"PSO",'caseload data'!$B:$B,{"licence","community"}))/SUM(SUMIFS('caseload data'!T:T,'caseload data'!$B:$B,{"licence","community"},'caseload data'!$C:$C,'community %'!$T$92)),"")</f>
        <v/>
      </c>
    </row>
    <row r="96" spans="2:36" x14ac:dyDescent="0.15">
      <c r="B96" s="97" t="s">
        <v>953</v>
      </c>
      <c r="C96" s="167" t="str" cm="1">
        <f t="array" ref="C96">IFERROR(SUM(SUMIFS('caseload data'!E:E,'caseload data'!$C:$C,'community %'!$B$92,'caseload data'!$D:$D,"TPO",'caseload data'!$B:$B,{"licence","community"}))/SUM(SUMIFS('caseload data'!E:E,'caseload data'!$B:$B,{"licence","community"},'caseload data'!$C:$C,'community %'!$B$92)),"")</f>
        <v/>
      </c>
      <c r="D96" s="167" t="str" cm="1">
        <f t="array" ref="D96">IFERROR(SUM(SUMIFS('caseload data'!F:F,'caseload data'!$C:$C,'community %'!$B$92,'caseload data'!$D:$D,"TPO",'caseload data'!$B:$B,{"licence","community"}))/SUM(SUMIFS('caseload data'!F:F,'caseload data'!$B:$B,{"licence","community"},'caseload data'!$C:$C,'community %'!$B$92)),"")</f>
        <v/>
      </c>
      <c r="E96" s="167" t="str" cm="1">
        <f t="array" ref="E96">IFERROR(SUM(SUMIFS('caseload data'!G:G,'caseload data'!$C:$C,'community %'!$B$92,'caseload data'!$D:$D,"TPO",'caseload data'!$B:$B,{"licence","community"}))/SUM(SUMIFS('caseload data'!G:G,'caseload data'!$B:$B,{"licence","community"},'caseload data'!$C:$C,'community %'!$B$92)),"")</f>
        <v/>
      </c>
      <c r="F96" s="167" t="str" cm="1">
        <f t="array" ref="F96">IFERROR(SUM(SUMIFS('caseload data'!H:H,'caseload data'!$C:$C,'community %'!$B$92,'caseload data'!$D:$D,"TPO",'caseload data'!$B:$B,{"licence","community"}))/SUM(SUMIFS('caseload data'!H:H,'caseload data'!$B:$B,{"licence","community"},'caseload data'!$C:$C,'community %'!$B$92)),"")</f>
        <v/>
      </c>
      <c r="G96" s="167" t="str" cm="1">
        <f t="array" ref="G96">IFERROR(SUM(SUMIFS('caseload data'!I:I,'caseload data'!$C:$C,'community %'!$B$92,'caseload data'!$D:$D,"TPO",'caseload data'!$B:$B,{"licence","community"}))/SUM(SUMIFS('caseload data'!I:I,'caseload data'!$B:$B,{"licence","community"},'caseload data'!$C:$C,'community %'!$B$92)),"")</f>
        <v/>
      </c>
      <c r="H96" s="167" t="str" cm="1">
        <f t="array" ref="H96">IFERROR(SUM(SUMIFS('caseload data'!J:J,'caseload data'!$C:$C,'community %'!$B$92,'caseload data'!$D:$D,"TPO",'caseload data'!$B:$B,{"licence","community"}))/SUM(SUMIFS('caseload data'!J:J,'caseload data'!$B:$B,{"licence","community"},'caseload data'!$C:$C,'community %'!$B$92)),"")</f>
        <v/>
      </c>
      <c r="I96" s="167" t="str" cm="1">
        <f t="array" ref="I96">IFERROR(SUM(SUMIFS('caseload data'!K:K,'caseload data'!$C:$C,'community %'!$B$92,'caseload data'!$D:$D,"TPO",'caseload data'!$B:$B,{"licence","community"}))/SUM(SUMIFS('caseload data'!K:K,'caseload data'!$B:$B,{"licence","community"},'caseload data'!$C:$C,'community %'!$B$92)),"")</f>
        <v/>
      </c>
      <c r="J96" s="167" t="str" cm="1">
        <f t="array" ref="J96">IFERROR(SUM(SUMIFS('caseload data'!L:L,'caseload data'!$C:$C,'community %'!$B$92,'caseload data'!$D:$D,"TPO",'caseload data'!$B:$B,{"licence","community"}))/SUM(SUMIFS('caseload data'!L:L,'caseload data'!$B:$B,{"licence","community"},'caseload data'!$C:$C,'community %'!$B$92)),"")</f>
        <v/>
      </c>
      <c r="K96" s="167" t="str" cm="1">
        <f t="array" ref="K96">IFERROR(SUM(SUMIFS('caseload data'!M:M,'caseload data'!$C:$C,'community %'!$B$92,'caseload data'!$D:$D,"TPO",'caseload data'!$B:$B,{"licence","community"}))/SUM(SUMIFS('caseload data'!M:M,'caseload data'!$B:$B,{"licence","community"},'caseload data'!$C:$C,'community %'!$B$92)),"")</f>
        <v/>
      </c>
      <c r="L96" s="167" t="str" cm="1">
        <f t="array" ref="L96">IFERROR(SUM(SUMIFS('caseload data'!N:N,'caseload data'!$C:$C,'community %'!$B$92,'caseload data'!$D:$D,"TPO",'caseload data'!$B:$B,{"licence","community"}))/SUM(SUMIFS('caseload data'!N:N,'caseload data'!$B:$B,{"licence","community"},'caseload data'!$C:$C,'community %'!$B$92)),"")</f>
        <v/>
      </c>
      <c r="M96" s="167" t="str" cm="1">
        <f t="array" ref="M96">IFERROR(SUM(SUMIFS('caseload data'!O:O,'caseload data'!$C:$C,'community %'!$B$92,'caseload data'!$D:$D,"TPO",'caseload data'!$B:$B,{"licence","community"}))/SUM(SUMIFS('caseload data'!O:O,'caseload data'!$B:$B,{"licence","community"},'caseload data'!$C:$C,'community %'!$B$92)),"")</f>
        <v/>
      </c>
      <c r="N96" s="167" t="str" cm="1">
        <f t="array" ref="N96">IFERROR(SUM(SUMIFS('caseload data'!P:P,'caseload data'!$C:$C,'community %'!$B$92,'caseload data'!$D:$D,"TPO",'caseload data'!$B:$B,{"licence","community"}))/SUM(SUMIFS('caseload data'!P:P,'caseload data'!$B:$B,{"licence","community"},'caseload data'!$C:$C,'community %'!$B$92)),"")</f>
        <v/>
      </c>
      <c r="O96" s="167" t="str" cm="1">
        <f t="array" ref="O96">IFERROR(SUM(SUMIFS('caseload data'!Q:Q,'caseload data'!$C:$C,'community %'!$B$92,'caseload data'!$D:$D,"TPO",'caseload data'!$B:$B,{"licence","community"}))/SUM(SUMIFS('caseload data'!Q:Q,'caseload data'!$B:$B,{"licence","community"},'caseload data'!$C:$C,'community %'!$B$92)),"")</f>
        <v/>
      </c>
      <c r="P96" s="167" t="str" cm="1">
        <f t="array" ref="P96">IFERROR(SUM(SUMIFS('caseload data'!R:R,'caseload data'!$C:$C,'community %'!$B$92,'caseload data'!$D:$D,"TPO",'caseload data'!$B:$B,{"licence","community"}))/SUM(SUMIFS('caseload data'!R:R,'caseload data'!$B:$B,{"licence","community"},'caseload data'!$C:$C,'community %'!$B$92)),"")</f>
        <v/>
      </c>
      <c r="Q96" s="167" t="str" cm="1">
        <f t="array" ref="Q96">IFERROR(SUM(SUMIFS('caseload data'!S:S,'caseload data'!$C:$C,'community %'!$B$92,'caseload data'!$D:$D,"TPO",'caseload data'!$B:$B,{"licence","community"}))/SUM(SUMIFS('caseload data'!S:S,'caseload data'!$B:$B,{"licence","community"},'caseload data'!$C:$C,'community %'!$B$92)),"")</f>
        <v/>
      </c>
      <c r="R96" s="167" t="str" cm="1">
        <f t="array" ref="R96">IFERROR(SUM(SUMIFS('caseload data'!T:T,'caseload data'!$C:$C,'community %'!$B$92,'caseload data'!$D:$D,"TPO",'caseload data'!$B:$B,{"licence","community"}))/SUM(SUMIFS('caseload data'!T:T,'caseload data'!$B:$B,{"licence","community"},'caseload data'!$C:$C,'community %'!$B$92)),"")</f>
        <v/>
      </c>
      <c r="T96" s="97" t="s">
        <v>953</v>
      </c>
      <c r="U96" s="167" t="str" cm="1">
        <f t="array" ref="U96">IFERROR(SUM(SUMIFS('caseload data'!E:E,'caseload data'!$C:$C,'community %'!$T$92,'caseload data'!$D:$D,"TPO",'caseload data'!$B:$B,{"licence","community"}))/SUM(SUMIFS('caseload data'!E:E,'caseload data'!$B:$B,{"licence","community"},'caseload data'!$C:$C,'community %'!$T$92)),"")</f>
        <v/>
      </c>
      <c r="V96" s="167" t="str" cm="1">
        <f t="array" ref="V96">IFERROR(SUM(SUMIFS('caseload data'!F:F,'caseload data'!$C:$C,'community %'!$T$92,'caseload data'!$D:$D,"TPO",'caseload data'!$B:$B,{"licence","community"}))/SUM(SUMIFS('caseload data'!F:F,'caseload data'!$B:$B,{"licence","community"},'caseload data'!$C:$C,'community %'!$T$92)),"")</f>
        <v/>
      </c>
      <c r="W96" s="167" t="str" cm="1">
        <f t="array" ref="W96">IFERROR(SUM(SUMIFS('caseload data'!G:G,'caseload data'!$C:$C,'community %'!$T$92,'caseload data'!$D:$D,"TPO",'caseload data'!$B:$B,{"licence","community"}))/SUM(SUMIFS('caseload data'!G:G,'caseload data'!$B:$B,{"licence","community"},'caseload data'!$C:$C,'community %'!$T$92)),"")</f>
        <v/>
      </c>
      <c r="X96" s="167" t="str" cm="1">
        <f t="array" ref="X96">IFERROR(SUM(SUMIFS('caseload data'!H:H,'caseload data'!$C:$C,'community %'!$T$92,'caseload data'!$D:$D,"TPO",'caseload data'!$B:$B,{"licence","community"}))/SUM(SUMIFS('caseload data'!H:H,'caseload data'!$B:$B,{"licence","community"},'caseload data'!$C:$C,'community %'!$T$92)),"")</f>
        <v/>
      </c>
      <c r="Y96" s="167" t="str" cm="1">
        <f t="array" ref="Y96">IFERROR(SUM(SUMIFS('caseload data'!I:I,'caseload data'!$C:$C,'community %'!$T$92,'caseload data'!$D:$D,"TPO",'caseload data'!$B:$B,{"licence","community"}))/SUM(SUMIFS('caseload data'!I:I,'caseload data'!$B:$B,{"licence","community"},'caseload data'!$C:$C,'community %'!$T$92)),"")</f>
        <v/>
      </c>
      <c r="Z96" s="167" t="str" cm="1">
        <f t="array" ref="Z96">IFERROR(SUM(SUMIFS('caseload data'!J:J,'caseload data'!$C:$C,'community %'!$T$92,'caseload data'!$D:$D,"TPO",'caseload data'!$B:$B,{"licence","community"}))/SUM(SUMIFS('caseload data'!J:J,'caseload data'!$B:$B,{"licence","community"},'caseload data'!$C:$C,'community %'!$T$92)),"")</f>
        <v/>
      </c>
      <c r="AA96" s="167" t="str" cm="1">
        <f t="array" ref="AA96">IFERROR(SUM(SUMIFS('caseload data'!K:K,'caseload data'!$C:$C,'community %'!$T$92,'caseload data'!$D:$D,"TPO",'caseload data'!$B:$B,{"licence","community"}))/SUM(SUMIFS('caseload data'!K:K,'caseload data'!$B:$B,{"licence","community"},'caseload data'!$C:$C,'community %'!$T$92)),"")</f>
        <v/>
      </c>
      <c r="AB96" s="167" t="str" cm="1">
        <f t="array" ref="AB96">IFERROR(SUM(SUMIFS('caseload data'!L:L,'caseload data'!$C:$C,'community %'!$T$92,'caseload data'!$D:$D,"TPO",'caseload data'!$B:$B,{"licence","community"}))/SUM(SUMIFS('caseload data'!L:L,'caseload data'!$B:$B,{"licence","community"},'caseload data'!$C:$C,'community %'!$T$92)),"")</f>
        <v/>
      </c>
      <c r="AC96" s="167" t="str" cm="1">
        <f t="array" ref="AC96">IFERROR(SUM(SUMIFS('caseload data'!M:M,'caseload data'!$C:$C,'community %'!$T$92,'caseload data'!$D:$D,"TPO",'caseload data'!$B:$B,{"licence","community"}))/SUM(SUMIFS('caseload data'!M:M,'caseload data'!$B:$B,{"licence","community"},'caseload data'!$C:$C,'community %'!$T$92)),"")</f>
        <v/>
      </c>
      <c r="AD96" s="167" t="str" cm="1">
        <f t="array" ref="AD96">IFERROR(SUM(SUMIFS('caseload data'!N:N,'caseload data'!$C:$C,'community %'!$T$92,'caseload data'!$D:$D,"TPO",'caseload data'!$B:$B,{"licence","community"}))/SUM(SUMIFS('caseload data'!N:N,'caseload data'!$B:$B,{"licence","community"},'caseload data'!$C:$C,'community %'!$T$92)),"")</f>
        <v/>
      </c>
      <c r="AE96" s="167" t="str" cm="1">
        <f t="array" ref="AE96">IFERROR(SUM(SUMIFS('caseload data'!O:O,'caseload data'!$C:$C,'community %'!$T$92,'caseload data'!$D:$D,"TPO",'caseload data'!$B:$B,{"licence","community"}))/SUM(SUMIFS('caseload data'!O:O,'caseload data'!$B:$B,{"licence","community"},'caseload data'!$C:$C,'community %'!$T$92)),"")</f>
        <v/>
      </c>
      <c r="AF96" s="167" t="str" cm="1">
        <f t="array" ref="AF96">IFERROR(SUM(SUMIFS('caseload data'!P:P,'caseload data'!$C:$C,'community %'!$T$92,'caseload data'!$D:$D,"TPO",'caseload data'!$B:$B,{"licence","community"}))/SUM(SUMIFS('caseload data'!P:P,'caseload data'!$B:$B,{"licence","community"},'caseload data'!$C:$C,'community %'!$T$92)),"")</f>
        <v/>
      </c>
      <c r="AG96" s="167" t="str" cm="1">
        <f t="array" ref="AG96">IFERROR(SUM(SUMIFS('caseload data'!Q:Q,'caseload data'!$C:$C,'community %'!$T$92,'caseload data'!$D:$D,"TPO",'caseload data'!$B:$B,{"licence","community"}))/SUM(SUMIFS('caseload data'!Q:Q,'caseload data'!$B:$B,{"licence","community"},'caseload data'!$C:$C,'community %'!$T$92)),"")</f>
        <v/>
      </c>
      <c r="AH96" s="167" t="str" cm="1">
        <f t="array" ref="AH96">IFERROR(SUM(SUMIFS('caseload data'!R:R,'caseload data'!$C:$C,'community %'!$T$92,'caseload data'!$D:$D,"TPO",'caseload data'!$B:$B,{"licence","community"}))/SUM(SUMIFS('caseload data'!R:R,'caseload data'!$B:$B,{"licence","community"},'caseload data'!$C:$C,'community %'!$T$92)),"")</f>
        <v/>
      </c>
      <c r="AI96" s="167" t="str" cm="1">
        <f t="array" ref="AI96">IFERROR(SUM(SUMIFS('caseload data'!S:S,'caseload data'!$C:$C,'community %'!$T$92,'caseload data'!$D:$D,"TPO",'caseload data'!$B:$B,{"licence","community"}))/SUM(SUMIFS('caseload data'!S:S,'caseload data'!$B:$B,{"licence","community"},'caseload data'!$C:$C,'community %'!$T$92)),"")</f>
        <v/>
      </c>
      <c r="AJ96" s="167" t="str" cm="1">
        <f t="array" ref="AJ96">IFERROR(SUM(SUMIFS('caseload data'!T:T,'caseload data'!$C:$C,'community %'!$T$92,'caseload data'!$D:$D,"TPO",'caseload data'!$B:$B,{"licence","community"}))/SUM(SUMIFS('caseload data'!T:T,'caseload data'!$B:$B,{"licence","community"},'caseload data'!$C:$C,'community %'!$T$92)),"")</f>
        <v/>
      </c>
    </row>
    <row r="97" spans="2:36" x14ac:dyDescent="0.15">
      <c r="B97" s="98" t="s">
        <v>954</v>
      </c>
      <c r="C97" s="167" t="str" cm="1">
        <f t="array" ref="C97">IFERROR(SUM(SUMIFS('caseload data'!E:E,'caseload data'!$C:$C,'community %'!$B$92,'caseload data'!$D:$D,"SPO",'caseload data'!$B:$B,{"licence","community"}))/SUM(SUMIFS('caseload data'!E:E,'caseload data'!$B:$B,{"licence","community"},'caseload data'!$C:$C,'community %'!$B$92)),"")</f>
        <v/>
      </c>
      <c r="D97" s="167" t="str" cm="1">
        <f t="array" ref="D97">IFERROR(SUM(SUMIFS('caseload data'!F:F,'caseload data'!$C:$C,'community %'!$B$92,'caseload data'!$D:$D,"SPO",'caseload data'!$B:$B,{"licence","community"}))/SUM(SUMIFS('caseload data'!F:F,'caseload data'!$B:$B,{"licence","community"},'caseload data'!$C:$C,'community %'!$B$92)),"")</f>
        <v/>
      </c>
      <c r="E97" s="167" t="str" cm="1">
        <f t="array" ref="E97">IFERROR(SUM(SUMIFS('caseload data'!G:G,'caseload data'!$C:$C,'community %'!$B$92,'caseload data'!$D:$D,"SPO",'caseload data'!$B:$B,{"licence","community"}))/SUM(SUMIFS('caseload data'!G:G,'caseload data'!$B:$B,{"licence","community"},'caseload data'!$C:$C,'community %'!$B$92)),"")</f>
        <v/>
      </c>
      <c r="F97" s="167" t="str" cm="1">
        <f t="array" ref="F97">IFERROR(SUM(SUMIFS('caseload data'!H:H,'caseload data'!$C:$C,'community %'!$B$92,'caseload data'!$D:$D,"SPO",'caseload data'!$B:$B,{"licence","community"}))/SUM(SUMIFS('caseload data'!H:H,'caseload data'!$B:$B,{"licence","community"},'caseload data'!$C:$C,'community %'!$B$92)),"")</f>
        <v/>
      </c>
      <c r="G97" s="167" t="str" cm="1">
        <f t="array" ref="G97">IFERROR(SUM(SUMIFS('caseload data'!I:I,'caseload data'!$C:$C,'community %'!$B$92,'caseload data'!$D:$D,"SPO",'caseload data'!$B:$B,{"licence","community"}))/SUM(SUMIFS('caseload data'!I:I,'caseload data'!$B:$B,{"licence","community"},'caseload data'!$C:$C,'community %'!$B$92)),"")</f>
        <v/>
      </c>
      <c r="H97" s="167" t="str" cm="1">
        <f t="array" ref="H97">IFERROR(SUM(SUMIFS('caseload data'!J:J,'caseload data'!$C:$C,'community %'!$B$92,'caseload data'!$D:$D,"SPO",'caseload data'!$B:$B,{"licence","community"}))/SUM(SUMIFS('caseload data'!J:J,'caseload data'!$B:$B,{"licence","community"},'caseload data'!$C:$C,'community %'!$B$92)),"")</f>
        <v/>
      </c>
      <c r="I97" s="167" t="str" cm="1">
        <f t="array" ref="I97">IFERROR(SUM(SUMIFS('caseload data'!K:K,'caseload data'!$C:$C,'community %'!$B$92,'caseload data'!$D:$D,"SPO",'caseload data'!$B:$B,{"licence","community"}))/SUM(SUMIFS('caseload data'!K:K,'caseload data'!$B:$B,{"licence","community"},'caseload data'!$C:$C,'community %'!$B$92)),"")</f>
        <v/>
      </c>
      <c r="J97" s="167" t="str" cm="1">
        <f t="array" ref="J97">IFERROR(SUM(SUMIFS('caseload data'!L:L,'caseload data'!$C:$C,'community %'!$B$92,'caseload data'!$D:$D,"SPO",'caseload data'!$B:$B,{"licence","community"}))/SUM(SUMIFS('caseload data'!L:L,'caseload data'!$B:$B,{"licence","community"},'caseload data'!$C:$C,'community %'!$B$92)),"")</f>
        <v/>
      </c>
      <c r="K97" s="167" t="str" cm="1">
        <f t="array" ref="K97">IFERROR(SUM(SUMIFS('caseload data'!M:M,'caseload data'!$C:$C,'community %'!$B$92,'caseload data'!$D:$D,"SPO",'caseload data'!$B:$B,{"licence","community"}))/SUM(SUMIFS('caseload data'!M:M,'caseload data'!$B:$B,{"licence","community"},'caseload data'!$C:$C,'community %'!$B$92)),"")</f>
        <v/>
      </c>
      <c r="L97" s="167" t="str" cm="1">
        <f t="array" ref="L97">IFERROR(SUM(SUMIFS('caseload data'!N:N,'caseload data'!$C:$C,'community %'!$B$92,'caseload data'!$D:$D,"SPO",'caseload data'!$B:$B,{"licence","community"}))/SUM(SUMIFS('caseload data'!N:N,'caseload data'!$B:$B,{"licence","community"},'caseload data'!$C:$C,'community %'!$B$92)),"")</f>
        <v/>
      </c>
      <c r="M97" s="167" t="str" cm="1">
        <f t="array" ref="M97">IFERROR(SUM(SUMIFS('caseload data'!O:O,'caseload data'!$C:$C,'community %'!$B$92,'caseload data'!$D:$D,"SPO",'caseload data'!$B:$B,{"licence","community"}))/SUM(SUMIFS('caseload data'!O:O,'caseload data'!$B:$B,{"licence","community"},'caseload data'!$C:$C,'community %'!$B$92)),"")</f>
        <v/>
      </c>
      <c r="N97" s="167" t="str" cm="1">
        <f t="array" ref="N97">IFERROR(SUM(SUMIFS('caseload data'!P:P,'caseload data'!$C:$C,'community %'!$B$92,'caseload data'!$D:$D,"SPO",'caseload data'!$B:$B,{"licence","community"}))/SUM(SUMIFS('caseload data'!P:P,'caseload data'!$B:$B,{"licence","community"},'caseload data'!$C:$C,'community %'!$B$92)),"")</f>
        <v/>
      </c>
      <c r="O97" s="167" t="str" cm="1">
        <f t="array" ref="O97">IFERROR(SUM(SUMIFS('caseload data'!Q:Q,'caseload data'!$C:$C,'community %'!$B$92,'caseload data'!$D:$D,"SPO",'caseload data'!$B:$B,{"licence","community"}))/SUM(SUMIFS('caseload data'!Q:Q,'caseload data'!$B:$B,{"licence","community"},'caseload data'!$C:$C,'community %'!$B$92)),"")</f>
        <v/>
      </c>
      <c r="P97" s="167" t="str" cm="1">
        <f t="array" ref="P97">IFERROR(SUM(SUMIFS('caseload data'!R:R,'caseload data'!$C:$C,'community %'!$B$92,'caseload data'!$D:$D,"SPO",'caseload data'!$B:$B,{"licence","community"}))/SUM(SUMIFS('caseload data'!R:R,'caseload data'!$B:$B,{"licence","community"},'caseload data'!$C:$C,'community %'!$B$92)),"")</f>
        <v/>
      </c>
      <c r="Q97" s="167" t="str" cm="1">
        <f t="array" ref="Q97">IFERROR(SUM(SUMIFS('caseload data'!S:S,'caseload data'!$C:$C,'community %'!$B$92,'caseload data'!$D:$D,"SPO",'caseload data'!$B:$B,{"licence","community"}))/SUM(SUMIFS('caseload data'!S:S,'caseload data'!$B:$B,{"licence","community"},'caseload data'!$C:$C,'community %'!$B$92)),"")</f>
        <v/>
      </c>
      <c r="R97" s="167" t="str" cm="1">
        <f t="array" ref="R97">IFERROR(SUM(SUMIFS('caseload data'!T:T,'caseload data'!$C:$C,'community %'!$B$92,'caseload data'!$D:$D,"SPO",'caseload data'!$B:$B,{"licence","community"}))/SUM(SUMIFS('caseload data'!T:T,'caseload data'!$B:$B,{"licence","community"},'caseload data'!$C:$C,'community %'!$B$92)),"")</f>
        <v/>
      </c>
      <c r="T97" s="98" t="s">
        <v>954</v>
      </c>
      <c r="U97" s="167" t="str" cm="1">
        <f t="array" ref="U97">IFERROR(SUM(SUMIFS('caseload data'!E:E,'caseload data'!$C:$C,'community %'!$T$92,'caseload data'!$D:$D,"SPO",'caseload data'!$B:$B,{"licence","community"}))/SUM(SUMIFS('caseload data'!E:E,'caseload data'!$B:$B,{"licence","community"},'caseload data'!$C:$C,'community %'!$T$92)),"")</f>
        <v/>
      </c>
      <c r="V97" s="167" t="str" cm="1">
        <f t="array" ref="V97">IFERROR(SUM(SUMIFS('caseload data'!F:F,'caseload data'!$C:$C,'community %'!$T$92,'caseload data'!$D:$D,"SPO",'caseload data'!$B:$B,{"licence","community"}))/SUM(SUMIFS('caseload data'!F:F,'caseload data'!$B:$B,{"licence","community"},'caseload data'!$C:$C,'community %'!$T$92)),"")</f>
        <v/>
      </c>
      <c r="W97" s="167" t="str" cm="1">
        <f t="array" ref="W97">IFERROR(SUM(SUMIFS('caseload data'!G:G,'caseload data'!$C:$C,'community %'!$T$92,'caseload data'!$D:$D,"SPO",'caseload data'!$B:$B,{"licence","community"}))/SUM(SUMIFS('caseload data'!G:G,'caseload data'!$B:$B,{"licence","community"},'caseload data'!$C:$C,'community %'!$T$92)),"")</f>
        <v/>
      </c>
      <c r="X97" s="167" t="str" cm="1">
        <f t="array" ref="X97">IFERROR(SUM(SUMIFS('caseload data'!H:H,'caseload data'!$C:$C,'community %'!$T$92,'caseload data'!$D:$D,"SPO",'caseload data'!$B:$B,{"licence","community"}))/SUM(SUMIFS('caseload data'!H:H,'caseload data'!$B:$B,{"licence","community"},'caseload data'!$C:$C,'community %'!$T$92)),"")</f>
        <v/>
      </c>
      <c r="Y97" s="167" t="str" cm="1">
        <f t="array" ref="Y97">IFERROR(SUM(SUMIFS('caseload data'!I:I,'caseload data'!$C:$C,'community %'!$T$92,'caseload data'!$D:$D,"SPO",'caseload data'!$B:$B,{"licence","community"}))/SUM(SUMIFS('caseload data'!I:I,'caseload data'!$B:$B,{"licence","community"},'caseload data'!$C:$C,'community %'!$T$92)),"")</f>
        <v/>
      </c>
      <c r="Z97" s="167" t="str" cm="1">
        <f t="array" ref="Z97">IFERROR(SUM(SUMIFS('caseload data'!J:J,'caseload data'!$C:$C,'community %'!$T$92,'caseload data'!$D:$D,"SPO",'caseload data'!$B:$B,{"licence","community"}))/SUM(SUMIFS('caseload data'!J:J,'caseload data'!$B:$B,{"licence","community"},'caseload data'!$C:$C,'community %'!$T$92)),"")</f>
        <v/>
      </c>
      <c r="AA97" s="167" t="str" cm="1">
        <f t="array" ref="AA97">IFERROR(SUM(SUMIFS('caseload data'!K:K,'caseload data'!$C:$C,'community %'!$T$92,'caseload data'!$D:$D,"SPO",'caseload data'!$B:$B,{"licence","community"}))/SUM(SUMIFS('caseload data'!K:K,'caseload data'!$B:$B,{"licence","community"},'caseload data'!$C:$C,'community %'!$T$92)),"")</f>
        <v/>
      </c>
      <c r="AB97" s="167" t="str" cm="1">
        <f t="array" ref="AB97">IFERROR(SUM(SUMIFS('caseload data'!L:L,'caseload data'!$C:$C,'community %'!$T$92,'caseload data'!$D:$D,"SPO",'caseload data'!$B:$B,{"licence","community"}))/SUM(SUMIFS('caseload data'!L:L,'caseload data'!$B:$B,{"licence","community"},'caseload data'!$C:$C,'community %'!$T$92)),"")</f>
        <v/>
      </c>
      <c r="AC97" s="167" t="str" cm="1">
        <f t="array" ref="AC97">IFERROR(SUM(SUMIFS('caseload data'!M:M,'caseload data'!$C:$C,'community %'!$T$92,'caseload data'!$D:$D,"SPO",'caseload data'!$B:$B,{"licence","community"}))/SUM(SUMIFS('caseload data'!M:M,'caseload data'!$B:$B,{"licence","community"},'caseload data'!$C:$C,'community %'!$T$92)),"")</f>
        <v/>
      </c>
      <c r="AD97" s="167" t="str" cm="1">
        <f t="array" ref="AD97">IFERROR(SUM(SUMIFS('caseload data'!N:N,'caseload data'!$C:$C,'community %'!$T$92,'caseload data'!$D:$D,"SPO",'caseload data'!$B:$B,{"licence","community"}))/SUM(SUMIFS('caseload data'!N:N,'caseload data'!$B:$B,{"licence","community"},'caseload data'!$C:$C,'community %'!$T$92)),"")</f>
        <v/>
      </c>
      <c r="AE97" s="167" t="str" cm="1">
        <f t="array" ref="AE97">IFERROR(SUM(SUMIFS('caseload data'!O:O,'caseload data'!$C:$C,'community %'!$T$92,'caseload data'!$D:$D,"SPO",'caseload data'!$B:$B,{"licence","community"}))/SUM(SUMIFS('caseload data'!O:O,'caseload data'!$B:$B,{"licence","community"},'caseload data'!$C:$C,'community %'!$T$92)),"")</f>
        <v/>
      </c>
      <c r="AF97" s="167" t="str" cm="1">
        <f t="array" ref="AF97">IFERROR(SUM(SUMIFS('caseload data'!P:P,'caseload data'!$C:$C,'community %'!$T$92,'caseload data'!$D:$D,"SPO",'caseload data'!$B:$B,{"licence","community"}))/SUM(SUMIFS('caseload data'!P:P,'caseload data'!$B:$B,{"licence","community"},'caseload data'!$C:$C,'community %'!$T$92)),"")</f>
        <v/>
      </c>
      <c r="AG97" s="167" t="str" cm="1">
        <f t="array" ref="AG97">IFERROR(SUM(SUMIFS('caseload data'!Q:Q,'caseload data'!$C:$C,'community %'!$T$92,'caseload data'!$D:$D,"SPO",'caseload data'!$B:$B,{"licence","community"}))/SUM(SUMIFS('caseload data'!Q:Q,'caseload data'!$B:$B,{"licence","community"},'caseload data'!$C:$C,'community %'!$T$92)),"")</f>
        <v/>
      </c>
      <c r="AH97" s="167" t="str" cm="1">
        <f t="array" ref="AH97">IFERROR(SUM(SUMIFS('caseload data'!R:R,'caseload data'!$C:$C,'community %'!$T$92,'caseload data'!$D:$D,"SPO",'caseload data'!$B:$B,{"licence","community"}))/SUM(SUMIFS('caseload data'!R:R,'caseload data'!$B:$B,{"licence","community"},'caseload data'!$C:$C,'community %'!$T$92)),"")</f>
        <v/>
      </c>
      <c r="AI97" s="167" t="str" cm="1">
        <f t="array" ref="AI97">IFERROR(SUM(SUMIFS('caseload data'!S:S,'caseload data'!$C:$C,'community %'!$T$92,'caseload data'!$D:$D,"SPO",'caseload data'!$B:$B,{"licence","community"}))/SUM(SUMIFS('caseload data'!S:S,'caseload data'!$B:$B,{"licence","community"},'caseload data'!$C:$C,'community %'!$T$92)),"")</f>
        <v/>
      </c>
      <c r="AJ97" s="167"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288">
        <f>HLOOKUP($B$5,Region_Table,28,0)</f>
        <v>0</v>
      </c>
      <c r="C99" s="540" t="s">
        <v>1081</v>
      </c>
      <c r="D99" s="541"/>
      <c r="E99" s="541"/>
      <c r="F99" s="541"/>
      <c r="G99" s="541"/>
      <c r="H99" s="541"/>
      <c r="I99" s="541"/>
      <c r="J99" s="541"/>
      <c r="K99" s="541"/>
      <c r="L99" s="541"/>
      <c r="M99" s="570"/>
      <c r="N99" s="570"/>
      <c r="O99" s="571"/>
      <c r="P99" s="543" cm="1">
        <f t="array" ref="P99">SUM(SUMIFS('caseload data'!V:V,'caseload data'!B:B,{"licence","community"},'caseload data'!$C:$C,B99))</f>
        <v>0</v>
      </c>
      <c r="Q99" s="560"/>
      <c r="R99" s="561"/>
      <c r="T99" s="288">
        <f>HLOOKUP($B$5,Region_Table,29,0)</f>
        <v>0</v>
      </c>
      <c r="U99" s="540" t="s">
        <v>1081</v>
      </c>
      <c r="V99" s="541"/>
      <c r="W99" s="541"/>
      <c r="X99" s="541"/>
      <c r="Y99" s="541"/>
      <c r="Z99" s="541"/>
      <c r="AA99" s="541"/>
      <c r="AB99" s="541"/>
      <c r="AC99" s="541"/>
      <c r="AD99" s="541"/>
      <c r="AE99" s="570"/>
      <c r="AF99" s="570"/>
      <c r="AG99" s="571"/>
      <c r="AH99" s="543" cm="1">
        <f t="array" ref="AH99">SUM(SUMIFS('caseload data'!V:V,'caseload data'!B:B,{"licence","community"},'caseload data'!$C:$C,T99))</f>
        <v>0</v>
      </c>
      <c r="AI99" s="560"/>
      <c r="AJ99" s="561"/>
    </row>
    <row r="100" spans="2:36" x14ac:dyDescent="0.15">
      <c r="B100" s="95"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289" t="s">
        <v>950</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167" t="str" cm="1">
        <f t="array" ref="C101">IFERROR(SUM(SUMIFS('caseload data'!E:E,'caseload data'!$C:$C,'community %'!$B$99,'caseload data'!$D:$D,"PO",'caseload data'!$B:$B,{"licence","community"}))/SUM(SUMIFS('caseload data'!E:E,'caseload data'!$B:$B,{"licence","community"},'caseload data'!$C:$C,'community %'!$B$99)),"")</f>
        <v/>
      </c>
      <c r="D101" s="167" t="str" cm="1">
        <f t="array" ref="D101">IFERROR(SUM(SUMIFS('caseload data'!F:F,'caseload data'!$C:$C,'community %'!$B$99,'caseload data'!$D:$D,"PO",'caseload data'!$B:$B,{"licence","community"}))/SUM(SUMIFS('caseload data'!F:F,'caseload data'!$B:$B,{"licence","community"},'caseload data'!$C:$C,'community %'!$B$99)),"")</f>
        <v/>
      </c>
      <c r="E101" s="167" t="str" cm="1">
        <f t="array" ref="E101">IFERROR(SUM(SUMIFS('caseload data'!G:G,'caseload data'!$C:$C,'community %'!$B$99,'caseload data'!$D:$D,"PO",'caseload data'!$B:$B,{"licence","community"}))/SUM(SUMIFS('caseload data'!G:G,'caseload data'!$B:$B,{"licence","community"},'caseload data'!$C:$C,'community %'!$B$99)),"")</f>
        <v/>
      </c>
      <c r="F101" s="167" t="str" cm="1">
        <f t="array" ref="F101">IFERROR(SUM(SUMIFS('caseload data'!H:H,'caseload data'!$C:$C,'community %'!$B$99,'caseload data'!$D:$D,"PO",'caseload data'!$B:$B,{"licence","community"}))/SUM(SUMIFS('caseload data'!H:H,'caseload data'!$B:$B,{"licence","community"},'caseload data'!$C:$C,'community %'!$B$99)),"")</f>
        <v/>
      </c>
      <c r="G101" s="167" t="str" cm="1">
        <f t="array" ref="G101">IFERROR(SUM(SUMIFS('caseload data'!I:I,'caseload data'!$C:$C,'community %'!$B$99,'caseload data'!$D:$D,"PO",'caseload data'!$B:$B,{"licence","community"}))/SUM(SUMIFS('caseload data'!I:I,'caseload data'!$B:$B,{"licence","community"},'caseload data'!$C:$C,'community %'!$B$99)),"")</f>
        <v/>
      </c>
      <c r="H101" s="167" t="str" cm="1">
        <f t="array" ref="H101">IFERROR(SUM(SUMIFS('caseload data'!J:J,'caseload data'!$C:$C,'community %'!$B$99,'caseload data'!$D:$D,"PO",'caseload data'!$B:$B,{"licence","community"}))/SUM(SUMIFS('caseload data'!J:J,'caseload data'!$B:$B,{"licence","community"},'caseload data'!$C:$C,'community %'!$B$99)),"")</f>
        <v/>
      </c>
      <c r="I101" s="167" t="str" cm="1">
        <f t="array" ref="I101">IFERROR(SUM(SUMIFS('caseload data'!K:K,'caseload data'!$C:$C,'community %'!$B$99,'caseload data'!$D:$D,"PO",'caseload data'!$B:$B,{"licence","community"}))/SUM(SUMIFS('caseload data'!K:K,'caseload data'!$B:$B,{"licence","community"},'caseload data'!$C:$C,'community %'!$B$99)),"")</f>
        <v/>
      </c>
      <c r="J101" s="167" t="str" cm="1">
        <f t="array" ref="J101">IFERROR(SUM(SUMIFS('caseload data'!L:L,'caseload data'!$C:$C,'community %'!$B$99,'caseload data'!$D:$D,"PO",'caseload data'!$B:$B,{"licence","community"}))/SUM(SUMIFS('caseload data'!L:L,'caseload data'!$B:$B,{"licence","community"},'caseload data'!$C:$C,'community %'!$B$99)),"")</f>
        <v/>
      </c>
      <c r="K101" s="167" t="str" cm="1">
        <f t="array" ref="K101">IFERROR(SUM(SUMIFS('caseload data'!M:M,'caseload data'!$C:$C,'community %'!$B$99,'caseload data'!$D:$D,"PO",'caseload data'!$B:$B,{"licence","community"}))/SUM(SUMIFS('caseload data'!M:M,'caseload data'!$B:$B,{"licence","community"},'caseload data'!$C:$C,'community %'!$B$99)),"")</f>
        <v/>
      </c>
      <c r="L101" s="167" t="str" cm="1">
        <f t="array" ref="L101">IFERROR(SUM(SUMIFS('caseload data'!N:N,'caseload data'!$C:$C,'community %'!$B$99,'caseload data'!$D:$D,"PO",'caseload data'!$B:$B,{"licence","community"}))/SUM(SUMIFS('caseload data'!N:N,'caseload data'!$B:$B,{"licence","community"},'caseload data'!$C:$C,'community %'!$B$99)),"")</f>
        <v/>
      </c>
      <c r="M101" s="167" t="str" cm="1">
        <f t="array" ref="M101">IFERROR(SUM(SUMIFS('caseload data'!O:O,'caseload data'!$C:$C,'community %'!$B$99,'caseload data'!$D:$D,"PO",'caseload data'!$B:$B,{"licence","community"}))/SUM(SUMIFS('caseload data'!O:O,'caseload data'!$B:$B,{"licence","community"},'caseload data'!$C:$C,'community %'!$B$99)),"")</f>
        <v/>
      </c>
      <c r="N101" s="167" t="str" cm="1">
        <f t="array" ref="N101">IFERROR(SUM(SUMIFS('caseload data'!P:P,'caseload data'!$C:$C,'community %'!$B$99,'caseload data'!$D:$D,"PO",'caseload data'!$B:$B,{"licence","community"}))/SUM(SUMIFS('caseload data'!P:P,'caseload data'!$B:$B,{"licence","community"},'caseload data'!$C:$C,'community %'!$B$99)),"")</f>
        <v/>
      </c>
      <c r="O101" s="167" t="str" cm="1">
        <f t="array" ref="O101">IFERROR(SUM(SUMIFS('caseload data'!Q:Q,'caseload data'!$C:$C,'community %'!$B$99,'caseload data'!$D:$D,"PO",'caseload data'!$B:$B,{"licence","community"}))/SUM(SUMIFS('caseload data'!Q:Q,'caseload data'!$B:$B,{"licence","community"},'caseload data'!$C:$C,'community %'!$B$99)),"")</f>
        <v/>
      </c>
      <c r="P101" s="167" t="str" cm="1">
        <f t="array" ref="P101">IFERROR(SUM(SUMIFS('caseload data'!R:R,'caseload data'!$C:$C,'community %'!$B$99,'caseload data'!$D:$D,"PO",'caseload data'!$B:$B,{"licence","community"}))/SUM(SUMIFS('caseload data'!R:R,'caseload data'!$B:$B,{"licence","community"},'caseload data'!$C:$C,'community %'!$B$99)),"")</f>
        <v/>
      </c>
      <c r="Q101" s="167" t="str" cm="1">
        <f t="array" ref="Q101">IFERROR(SUM(SUMIFS('caseload data'!S:S,'caseload data'!$C:$C,'community %'!$B$99,'caseload data'!$D:$D,"PO",'caseload data'!$B:$B,{"licence","community"}))/SUM(SUMIFS('caseload data'!S:S,'caseload data'!$B:$B,{"licence","community"},'caseload data'!$C:$C,'community %'!$B$99)),"")</f>
        <v/>
      </c>
      <c r="R101" s="167" t="str" cm="1">
        <f t="array" ref="R101">IFERROR(SUM(SUMIFS('caseload data'!T:T,'caseload data'!$C:$C,'community %'!$B$99,'caseload data'!$D:$D,"PO",'caseload data'!$B:$B,{"licence","community"}))/SUM(SUMIFS('caseload data'!T:T,'caseload data'!$B:$B,{"licence","community"},'caseload data'!$C:$C,'community %'!$B$99)),"")</f>
        <v/>
      </c>
      <c r="T101" s="96" t="s">
        <v>947</v>
      </c>
      <c r="U101" s="167" t="str" cm="1">
        <f t="array" ref="U101">IFERROR(SUM(SUMIFS('caseload data'!E:E,'caseload data'!$C:$C,'community %'!$T$99,'caseload data'!$D:$D,"PO",'caseload data'!$B:$B,{"licence","community"}))/SUM(SUMIFS('caseload data'!E:E,'caseload data'!$B:$B,{"licence","community"},'caseload data'!$C:$C,'community %'!$T$99)),"")</f>
        <v/>
      </c>
      <c r="V101" s="167" t="str" cm="1">
        <f t="array" ref="V101">IFERROR(SUM(SUMIFS('caseload data'!F:F,'caseload data'!$C:$C,'community %'!$T$99,'caseload data'!$D:$D,"PO",'caseload data'!$B:$B,{"licence","community"}))/SUM(SUMIFS('caseload data'!F:F,'caseload data'!$B:$B,{"licence","community"},'caseload data'!$C:$C,'community %'!$T$99)),"")</f>
        <v/>
      </c>
      <c r="W101" s="167" t="str" cm="1">
        <f t="array" ref="W101">IFERROR(SUM(SUMIFS('caseload data'!G:G,'caseload data'!$C:$C,'community %'!$T$99,'caseload data'!$D:$D,"PO",'caseload data'!$B:$B,{"licence","community"}))/SUM(SUMIFS('caseload data'!G:G,'caseload data'!$B:$B,{"licence","community"},'caseload data'!$C:$C,'community %'!$T$99)),"")</f>
        <v/>
      </c>
      <c r="X101" s="167" t="str" cm="1">
        <f t="array" ref="X101">IFERROR(SUM(SUMIFS('caseload data'!H:H,'caseload data'!$C:$C,'community %'!$T$99,'caseload data'!$D:$D,"PO",'caseload data'!$B:$B,{"licence","community"}))/SUM(SUMIFS('caseload data'!H:H,'caseload data'!$B:$B,{"licence","community"},'caseload data'!$C:$C,'community %'!$T$99)),"")</f>
        <v/>
      </c>
      <c r="Y101" s="167" t="str" cm="1">
        <f t="array" ref="Y101">IFERROR(SUM(SUMIFS('caseload data'!I:I,'caseload data'!$C:$C,'community %'!$T$99,'caseload data'!$D:$D,"PO",'caseload data'!$B:$B,{"licence","community"}))/SUM(SUMIFS('caseload data'!I:I,'caseload data'!$B:$B,{"licence","community"},'caseload data'!$C:$C,'community %'!$T$99)),"")</f>
        <v/>
      </c>
      <c r="Z101" s="167" t="str" cm="1">
        <f t="array" ref="Z101">IFERROR(SUM(SUMIFS('caseload data'!J:J,'caseload data'!$C:$C,'community %'!$T$99,'caseload data'!$D:$D,"PO",'caseload data'!$B:$B,{"licence","community"}))/SUM(SUMIFS('caseload data'!J:J,'caseload data'!$B:$B,{"licence","community"},'caseload data'!$C:$C,'community %'!$T$99)),"")</f>
        <v/>
      </c>
      <c r="AA101" s="167" t="str" cm="1">
        <f t="array" ref="AA101">IFERROR(SUM(SUMIFS('caseload data'!K:K,'caseload data'!$C:$C,'community %'!$T$99,'caseload data'!$D:$D,"PO",'caseload data'!$B:$B,{"licence","community"}))/SUM(SUMIFS('caseload data'!K:K,'caseload data'!$B:$B,{"licence","community"},'caseload data'!$C:$C,'community %'!$T$99)),"")</f>
        <v/>
      </c>
      <c r="AB101" s="167" t="str" cm="1">
        <f t="array" ref="AB101">IFERROR(SUM(SUMIFS('caseload data'!L:L,'caseload data'!$C:$C,'community %'!$T$99,'caseload data'!$D:$D,"PO",'caseload data'!$B:$B,{"licence","community"}))/SUM(SUMIFS('caseload data'!L:L,'caseload data'!$B:$B,{"licence","community"},'caseload data'!$C:$C,'community %'!$T$99)),"")</f>
        <v/>
      </c>
      <c r="AC101" s="167" t="str" cm="1">
        <f t="array" ref="AC101">IFERROR(SUM(SUMIFS('caseload data'!M:M,'caseload data'!$C:$C,'community %'!$T$99,'caseload data'!$D:$D,"PO",'caseload data'!$B:$B,{"licence","community"}))/SUM(SUMIFS('caseload data'!M:M,'caseload data'!$B:$B,{"licence","community"},'caseload data'!$C:$C,'community %'!$T$99)),"")</f>
        <v/>
      </c>
      <c r="AD101" s="167" t="str" cm="1">
        <f t="array" ref="AD101">IFERROR(SUM(SUMIFS('caseload data'!N:N,'caseload data'!$C:$C,'community %'!$T$99,'caseload data'!$D:$D,"PO",'caseload data'!$B:$B,{"licence","community"}))/SUM(SUMIFS('caseload data'!N:N,'caseload data'!$B:$B,{"licence","community"},'caseload data'!$C:$C,'community %'!$T$99)),"")</f>
        <v/>
      </c>
      <c r="AE101" s="167" t="str" cm="1">
        <f t="array" ref="AE101">IFERROR(SUM(SUMIFS('caseload data'!O:O,'caseload data'!$C:$C,'community %'!$T$99,'caseload data'!$D:$D,"PO",'caseload data'!$B:$B,{"licence","community"}))/SUM(SUMIFS('caseload data'!O:O,'caseload data'!$B:$B,{"licence","community"},'caseload data'!$C:$C,'community %'!$T$99)),"")</f>
        <v/>
      </c>
      <c r="AF101" s="167" t="str" cm="1">
        <f t="array" ref="AF101">IFERROR(SUM(SUMIFS('caseload data'!P:P,'caseload data'!$C:$C,'community %'!$T$99,'caseload data'!$D:$D,"PO",'caseload data'!$B:$B,{"licence","community"}))/SUM(SUMIFS('caseload data'!P:P,'caseload data'!$B:$B,{"licence","community"},'caseload data'!$C:$C,'community %'!$T$99)),"")</f>
        <v/>
      </c>
      <c r="AG101" s="167" t="str" cm="1">
        <f t="array" ref="AG101">IFERROR(SUM(SUMIFS('caseload data'!Q:Q,'caseload data'!$C:$C,'community %'!$T$99,'caseload data'!$D:$D,"PO",'caseload data'!$B:$B,{"licence","community"}))/SUM(SUMIFS('caseload data'!Q:Q,'caseload data'!$B:$B,{"licence","community"},'caseload data'!$C:$C,'community %'!$T$99)),"")</f>
        <v/>
      </c>
      <c r="AH101" s="167" t="str" cm="1">
        <f t="array" ref="AH101">IFERROR(SUM(SUMIFS('caseload data'!R:R,'caseload data'!$C:$C,'community %'!$T$99,'caseload data'!$D:$D,"PO",'caseload data'!$B:$B,{"licence","community"}))/SUM(SUMIFS('caseload data'!R:R,'caseload data'!$B:$B,{"licence","community"},'caseload data'!$C:$C,'community %'!$T$99)),"")</f>
        <v/>
      </c>
      <c r="AI101" s="167" t="str" cm="1">
        <f t="array" ref="AI101">IFERROR(SUM(SUMIFS('caseload data'!S:S,'caseload data'!$C:$C,'community %'!$T$99,'caseload data'!$D:$D,"PO",'caseload data'!$B:$B,{"licence","community"}))/SUM(SUMIFS('caseload data'!S:S,'caseload data'!$B:$B,{"licence","community"},'caseload data'!$C:$C,'community %'!$T$99)),"")</f>
        <v/>
      </c>
      <c r="AJ101" s="167" t="str" cm="1">
        <f t="array" ref="AJ101">IFERROR(SUM(SUMIFS('caseload data'!T:T,'caseload data'!$C:$C,'community %'!$T$99,'caseload data'!$D:$D,"PO",'caseload data'!$B:$B,{"licence","community"}))/SUM(SUMIFS('caseload data'!T:T,'caseload data'!$B:$B,{"licence","community"},'caseload data'!$C:$C,'community %'!$T$99)),"")</f>
        <v/>
      </c>
    </row>
    <row r="102" spans="2:36" x14ac:dyDescent="0.15">
      <c r="B102" s="97" t="s">
        <v>952</v>
      </c>
      <c r="C102" s="167" t="str" cm="1">
        <f t="array" ref="C102">IFERROR(SUM(SUMIFS('caseload data'!E:E,'caseload data'!$C:$C,'community %'!$B$99,'caseload data'!$D:$D,"PSO",'caseload data'!$B:$B,{"licence","community"}))/SUM(SUMIFS('caseload data'!E:E,'caseload data'!$B:$B,{"licence","community"},'caseload data'!$C:$C,'community %'!$B$99)),"")</f>
        <v/>
      </c>
      <c r="D102" s="167" t="str" cm="1">
        <f t="array" ref="D102">IFERROR(SUM(SUMIFS('caseload data'!F:F,'caseload data'!$C:$C,'community %'!$B$99,'caseload data'!$D:$D,"PSO",'caseload data'!$B:$B,{"licence","community"}))/SUM(SUMIFS('caseload data'!F:F,'caseload data'!$B:$B,{"licence","community"},'caseload data'!$C:$C,'community %'!$B$99)),"")</f>
        <v/>
      </c>
      <c r="E102" s="167" t="str" cm="1">
        <f t="array" ref="E102">IFERROR(SUM(SUMIFS('caseload data'!G:G,'caseload data'!$C:$C,'community %'!$B$99,'caseload data'!$D:$D,"PSO",'caseload data'!$B:$B,{"licence","community"}))/SUM(SUMIFS('caseload data'!G:G,'caseload data'!$B:$B,{"licence","community"},'caseload data'!$C:$C,'community %'!$B$99)),"")</f>
        <v/>
      </c>
      <c r="F102" s="167" t="str" cm="1">
        <f t="array" ref="F102">IFERROR(SUM(SUMIFS('caseload data'!H:H,'caseload data'!$C:$C,'community %'!$B$99,'caseload data'!$D:$D,"PSO",'caseload data'!$B:$B,{"licence","community"}))/SUM(SUMIFS('caseload data'!H:H,'caseload data'!$B:$B,{"licence","community"},'caseload data'!$C:$C,'community %'!$B$99)),"")</f>
        <v/>
      </c>
      <c r="G102" s="167" t="str" cm="1">
        <f t="array" ref="G102">IFERROR(SUM(SUMIFS('caseload data'!I:I,'caseload data'!$C:$C,'community %'!$B$99,'caseload data'!$D:$D,"PSO",'caseload data'!$B:$B,{"licence","community"}))/SUM(SUMIFS('caseload data'!I:I,'caseload data'!$B:$B,{"licence","community"},'caseload data'!$C:$C,'community %'!$B$99)),"")</f>
        <v/>
      </c>
      <c r="H102" s="167" t="str" cm="1">
        <f t="array" ref="H102">IFERROR(SUM(SUMIFS('caseload data'!J:J,'caseload data'!$C:$C,'community %'!$B$99,'caseload data'!$D:$D,"PSO",'caseload data'!$B:$B,{"licence","community"}))/SUM(SUMIFS('caseload data'!J:J,'caseload data'!$B:$B,{"licence","community"},'caseload data'!$C:$C,'community %'!$B$99)),"")</f>
        <v/>
      </c>
      <c r="I102" s="167" t="str" cm="1">
        <f t="array" ref="I102">IFERROR(SUM(SUMIFS('caseload data'!K:K,'caseload data'!$C:$C,'community %'!$B$99,'caseload data'!$D:$D,"PSO",'caseload data'!$B:$B,{"licence","community"}))/SUM(SUMIFS('caseload data'!K:K,'caseload data'!$B:$B,{"licence","community"},'caseload data'!$C:$C,'community %'!$B$99)),"")</f>
        <v/>
      </c>
      <c r="J102" s="167" t="str" cm="1">
        <f t="array" ref="J102">IFERROR(SUM(SUMIFS('caseload data'!L:L,'caseload data'!$C:$C,'community %'!$B$99,'caseload data'!$D:$D,"PSO",'caseload data'!$B:$B,{"licence","community"}))/SUM(SUMIFS('caseload data'!L:L,'caseload data'!$B:$B,{"licence","community"},'caseload data'!$C:$C,'community %'!$B$99)),"")</f>
        <v/>
      </c>
      <c r="K102" s="167" t="str" cm="1">
        <f t="array" ref="K102">IFERROR(SUM(SUMIFS('caseload data'!M:M,'caseload data'!$C:$C,'community %'!$B$99,'caseload data'!$D:$D,"PSO",'caseload data'!$B:$B,{"licence","community"}))/SUM(SUMIFS('caseload data'!M:M,'caseload data'!$B:$B,{"licence","community"},'caseload data'!$C:$C,'community %'!$B$99)),"")</f>
        <v/>
      </c>
      <c r="L102" s="167" t="str" cm="1">
        <f t="array" ref="L102">IFERROR(SUM(SUMIFS('caseload data'!N:N,'caseload data'!$C:$C,'community %'!$B$99,'caseload data'!$D:$D,"PSO",'caseload data'!$B:$B,{"licence","community"}))/SUM(SUMIFS('caseload data'!N:N,'caseload data'!$B:$B,{"licence","community"},'caseload data'!$C:$C,'community %'!$B$99)),"")</f>
        <v/>
      </c>
      <c r="M102" s="167" t="str" cm="1">
        <f t="array" ref="M102">IFERROR(SUM(SUMIFS('caseload data'!O:O,'caseload data'!$C:$C,'community %'!$B$99,'caseload data'!$D:$D,"PSO",'caseload data'!$B:$B,{"licence","community"}))/SUM(SUMIFS('caseload data'!O:O,'caseload data'!$B:$B,{"licence","community"},'caseload data'!$C:$C,'community %'!$B$99)),"")</f>
        <v/>
      </c>
      <c r="N102" s="167" t="str" cm="1">
        <f t="array" ref="N102">IFERROR(SUM(SUMIFS('caseload data'!P:P,'caseload data'!$C:$C,'community %'!$B$99,'caseload data'!$D:$D,"PSO",'caseload data'!$B:$B,{"licence","community"}))/SUM(SUMIFS('caseload data'!P:P,'caseload data'!$B:$B,{"licence","community"},'caseload data'!$C:$C,'community %'!$B$99)),"")</f>
        <v/>
      </c>
      <c r="O102" s="167" t="str" cm="1">
        <f t="array" ref="O102">IFERROR(SUM(SUMIFS('caseload data'!Q:Q,'caseload data'!$C:$C,'community %'!$B$99,'caseload data'!$D:$D,"PSO",'caseload data'!$B:$B,{"licence","community"}))/SUM(SUMIFS('caseload data'!Q:Q,'caseload data'!$B:$B,{"licence","community"},'caseload data'!$C:$C,'community %'!$B$99)),"")</f>
        <v/>
      </c>
      <c r="P102" s="167" t="str" cm="1">
        <f t="array" ref="P102">IFERROR(SUM(SUMIFS('caseload data'!R:R,'caseload data'!$C:$C,'community %'!$B$99,'caseload data'!$D:$D,"PSO",'caseload data'!$B:$B,{"licence","community"}))/SUM(SUMIFS('caseload data'!R:R,'caseload data'!$B:$B,{"licence","community"},'caseload data'!$C:$C,'community %'!$B$99)),"")</f>
        <v/>
      </c>
      <c r="Q102" s="167" t="str" cm="1">
        <f t="array" ref="Q102">IFERROR(SUM(SUMIFS('caseload data'!S:S,'caseload data'!$C:$C,'community %'!$B$99,'caseload data'!$D:$D,"PSO",'caseload data'!$B:$B,{"licence","community"}))/SUM(SUMIFS('caseload data'!S:S,'caseload data'!$B:$B,{"licence","community"},'caseload data'!$C:$C,'community %'!$B$99)),"")</f>
        <v/>
      </c>
      <c r="R102" s="167" t="str" cm="1">
        <f t="array" ref="R102">IFERROR(SUM(SUMIFS('caseload data'!T:T,'caseload data'!$C:$C,'community %'!$B$99,'caseload data'!$D:$D,"PSO",'caseload data'!$B:$B,{"licence","community"}))/SUM(SUMIFS('caseload data'!T:T,'caseload data'!$B:$B,{"licence","community"},'caseload data'!$C:$C,'community %'!$B$99)),"")</f>
        <v/>
      </c>
      <c r="T102" s="97" t="s">
        <v>952</v>
      </c>
      <c r="U102" s="167" t="str" cm="1">
        <f t="array" ref="U102">IFERROR(SUM(SUMIFS('caseload data'!E:E,'caseload data'!$C:$C,'community %'!$T$99,'caseload data'!$D:$D,"PSO",'caseload data'!$B:$B,{"licence","community"}))/SUM(SUMIFS('caseload data'!E:E,'caseload data'!$B:$B,{"licence","community"},'caseload data'!$C:$C,'community %'!$T$99)),"")</f>
        <v/>
      </c>
      <c r="V102" s="167" t="str" cm="1">
        <f t="array" ref="V102">IFERROR(SUM(SUMIFS('caseload data'!F:F,'caseload data'!$C:$C,'community %'!$T$99,'caseload data'!$D:$D,"PSO",'caseload data'!$B:$B,{"licence","community"}))/SUM(SUMIFS('caseload data'!F:F,'caseload data'!$B:$B,{"licence","community"},'caseload data'!$C:$C,'community %'!$T$99)),"")</f>
        <v/>
      </c>
      <c r="W102" s="167" t="str" cm="1">
        <f t="array" ref="W102">IFERROR(SUM(SUMIFS('caseload data'!G:G,'caseload data'!$C:$C,'community %'!$T$99,'caseload data'!$D:$D,"PSO",'caseload data'!$B:$B,{"licence","community"}))/SUM(SUMIFS('caseload data'!G:G,'caseload data'!$B:$B,{"licence","community"},'caseload data'!$C:$C,'community %'!$T$99)),"")</f>
        <v/>
      </c>
      <c r="X102" s="167" t="str" cm="1">
        <f t="array" ref="X102">IFERROR(SUM(SUMIFS('caseload data'!H:H,'caseload data'!$C:$C,'community %'!$T$99,'caseload data'!$D:$D,"PSO",'caseload data'!$B:$B,{"licence","community"}))/SUM(SUMIFS('caseload data'!H:H,'caseload data'!$B:$B,{"licence","community"},'caseload data'!$C:$C,'community %'!$T$99)),"")</f>
        <v/>
      </c>
      <c r="Y102" s="167" t="str" cm="1">
        <f t="array" ref="Y102">IFERROR(SUM(SUMIFS('caseload data'!I:I,'caseload data'!$C:$C,'community %'!$T$99,'caseload data'!$D:$D,"PSO",'caseload data'!$B:$B,{"licence","community"}))/SUM(SUMIFS('caseload data'!I:I,'caseload data'!$B:$B,{"licence","community"},'caseload data'!$C:$C,'community %'!$T$99)),"")</f>
        <v/>
      </c>
      <c r="Z102" s="167" t="str" cm="1">
        <f t="array" ref="Z102">IFERROR(SUM(SUMIFS('caseload data'!J:J,'caseload data'!$C:$C,'community %'!$T$99,'caseload data'!$D:$D,"PSO",'caseload data'!$B:$B,{"licence","community"}))/SUM(SUMIFS('caseload data'!J:J,'caseload data'!$B:$B,{"licence","community"},'caseload data'!$C:$C,'community %'!$T$99)),"")</f>
        <v/>
      </c>
      <c r="AA102" s="167" t="str" cm="1">
        <f t="array" ref="AA102">IFERROR(SUM(SUMIFS('caseload data'!K:K,'caseload data'!$C:$C,'community %'!$T$99,'caseload data'!$D:$D,"PSO",'caseload data'!$B:$B,{"licence","community"}))/SUM(SUMIFS('caseload data'!K:K,'caseload data'!$B:$B,{"licence","community"},'caseload data'!$C:$C,'community %'!$T$99)),"")</f>
        <v/>
      </c>
      <c r="AB102" s="167" t="str" cm="1">
        <f t="array" ref="AB102">IFERROR(SUM(SUMIFS('caseload data'!L:L,'caseload data'!$C:$C,'community %'!$T$99,'caseload data'!$D:$D,"PSO",'caseload data'!$B:$B,{"licence","community"}))/SUM(SUMIFS('caseload data'!L:L,'caseload data'!$B:$B,{"licence","community"},'caseload data'!$C:$C,'community %'!$T$99)),"")</f>
        <v/>
      </c>
      <c r="AC102" s="167" t="str" cm="1">
        <f t="array" ref="AC102">IFERROR(SUM(SUMIFS('caseload data'!M:M,'caseload data'!$C:$C,'community %'!$T$99,'caseload data'!$D:$D,"PSO",'caseload data'!$B:$B,{"licence","community"}))/SUM(SUMIFS('caseload data'!M:M,'caseload data'!$B:$B,{"licence","community"},'caseload data'!$C:$C,'community %'!$T$99)),"")</f>
        <v/>
      </c>
      <c r="AD102" s="167" t="str" cm="1">
        <f t="array" ref="AD102">IFERROR(SUM(SUMIFS('caseload data'!N:N,'caseload data'!$C:$C,'community %'!$T$99,'caseload data'!$D:$D,"PSO",'caseload data'!$B:$B,{"licence","community"}))/SUM(SUMIFS('caseload data'!N:N,'caseload data'!$B:$B,{"licence","community"},'caseload data'!$C:$C,'community %'!$T$99)),"")</f>
        <v/>
      </c>
      <c r="AE102" s="167" t="str" cm="1">
        <f t="array" ref="AE102">IFERROR(SUM(SUMIFS('caseload data'!O:O,'caseload data'!$C:$C,'community %'!$T$99,'caseload data'!$D:$D,"PSO",'caseload data'!$B:$B,{"licence","community"}))/SUM(SUMIFS('caseload data'!O:O,'caseload data'!$B:$B,{"licence","community"},'caseload data'!$C:$C,'community %'!$T$99)),"")</f>
        <v/>
      </c>
      <c r="AF102" s="167" t="str" cm="1">
        <f t="array" ref="AF102">IFERROR(SUM(SUMIFS('caseload data'!P:P,'caseload data'!$C:$C,'community %'!$T$99,'caseload data'!$D:$D,"PSO",'caseload data'!$B:$B,{"licence","community"}))/SUM(SUMIFS('caseload data'!P:P,'caseload data'!$B:$B,{"licence","community"},'caseload data'!$C:$C,'community %'!$T$99)),"")</f>
        <v/>
      </c>
      <c r="AG102" s="167" t="str" cm="1">
        <f t="array" ref="AG102">IFERROR(SUM(SUMIFS('caseload data'!Q:Q,'caseload data'!$C:$C,'community %'!$T$99,'caseload data'!$D:$D,"PSO",'caseload data'!$B:$B,{"licence","community"}))/SUM(SUMIFS('caseload data'!Q:Q,'caseload data'!$B:$B,{"licence","community"},'caseload data'!$C:$C,'community %'!$T$99)),"")</f>
        <v/>
      </c>
      <c r="AH102" s="167" t="str" cm="1">
        <f t="array" ref="AH102">IFERROR(SUM(SUMIFS('caseload data'!R:R,'caseload data'!$C:$C,'community %'!$T$99,'caseload data'!$D:$D,"PSO",'caseload data'!$B:$B,{"licence","community"}))/SUM(SUMIFS('caseload data'!R:R,'caseload data'!$B:$B,{"licence","community"},'caseload data'!$C:$C,'community %'!$T$99)),"")</f>
        <v/>
      </c>
      <c r="AI102" s="167" t="str" cm="1">
        <f t="array" ref="AI102">IFERROR(SUM(SUMIFS('caseload data'!S:S,'caseload data'!$C:$C,'community %'!$T$99,'caseload data'!$D:$D,"PSO",'caseload data'!$B:$B,{"licence","community"}))/SUM(SUMIFS('caseload data'!S:S,'caseload data'!$B:$B,{"licence","community"},'caseload data'!$C:$C,'community %'!$T$99)),"")</f>
        <v/>
      </c>
      <c r="AJ102" s="167" t="str" cm="1">
        <f t="array" ref="AJ102">IFERROR(SUM(SUMIFS('caseload data'!T:T,'caseload data'!$C:$C,'community %'!$T$99,'caseload data'!$D:$D,"PSO",'caseload data'!$B:$B,{"licence","community"}))/SUM(SUMIFS('caseload data'!T:T,'caseload data'!$B:$B,{"licence","community"},'caseload data'!$C:$C,'community %'!$T$99)),"")</f>
        <v/>
      </c>
    </row>
    <row r="103" spans="2:36" x14ac:dyDescent="0.15">
      <c r="B103" s="97" t="s">
        <v>953</v>
      </c>
      <c r="C103" s="167" t="str" cm="1">
        <f t="array" ref="C103">IFERROR(SUM(SUMIFS('caseload data'!E:E,'caseload data'!$C:$C,'community %'!$B$99,'caseload data'!$D:$D,"TPO",'caseload data'!$B:$B,{"licence","community"}))/SUM(SUMIFS('caseload data'!E:E,'caseload data'!$B:$B,{"licence","community"},'caseload data'!$C:$C,'community %'!$B$99)),"")</f>
        <v/>
      </c>
      <c r="D103" s="167" t="str" cm="1">
        <f t="array" ref="D103">IFERROR(SUM(SUMIFS('caseload data'!F:F,'caseload data'!$C:$C,'community %'!$B$99,'caseload data'!$D:$D,"TPO",'caseload data'!$B:$B,{"licence","community"}))/SUM(SUMIFS('caseload data'!F:F,'caseload data'!$B:$B,{"licence","community"},'caseload data'!$C:$C,'community %'!$B$99)),"")</f>
        <v/>
      </c>
      <c r="E103" s="167" t="str" cm="1">
        <f t="array" ref="E103">IFERROR(SUM(SUMIFS('caseload data'!G:G,'caseload data'!$C:$C,'community %'!$B$99,'caseload data'!$D:$D,"TPO",'caseload data'!$B:$B,{"licence","community"}))/SUM(SUMIFS('caseload data'!G:G,'caseload data'!$B:$B,{"licence","community"},'caseload data'!$C:$C,'community %'!$B$99)),"")</f>
        <v/>
      </c>
      <c r="F103" s="167" t="str" cm="1">
        <f t="array" ref="F103">IFERROR(SUM(SUMIFS('caseload data'!H:H,'caseload data'!$C:$C,'community %'!$B$99,'caseload data'!$D:$D,"TPO",'caseload data'!$B:$B,{"licence","community"}))/SUM(SUMIFS('caseload data'!H:H,'caseload data'!$B:$B,{"licence","community"},'caseload data'!$C:$C,'community %'!$B$99)),"")</f>
        <v/>
      </c>
      <c r="G103" s="167" t="str" cm="1">
        <f t="array" ref="G103">IFERROR(SUM(SUMIFS('caseload data'!I:I,'caseload data'!$C:$C,'community %'!$B$99,'caseload data'!$D:$D,"TPO",'caseload data'!$B:$B,{"licence","community"}))/SUM(SUMIFS('caseload data'!I:I,'caseload data'!$B:$B,{"licence","community"},'caseload data'!$C:$C,'community %'!$B$99)),"")</f>
        <v/>
      </c>
      <c r="H103" s="167" t="str" cm="1">
        <f t="array" ref="H103">IFERROR(SUM(SUMIFS('caseload data'!J:J,'caseload data'!$C:$C,'community %'!$B$99,'caseload data'!$D:$D,"TPO",'caseload data'!$B:$B,{"licence","community"}))/SUM(SUMIFS('caseload data'!J:J,'caseload data'!$B:$B,{"licence","community"},'caseload data'!$C:$C,'community %'!$B$99)),"")</f>
        <v/>
      </c>
      <c r="I103" s="167" t="str" cm="1">
        <f t="array" ref="I103">IFERROR(SUM(SUMIFS('caseload data'!K:K,'caseload data'!$C:$C,'community %'!$B$99,'caseload data'!$D:$D,"TPO",'caseload data'!$B:$B,{"licence","community"}))/SUM(SUMIFS('caseload data'!K:K,'caseload data'!$B:$B,{"licence","community"},'caseload data'!$C:$C,'community %'!$B$99)),"")</f>
        <v/>
      </c>
      <c r="J103" s="167" t="str" cm="1">
        <f t="array" ref="J103">IFERROR(SUM(SUMIFS('caseload data'!L:L,'caseload data'!$C:$C,'community %'!$B$99,'caseload data'!$D:$D,"TPO",'caseload data'!$B:$B,{"licence","community"}))/SUM(SUMIFS('caseload data'!L:L,'caseload data'!$B:$B,{"licence","community"},'caseload data'!$C:$C,'community %'!$B$99)),"")</f>
        <v/>
      </c>
      <c r="K103" s="167" t="str" cm="1">
        <f t="array" ref="K103">IFERROR(SUM(SUMIFS('caseload data'!M:M,'caseload data'!$C:$C,'community %'!$B$99,'caseload data'!$D:$D,"TPO",'caseload data'!$B:$B,{"licence","community"}))/SUM(SUMIFS('caseload data'!M:M,'caseload data'!$B:$B,{"licence","community"},'caseload data'!$C:$C,'community %'!$B$99)),"")</f>
        <v/>
      </c>
      <c r="L103" s="167" t="str" cm="1">
        <f t="array" ref="L103">IFERROR(SUM(SUMIFS('caseload data'!N:N,'caseload data'!$C:$C,'community %'!$B$99,'caseload data'!$D:$D,"TPO",'caseload data'!$B:$B,{"licence","community"}))/SUM(SUMIFS('caseload data'!N:N,'caseload data'!$B:$B,{"licence","community"},'caseload data'!$C:$C,'community %'!$B$99)),"")</f>
        <v/>
      </c>
      <c r="M103" s="167" t="str" cm="1">
        <f t="array" ref="M103">IFERROR(SUM(SUMIFS('caseload data'!O:O,'caseload data'!$C:$C,'community %'!$B$99,'caseload data'!$D:$D,"TPO",'caseload data'!$B:$B,{"licence","community"}))/SUM(SUMIFS('caseload data'!O:O,'caseload data'!$B:$B,{"licence","community"},'caseload data'!$C:$C,'community %'!$B$99)),"")</f>
        <v/>
      </c>
      <c r="N103" s="167" t="str" cm="1">
        <f t="array" ref="N103">IFERROR(SUM(SUMIFS('caseload data'!P:P,'caseload data'!$C:$C,'community %'!$B$99,'caseload data'!$D:$D,"TPO",'caseload data'!$B:$B,{"licence","community"}))/SUM(SUMIFS('caseload data'!P:P,'caseload data'!$B:$B,{"licence","community"},'caseload data'!$C:$C,'community %'!$B$99)),"")</f>
        <v/>
      </c>
      <c r="O103" s="167" t="str" cm="1">
        <f t="array" ref="O103">IFERROR(SUM(SUMIFS('caseload data'!Q:Q,'caseload data'!$C:$C,'community %'!$B$99,'caseload data'!$D:$D,"TPO",'caseload data'!$B:$B,{"licence","community"}))/SUM(SUMIFS('caseload data'!Q:Q,'caseload data'!$B:$B,{"licence","community"},'caseload data'!$C:$C,'community %'!$B$99)),"")</f>
        <v/>
      </c>
      <c r="P103" s="167" t="str" cm="1">
        <f t="array" ref="P103">IFERROR(SUM(SUMIFS('caseload data'!R:R,'caseload data'!$C:$C,'community %'!$B$99,'caseload data'!$D:$D,"TPO",'caseload data'!$B:$B,{"licence","community"}))/SUM(SUMIFS('caseload data'!R:R,'caseload data'!$B:$B,{"licence","community"},'caseload data'!$C:$C,'community %'!$B$99)),"")</f>
        <v/>
      </c>
      <c r="Q103" s="167" t="str" cm="1">
        <f t="array" ref="Q103">IFERROR(SUM(SUMIFS('caseload data'!S:S,'caseload data'!$C:$C,'community %'!$B$99,'caseload data'!$D:$D,"TPO",'caseload data'!$B:$B,{"licence","community"}))/SUM(SUMIFS('caseload data'!S:S,'caseload data'!$B:$B,{"licence","community"},'caseload data'!$C:$C,'community %'!$B$99)),"")</f>
        <v/>
      </c>
      <c r="R103" s="167" t="str" cm="1">
        <f t="array" ref="R103">IFERROR(SUM(SUMIFS('caseload data'!T:T,'caseload data'!$C:$C,'community %'!$B$99,'caseload data'!$D:$D,"TPO",'caseload data'!$B:$B,{"licence","community"}))/SUM(SUMIFS('caseload data'!T:T,'caseload data'!$B:$B,{"licence","community"},'caseload data'!$C:$C,'community %'!$B$99)),"")</f>
        <v/>
      </c>
      <c r="T103" s="97" t="s">
        <v>953</v>
      </c>
      <c r="U103" s="167" t="str" cm="1">
        <f t="array" ref="U103">IFERROR(SUM(SUMIFS('caseload data'!E:E,'caseload data'!$C:$C,'community %'!$T$99,'caseload data'!$D:$D,"TPO",'caseload data'!$B:$B,{"licence","community"}))/SUM(SUMIFS('caseload data'!E:E,'caseload data'!$B:$B,{"licence","community"},'caseload data'!$C:$C,'community %'!$T$99)),"")</f>
        <v/>
      </c>
      <c r="V103" s="167" t="str" cm="1">
        <f t="array" ref="V103">IFERROR(SUM(SUMIFS('caseload data'!F:F,'caseload data'!$C:$C,'community %'!$T$99,'caseload data'!$D:$D,"TPO",'caseload data'!$B:$B,{"licence","community"}))/SUM(SUMIFS('caseload data'!F:F,'caseload data'!$B:$B,{"licence","community"},'caseload data'!$C:$C,'community %'!$T$99)),"")</f>
        <v/>
      </c>
      <c r="W103" s="167" t="str" cm="1">
        <f t="array" ref="W103">IFERROR(SUM(SUMIFS('caseload data'!G:G,'caseload data'!$C:$C,'community %'!$T$99,'caseload data'!$D:$D,"TPO",'caseload data'!$B:$B,{"licence","community"}))/SUM(SUMIFS('caseload data'!G:G,'caseload data'!$B:$B,{"licence","community"},'caseload data'!$C:$C,'community %'!$T$99)),"")</f>
        <v/>
      </c>
      <c r="X103" s="167" t="str" cm="1">
        <f t="array" ref="X103">IFERROR(SUM(SUMIFS('caseload data'!H:H,'caseload data'!$C:$C,'community %'!$T$99,'caseload data'!$D:$D,"TPO",'caseload data'!$B:$B,{"licence","community"}))/SUM(SUMIFS('caseload data'!H:H,'caseload data'!$B:$B,{"licence","community"},'caseload data'!$C:$C,'community %'!$T$99)),"")</f>
        <v/>
      </c>
      <c r="Y103" s="167" t="str" cm="1">
        <f t="array" ref="Y103">IFERROR(SUM(SUMIFS('caseload data'!I:I,'caseload data'!$C:$C,'community %'!$T$99,'caseload data'!$D:$D,"TPO",'caseload data'!$B:$B,{"licence","community"}))/SUM(SUMIFS('caseload data'!I:I,'caseload data'!$B:$B,{"licence","community"},'caseload data'!$C:$C,'community %'!$T$99)),"")</f>
        <v/>
      </c>
      <c r="Z103" s="167" t="str" cm="1">
        <f t="array" ref="Z103">IFERROR(SUM(SUMIFS('caseload data'!J:J,'caseload data'!$C:$C,'community %'!$T$99,'caseload data'!$D:$D,"TPO",'caseload data'!$B:$B,{"licence","community"}))/SUM(SUMIFS('caseload data'!J:J,'caseload data'!$B:$B,{"licence","community"},'caseload data'!$C:$C,'community %'!$T$99)),"")</f>
        <v/>
      </c>
      <c r="AA103" s="167" t="str" cm="1">
        <f t="array" ref="AA103">IFERROR(SUM(SUMIFS('caseload data'!K:K,'caseload data'!$C:$C,'community %'!$T$99,'caseload data'!$D:$D,"TPO",'caseload data'!$B:$B,{"licence","community"}))/SUM(SUMIFS('caseload data'!K:K,'caseload data'!$B:$B,{"licence","community"},'caseload data'!$C:$C,'community %'!$T$99)),"")</f>
        <v/>
      </c>
      <c r="AB103" s="167" t="str" cm="1">
        <f t="array" ref="AB103">IFERROR(SUM(SUMIFS('caseload data'!L:L,'caseload data'!$C:$C,'community %'!$T$99,'caseload data'!$D:$D,"TPO",'caseload data'!$B:$B,{"licence","community"}))/SUM(SUMIFS('caseload data'!L:L,'caseload data'!$B:$B,{"licence","community"},'caseload data'!$C:$C,'community %'!$T$99)),"")</f>
        <v/>
      </c>
      <c r="AC103" s="167" t="str" cm="1">
        <f t="array" ref="AC103">IFERROR(SUM(SUMIFS('caseload data'!M:M,'caseload data'!$C:$C,'community %'!$T$99,'caseload data'!$D:$D,"TPO",'caseload data'!$B:$B,{"licence","community"}))/SUM(SUMIFS('caseload data'!M:M,'caseload data'!$B:$B,{"licence","community"},'caseload data'!$C:$C,'community %'!$T$99)),"")</f>
        <v/>
      </c>
      <c r="AD103" s="167" t="str" cm="1">
        <f t="array" ref="AD103">IFERROR(SUM(SUMIFS('caseload data'!N:N,'caseload data'!$C:$C,'community %'!$T$99,'caseload data'!$D:$D,"TPO",'caseload data'!$B:$B,{"licence","community"}))/SUM(SUMIFS('caseload data'!N:N,'caseload data'!$B:$B,{"licence","community"},'caseload data'!$C:$C,'community %'!$T$99)),"")</f>
        <v/>
      </c>
      <c r="AE103" s="167" t="str" cm="1">
        <f t="array" ref="AE103">IFERROR(SUM(SUMIFS('caseload data'!O:O,'caseload data'!$C:$C,'community %'!$T$99,'caseload data'!$D:$D,"TPO",'caseload data'!$B:$B,{"licence","community"}))/SUM(SUMIFS('caseload data'!O:O,'caseload data'!$B:$B,{"licence","community"},'caseload data'!$C:$C,'community %'!$T$99)),"")</f>
        <v/>
      </c>
      <c r="AF103" s="167" t="str" cm="1">
        <f t="array" ref="AF103">IFERROR(SUM(SUMIFS('caseload data'!P:P,'caseload data'!$C:$C,'community %'!$T$99,'caseload data'!$D:$D,"TPO",'caseload data'!$B:$B,{"licence","community"}))/SUM(SUMIFS('caseload data'!P:P,'caseload data'!$B:$B,{"licence","community"},'caseload data'!$C:$C,'community %'!$T$99)),"")</f>
        <v/>
      </c>
      <c r="AG103" s="167" t="str" cm="1">
        <f t="array" ref="AG103">IFERROR(SUM(SUMIFS('caseload data'!Q:Q,'caseload data'!$C:$C,'community %'!$T$99,'caseload data'!$D:$D,"TPO",'caseload data'!$B:$B,{"licence","community"}))/SUM(SUMIFS('caseload data'!Q:Q,'caseload data'!$B:$B,{"licence","community"},'caseload data'!$C:$C,'community %'!$T$99)),"")</f>
        <v/>
      </c>
      <c r="AH103" s="167" t="str" cm="1">
        <f t="array" ref="AH103">IFERROR(SUM(SUMIFS('caseload data'!R:R,'caseload data'!$C:$C,'community %'!$T$99,'caseload data'!$D:$D,"TPO",'caseload data'!$B:$B,{"licence","community"}))/SUM(SUMIFS('caseload data'!R:R,'caseload data'!$B:$B,{"licence","community"},'caseload data'!$C:$C,'community %'!$T$99)),"")</f>
        <v/>
      </c>
      <c r="AI103" s="167" t="str" cm="1">
        <f t="array" ref="AI103">IFERROR(SUM(SUMIFS('caseload data'!S:S,'caseload data'!$C:$C,'community %'!$T$99,'caseload data'!$D:$D,"TPO",'caseload data'!$B:$B,{"licence","community"}))/SUM(SUMIFS('caseload data'!S:S,'caseload data'!$B:$B,{"licence","community"},'caseload data'!$C:$C,'community %'!$T$99)),"")</f>
        <v/>
      </c>
      <c r="AJ103" s="167" t="str" cm="1">
        <f t="array" ref="AJ103">IFERROR(SUM(SUMIFS('caseload data'!T:T,'caseload data'!$C:$C,'community %'!$T$99,'caseload data'!$D:$D,"TPO",'caseload data'!$B:$B,{"licence","community"}))/SUM(SUMIFS('caseload data'!T:T,'caseload data'!$B:$B,{"licence","community"},'caseload data'!$C:$C,'community %'!$T$99)),"")</f>
        <v/>
      </c>
    </row>
    <row r="104" spans="2:36" x14ac:dyDescent="0.15">
      <c r="B104" s="98" t="s">
        <v>954</v>
      </c>
      <c r="C104" s="167" t="str" cm="1">
        <f t="array" ref="C104">IFERROR(SUM(SUMIFS('caseload data'!E:E,'caseload data'!$C:$C,'community %'!$B$99,'caseload data'!$D:$D,"SPO",'caseload data'!$B:$B,{"licence","community"}))/SUM(SUMIFS('caseload data'!E:E,'caseload data'!$B:$B,{"licence","community"},'caseload data'!$C:$C,'community %'!$B$99)),"")</f>
        <v/>
      </c>
      <c r="D104" s="167" t="str" cm="1">
        <f t="array" ref="D104">IFERROR(SUM(SUMIFS('caseload data'!F:F,'caseload data'!$C:$C,'community %'!$B$99,'caseload data'!$D:$D,"SPO",'caseload data'!$B:$B,{"licence","community"}))/SUM(SUMIFS('caseload data'!F:F,'caseload data'!$B:$B,{"licence","community"},'caseload data'!$C:$C,'community %'!$B$99)),"")</f>
        <v/>
      </c>
      <c r="E104" s="167" t="str" cm="1">
        <f t="array" ref="E104">IFERROR(SUM(SUMIFS('caseload data'!G:G,'caseload data'!$C:$C,'community %'!$B$99,'caseload data'!$D:$D,"SPO",'caseload data'!$B:$B,{"licence","community"}))/SUM(SUMIFS('caseload data'!G:G,'caseload data'!$B:$B,{"licence","community"},'caseload data'!$C:$C,'community %'!$B$99)),"")</f>
        <v/>
      </c>
      <c r="F104" s="167" t="str" cm="1">
        <f t="array" ref="F104">IFERROR(SUM(SUMIFS('caseload data'!H:H,'caseload data'!$C:$C,'community %'!$B$99,'caseload data'!$D:$D,"SPO",'caseload data'!$B:$B,{"licence","community"}))/SUM(SUMIFS('caseload data'!H:H,'caseload data'!$B:$B,{"licence","community"},'caseload data'!$C:$C,'community %'!$B$99)),"")</f>
        <v/>
      </c>
      <c r="G104" s="167" t="str" cm="1">
        <f t="array" ref="G104">IFERROR(SUM(SUMIFS('caseload data'!I:I,'caseload data'!$C:$C,'community %'!$B$99,'caseload data'!$D:$D,"SPO",'caseload data'!$B:$B,{"licence","community"}))/SUM(SUMIFS('caseload data'!I:I,'caseload data'!$B:$B,{"licence","community"},'caseload data'!$C:$C,'community %'!$B$99)),"")</f>
        <v/>
      </c>
      <c r="H104" s="167" t="str" cm="1">
        <f t="array" ref="H104">IFERROR(SUM(SUMIFS('caseload data'!J:J,'caseload data'!$C:$C,'community %'!$B$99,'caseload data'!$D:$D,"SPO",'caseload data'!$B:$B,{"licence","community"}))/SUM(SUMIFS('caseload data'!J:J,'caseload data'!$B:$B,{"licence","community"},'caseload data'!$C:$C,'community %'!$B$99)),"")</f>
        <v/>
      </c>
      <c r="I104" s="167" t="str" cm="1">
        <f t="array" ref="I104">IFERROR(SUM(SUMIFS('caseload data'!K:K,'caseload data'!$C:$C,'community %'!$B$99,'caseload data'!$D:$D,"SPO",'caseload data'!$B:$B,{"licence","community"}))/SUM(SUMIFS('caseload data'!K:K,'caseload data'!$B:$B,{"licence","community"},'caseload data'!$C:$C,'community %'!$B$99)),"")</f>
        <v/>
      </c>
      <c r="J104" s="167" t="str" cm="1">
        <f t="array" ref="J104">IFERROR(SUM(SUMIFS('caseload data'!L:L,'caseload data'!$C:$C,'community %'!$B$99,'caseload data'!$D:$D,"SPO",'caseload data'!$B:$B,{"licence","community"}))/SUM(SUMIFS('caseload data'!L:L,'caseload data'!$B:$B,{"licence","community"},'caseload data'!$C:$C,'community %'!$B$99)),"")</f>
        <v/>
      </c>
      <c r="K104" s="167" t="str" cm="1">
        <f t="array" ref="K104">IFERROR(SUM(SUMIFS('caseload data'!M:M,'caseload data'!$C:$C,'community %'!$B$99,'caseload data'!$D:$D,"SPO",'caseload data'!$B:$B,{"licence","community"}))/SUM(SUMIFS('caseload data'!M:M,'caseload data'!$B:$B,{"licence","community"},'caseload data'!$C:$C,'community %'!$B$99)),"")</f>
        <v/>
      </c>
      <c r="L104" s="167" t="str" cm="1">
        <f t="array" ref="L104">IFERROR(SUM(SUMIFS('caseload data'!N:N,'caseload data'!$C:$C,'community %'!$B$99,'caseload data'!$D:$D,"SPO",'caseload data'!$B:$B,{"licence","community"}))/SUM(SUMIFS('caseload data'!N:N,'caseload data'!$B:$B,{"licence","community"},'caseload data'!$C:$C,'community %'!$B$99)),"")</f>
        <v/>
      </c>
      <c r="M104" s="167" t="str" cm="1">
        <f t="array" ref="M104">IFERROR(SUM(SUMIFS('caseload data'!O:O,'caseload data'!$C:$C,'community %'!$B$99,'caseload data'!$D:$D,"SPO",'caseload data'!$B:$B,{"licence","community"}))/SUM(SUMIFS('caseload data'!O:O,'caseload data'!$B:$B,{"licence","community"},'caseload data'!$C:$C,'community %'!$B$99)),"")</f>
        <v/>
      </c>
      <c r="N104" s="167" t="str" cm="1">
        <f t="array" ref="N104">IFERROR(SUM(SUMIFS('caseload data'!P:P,'caseload data'!$C:$C,'community %'!$B$99,'caseload data'!$D:$D,"SPO",'caseload data'!$B:$B,{"licence","community"}))/SUM(SUMIFS('caseload data'!P:P,'caseload data'!$B:$B,{"licence","community"},'caseload data'!$C:$C,'community %'!$B$99)),"")</f>
        <v/>
      </c>
      <c r="O104" s="167" t="str" cm="1">
        <f t="array" ref="O104">IFERROR(SUM(SUMIFS('caseload data'!Q:Q,'caseload data'!$C:$C,'community %'!$B$99,'caseload data'!$D:$D,"SPO",'caseload data'!$B:$B,{"licence","community"}))/SUM(SUMIFS('caseload data'!Q:Q,'caseload data'!$B:$B,{"licence","community"},'caseload data'!$C:$C,'community %'!$B$99)),"")</f>
        <v/>
      </c>
      <c r="P104" s="167" t="str" cm="1">
        <f t="array" ref="P104">IFERROR(SUM(SUMIFS('caseload data'!R:R,'caseload data'!$C:$C,'community %'!$B$99,'caseload data'!$D:$D,"SPO",'caseload data'!$B:$B,{"licence","community"}))/SUM(SUMIFS('caseload data'!R:R,'caseload data'!$B:$B,{"licence","community"},'caseload data'!$C:$C,'community %'!$B$99)),"")</f>
        <v/>
      </c>
      <c r="Q104" s="167" t="str" cm="1">
        <f t="array" ref="Q104">IFERROR(SUM(SUMIFS('caseload data'!S:S,'caseload data'!$C:$C,'community %'!$B$99,'caseload data'!$D:$D,"SPO",'caseload data'!$B:$B,{"licence","community"}))/SUM(SUMIFS('caseload data'!S:S,'caseload data'!$B:$B,{"licence","community"},'caseload data'!$C:$C,'community %'!$B$99)),"")</f>
        <v/>
      </c>
      <c r="R104" s="167" t="str" cm="1">
        <f t="array" ref="R104">IFERROR(SUM(SUMIFS('caseload data'!T:T,'caseload data'!$C:$C,'community %'!$B$99,'caseload data'!$D:$D,"SPO",'caseload data'!$B:$B,{"licence","community"}))/SUM(SUMIFS('caseload data'!T:T,'caseload data'!$B:$B,{"licence","community"},'caseload data'!$C:$C,'community %'!$B$99)),"")</f>
        <v/>
      </c>
      <c r="T104" s="98" t="s">
        <v>954</v>
      </c>
      <c r="U104" s="167" t="str" cm="1">
        <f t="array" ref="U104">IFERROR(SUM(SUMIFS('caseload data'!E:E,'caseload data'!$C:$C,'community %'!$T$99,'caseload data'!$D:$D,"SPO",'caseload data'!$B:$B,{"licence","community"}))/SUM(SUMIFS('caseload data'!E:E,'caseload data'!$B:$B,{"licence","community"},'caseload data'!$C:$C,'community %'!$T$99)),"")</f>
        <v/>
      </c>
      <c r="V104" s="167" t="str" cm="1">
        <f t="array" ref="V104">IFERROR(SUM(SUMIFS('caseload data'!F:F,'caseload data'!$C:$C,'community %'!$T$99,'caseload data'!$D:$D,"SPO",'caseload data'!$B:$B,{"licence","community"}))/SUM(SUMIFS('caseload data'!F:F,'caseload data'!$B:$B,{"licence","community"},'caseload data'!$C:$C,'community %'!$T$99)),"")</f>
        <v/>
      </c>
      <c r="W104" s="167" t="str" cm="1">
        <f t="array" ref="W104">IFERROR(SUM(SUMIFS('caseload data'!G:G,'caseload data'!$C:$C,'community %'!$T$99,'caseload data'!$D:$D,"SPO",'caseload data'!$B:$B,{"licence","community"}))/SUM(SUMIFS('caseload data'!G:G,'caseload data'!$B:$B,{"licence","community"},'caseload data'!$C:$C,'community %'!$T$99)),"")</f>
        <v/>
      </c>
      <c r="X104" s="167" t="str" cm="1">
        <f t="array" ref="X104">IFERROR(SUM(SUMIFS('caseload data'!H:H,'caseload data'!$C:$C,'community %'!$T$99,'caseload data'!$D:$D,"SPO",'caseload data'!$B:$B,{"licence","community"}))/SUM(SUMIFS('caseload data'!H:H,'caseload data'!$B:$B,{"licence","community"},'caseload data'!$C:$C,'community %'!$T$99)),"")</f>
        <v/>
      </c>
      <c r="Y104" s="167" t="str" cm="1">
        <f t="array" ref="Y104">IFERROR(SUM(SUMIFS('caseload data'!I:I,'caseload data'!$C:$C,'community %'!$T$99,'caseload data'!$D:$D,"SPO",'caseload data'!$B:$B,{"licence","community"}))/SUM(SUMIFS('caseload data'!I:I,'caseload data'!$B:$B,{"licence","community"},'caseload data'!$C:$C,'community %'!$T$99)),"")</f>
        <v/>
      </c>
      <c r="Z104" s="167" t="str" cm="1">
        <f t="array" ref="Z104">IFERROR(SUM(SUMIFS('caseload data'!J:J,'caseload data'!$C:$C,'community %'!$T$99,'caseload data'!$D:$D,"SPO",'caseload data'!$B:$B,{"licence","community"}))/SUM(SUMIFS('caseload data'!J:J,'caseload data'!$B:$B,{"licence","community"},'caseload data'!$C:$C,'community %'!$T$99)),"")</f>
        <v/>
      </c>
      <c r="AA104" s="167" t="str" cm="1">
        <f t="array" ref="AA104">IFERROR(SUM(SUMIFS('caseload data'!K:K,'caseload data'!$C:$C,'community %'!$T$99,'caseload data'!$D:$D,"SPO",'caseload data'!$B:$B,{"licence","community"}))/SUM(SUMIFS('caseload data'!K:K,'caseload data'!$B:$B,{"licence","community"},'caseload data'!$C:$C,'community %'!$T$99)),"")</f>
        <v/>
      </c>
      <c r="AB104" s="167" t="str" cm="1">
        <f t="array" ref="AB104">IFERROR(SUM(SUMIFS('caseload data'!L:L,'caseload data'!$C:$C,'community %'!$T$99,'caseload data'!$D:$D,"SPO",'caseload data'!$B:$B,{"licence","community"}))/SUM(SUMIFS('caseload data'!L:L,'caseload data'!$B:$B,{"licence","community"},'caseload data'!$C:$C,'community %'!$T$99)),"")</f>
        <v/>
      </c>
      <c r="AC104" s="167" t="str" cm="1">
        <f t="array" ref="AC104">IFERROR(SUM(SUMIFS('caseload data'!M:M,'caseload data'!$C:$C,'community %'!$T$99,'caseload data'!$D:$D,"SPO",'caseload data'!$B:$B,{"licence","community"}))/SUM(SUMIFS('caseload data'!M:M,'caseload data'!$B:$B,{"licence","community"},'caseload data'!$C:$C,'community %'!$T$99)),"")</f>
        <v/>
      </c>
      <c r="AD104" s="167" t="str" cm="1">
        <f t="array" ref="AD104">IFERROR(SUM(SUMIFS('caseload data'!N:N,'caseload data'!$C:$C,'community %'!$T$99,'caseload data'!$D:$D,"SPO",'caseload data'!$B:$B,{"licence","community"}))/SUM(SUMIFS('caseload data'!N:N,'caseload data'!$B:$B,{"licence","community"},'caseload data'!$C:$C,'community %'!$T$99)),"")</f>
        <v/>
      </c>
      <c r="AE104" s="167" t="str" cm="1">
        <f t="array" ref="AE104">IFERROR(SUM(SUMIFS('caseload data'!O:O,'caseload data'!$C:$C,'community %'!$T$99,'caseload data'!$D:$D,"SPO",'caseload data'!$B:$B,{"licence","community"}))/SUM(SUMIFS('caseload data'!O:O,'caseload data'!$B:$B,{"licence","community"},'caseload data'!$C:$C,'community %'!$T$99)),"")</f>
        <v/>
      </c>
      <c r="AF104" s="167" t="str" cm="1">
        <f t="array" ref="AF104">IFERROR(SUM(SUMIFS('caseload data'!P:P,'caseload data'!$C:$C,'community %'!$T$99,'caseload data'!$D:$D,"SPO",'caseload data'!$B:$B,{"licence","community"}))/SUM(SUMIFS('caseload data'!P:P,'caseload data'!$B:$B,{"licence","community"},'caseload data'!$C:$C,'community %'!$T$99)),"")</f>
        <v/>
      </c>
      <c r="AG104" s="167" t="str" cm="1">
        <f t="array" ref="AG104">IFERROR(SUM(SUMIFS('caseload data'!Q:Q,'caseload data'!$C:$C,'community %'!$T$99,'caseload data'!$D:$D,"SPO",'caseload data'!$B:$B,{"licence","community"}))/SUM(SUMIFS('caseload data'!Q:Q,'caseload data'!$B:$B,{"licence","community"},'caseload data'!$C:$C,'community %'!$T$99)),"")</f>
        <v/>
      </c>
      <c r="AH104" s="167" t="str" cm="1">
        <f t="array" ref="AH104">IFERROR(SUM(SUMIFS('caseload data'!R:R,'caseload data'!$C:$C,'community %'!$T$99,'caseload data'!$D:$D,"SPO",'caseload data'!$B:$B,{"licence","community"}))/SUM(SUMIFS('caseload data'!R:R,'caseload data'!$B:$B,{"licence","community"},'caseload data'!$C:$C,'community %'!$T$99)),"")</f>
        <v/>
      </c>
      <c r="AI104" s="167" t="str" cm="1">
        <f t="array" ref="AI104">IFERROR(SUM(SUMIFS('caseload data'!S:S,'caseload data'!$C:$C,'community %'!$T$99,'caseload data'!$D:$D,"SPO",'caseload data'!$B:$B,{"licence","community"}))/SUM(SUMIFS('caseload data'!S:S,'caseload data'!$B:$B,{"licence","community"},'caseload data'!$C:$C,'community %'!$T$99)),"")</f>
        <v/>
      </c>
      <c r="AJ104" s="167"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activeCell="I24" sqref="I24"/>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59.25" customHeight="1" x14ac:dyDescent="0.2">
      <c r="A1" s="564" t="s">
        <v>1082</v>
      </c>
      <c r="B1" s="564"/>
      <c r="C1" s="564"/>
      <c r="D1" s="564"/>
      <c r="E1" s="564"/>
      <c r="F1" s="564"/>
      <c r="G1" s="564"/>
      <c r="H1" s="564"/>
      <c r="I1" s="564"/>
      <c r="J1" s="564"/>
      <c r="K1" s="564"/>
      <c r="L1" s="564"/>
      <c r="M1" s="264"/>
      <c r="N1" s="264"/>
      <c r="O1" s="264"/>
      <c r="P1" s="264"/>
      <c r="Q1" s="264"/>
      <c r="R1" s="264"/>
      <c r="S1" s="264"/>
      <c r="T1" s="264"/>
      <c r="U1" s="264"/>
      <c r="V1" s="264"/>
      <c r="W1" s="264"/>
      <c r="X1" s="264"/>
      <c r="Y1" s="264"/>
    </row>
    <row r="2" spans="1:25" ht="39" customHeight="1" x14ac:dyDescent="0.2">
      <c r="A2" s="460" t="s">
        <v>1362</v>
      </c>
      <c r="B2" s="454"/>
      <c r="C2" s="454"/>
      <c r="D2" s="454"/>
      <c r="E2" s="454"/>
      <c r="F2" s="454"/>
      <c r="G2" s="454"/>
      <c r="H2" s="454"/>
      <c r="I2" s="454"/>
      <c r="J2" s="454"/>
      <c r="K2" s="454"/>
      <c r="L2" s="454"/>
      <c r="M2" s="265"/>
      <c r="N2" s="265"/>
      <c r="O2" s="265"/>
      <c r="P2" s="265"/>
      <c r="Q2" s="265"/>
      <c r="R2" s="265"/>
      <c r="S2" s="265"/>
      <c r="T2" s="265"/>
      <c r="U2" s="265"/>
      <c r="V2" s="265"/>
      <c r="W2" s="265"/>
      <c r="X2" s="265"/>
      <c r="Y2" s="265"/>
    </row>
    <row r="3" spans="1:25" ht="14.25" customHeight="1" x14ac:dyDescent="0.2"/>
    <row r="4" spans="1:25" ht="56" x14ac:dyDescent="0.2">
      <c r="B4" s="146"/>
      <c r="C4" s="219" t="s">
        <v>887</v>
      </c>
      <c r="D4" s="63" t="s">
        <v>888</v>
      </c>
      <c r="E4" s="63" t="s">
        <v>889</v>
      </c>
      <c r="F4" s="63" t="s">
        <v>890</v>
      </c>
      <c r="G4" s="91"/>
      <c r="H4" s="219" t="s">
        <v>891</v>
      </c>
      <c r="I4" s="219" t="s">
        <v>892</v>
      </c>
      <c r="J4" s="91"/>
      <c r="K4" s="219" t="s">
        <v>893</v>
      </c>
      <c r="L4" s="219" t="s">
        <v>894</v>
      </c>
    </row>
    <row r="5" spans="1:25" x14ac:dyDescent="0.2">
      <c r="B5" s="141" t="s">
        <v>17</v>
      </c>
      <c r="C5" s="67" t="e">
        <f>SUM((SUMIFS('capacity data'!G:G,'capacity data'!A:A,B5,'capacity data'!E:E,"PO"))-SUMIFS('capacity data'!H:H,'capacity data'!A:A,B5,'capacity data'!E:E,"PO"))/SUMIFS('capacity data'!G:G,'capacity data'!A:A,B5,'capacity data'!E:E,"PO")</f>
        <v>#DIV/0!</v>
      </c>
      <c r="D5" s="67" t="e">
        <f>SUM((SUMIFS('capacity data'!G:G,'capacity data'!A:A,B5,'capacity data'!E:E,"PSO"))-SUMIFS('capacity data'!H:H,'capacity data'!A:A,B5,'capacity data'!E:E,"PSO"))/SUMIFS('capacity data'!G:G,'capacity data'!A:A,B5,'capacity data'!E:E,"PSO")</f>
        <v>#DIV/0!</v>
      </c>
      <c r="E5" s="67" t="e">
        <f>SUM((SUMIFS('capacity data'!G:G,'capacity data'!A:A,B5,'capacity data'!E:E,"TPO"))-SUMIFS('capacity data'!H:H,'capacity data'!A:A,B5,'capacity data'!E:E,"TPO"))/SUMIFS('capacity data'!G:G,'capacity data'!A:A,B5,'capacity data'!E:E,"TPO")</f>
        <v>#DIV/0!</v>
      </c>
      <c r="F5" s="147" t="e">
        <f>SUM((SUMIFS('capacity data'!G:G,'capacity data'!A:A,B5))-SUMIFS('capacity data'!H:H,'capacity data'!A:A,B5))/SUMIFS('capacity data'!G:G,'capacity data'!A:A,B5)</f>
        <v>#DIV/0!</v>
      </c>
      <c r="G5" s="148"/>
      <c r="H5" s="66" t="e">
        <f>SUMIFS('capacity data'!$L:$L,'capacity data'!$A:$A,B5,'capacity data'!$E:$E,"PSO")/SUM((SUMIFS('capacity data'!$G:$G,'capacity data'!$E:$E,"PSO",'capacity data'!$A:$A,B5))-SUMIFS('capacity data'!$H:$H,'capacity data'!$E:$E,"PSO",'capacity data'!$A:$A,B5))</f>
        <v>#DIV/0!</v>
      </c>
      <c r="I5" s="66" t="e">
        <f>SUMIFS('capacity data'!$L:$L,'capacity data'!$A:$A,B5,'capacity data'!$E:$E,"PSO")/SUMIFS('capacity data'!$G:$G,'capacity data'!$E:$E,"PSO",'capacity data'!$A:$A,B5)</f>
        <v>#DIV/0!</v>
      </c>
      <c r="J5" s="91"/>
      <c r="K5" s="66" t="e">
        <f>SUMIFS('capacity data'!$L:$L,'capacity data'!$A:$A,B5,'capacity data'!$E:$E,"TPO")/SUM((SUMIFS('capacity data'!$G:$G,'capacity data'!$E:$E,"TPO",'capacity data'!$A:$A,B5))-SUMIFS('capacity data'!$H:$H,'capacity data'!$E:$E,"TPO",'capacity data'!$A:$A,B5))</f>
        <v>#DIV/0!</v>
      </c>
      <c r="L5" s="66" t="e">
        <f>SUMIFS('capacity data'!$L:$L,'capacity data'!$A:$A,B5,'capacity data'!$E:$E,"TPO")/SUMIFS('capacity data'!$G:$G,'capacity data'!$E:$E,"TPO",'capacity data'!$A:$A,B5)</f>
        <v>#DIV/0!</v>
      </c>
    </row>
    <row r="6" spans="1:25" x14ac:dyDescent="0.2">
      <c r="B6" s="141" t="s">
        <v>18</v>
      </c>
      <c r="C6" s="67" t="e">
        <f>SUM((SUMIFS('capacity data'!G:G,'capacity data'!A:A,B6,'capacity data'!E:E,"PO"))-SUMIFS('capacity data'!H:H,'capacity data'!A:A,B6,'capacity data'!E:E,"PO"))/SUMIFS('capacity data'!G:G,'capacity data'!A:A,B6,'capacity data'!E:E,"PO")</f>
        <v>#DIV/0!</v>
      </c>
      <c r="D6" s="67" t="e">
        <f>SUM((SUMIFS('capacity data'!G:G,'capacity data'!A:A,B6,'capacity data'!E:E,"PSO"))-SUMIFS('capacity data'!H:H,'capacity data'!A:A,B6,'capacity data'!E:E,"PSO"))/SUMIFS('capacity data'!G:G,'capacity data'!A:A,B6,'capacity data'!E:E,"PSO")</f>
        <v>#DIV/0!</v>
      </c>
      <c r="E6" s="67" t="e">
        <f>SUM((SUMIFS('capacity data'!G:G,'capacity data'!A:A,B6,'capacity data'!E:E,"TPO"))-SUMIFS('capacity data'!H:H,'capacity data'!A:A,B6,'capacity data'!E:E,"TPO"))/SUMIFS('capacity data'!G:G,'capacity data'!A:A,B6,'capacity data'!E:E,"TPO")</f>
        <v>#DIV/0!</v>
      </c>
      <c r="F6" s="147" t="e">
        <f>SUM((SUMIFS('capacity data'!G:G,'capacity data'!A:A,B6))-SUMIFS('capacity data'!H:H,'capacity data'!A:A,B6))/SUMIFS('capacity data'!G:G,'capacity data'!A:A,B6)</f>
        <v>#DIV/0!</v>
      </c>
      <c r="G6" s="148"/>
      <c r="H6" s="66" t="e">
        <f>SUMIFS('capacity data'!$L:$L,'capacity data'!$A:$A,B6,'capacity data'!$E:$E,"PSO")/SUM((SUMIFS('capacity data'!$G:$G,'capacity data'!$E:$E,"PSO",'capacity data'!$A:$A,B6))-SUMIFS('capacity data'!$H:$H,'capacity data'!$E:$E,"PSO",'capacity data'!$A:$A,B6))</f>
        <v>#DIV/0!</v>
      </c>
      <c r="I6" s="66" t="e">
        <f>SUMIFS('capacity data'!$L:$L,'capacity data'!$A:$A,B6,'capacity data'!$E:$E,"PSO")/SUMIFS('capacity data'!$G:$G,'capacity data'!$E:$E,"PSO",'capacity data'!$A:$A,B6)</f>
        <v>#DIV/0!</v>
      </c>
      <c r="J6" s="91"/>
      <c r="K6" s="66" t="e">
        <f>SUMIFS('capacity data'!$L:$L,'capacity data'!$A:$A,B6,'capacity data'!$E:$E,"TPO")/SUM((SUMIFS('capacity data'!$G:$G,'capacity data'!$E:$E,"TPO",'capacity data'!$A:$A,B6))-SUMIFS('capacity data'!$H:$H,'capacity data'!$E:$E,"TPO",'capacity data'!$A:$A,B6))</f>
        <v>#DIV/0!</v>
      </c>
      <c r="L6" s="66" t="e">
        <f>SUMIFS('capacity data'!$L:$L,'capacity data'!$A:$A,B6,'capacity data'!$E:$E,"TPO")/SUMIFS('capacity data'!$G:$G,'capacity data'!$E:$E,"TPO",'capacity data'!$A:$A,B6)</f>
        <v>#DIV/0!</v>
      </c>
    </row>
    <row r="7" spans="1:25" x14ac:dyDescent="0.2">
      <c r="B7" s="141" t="s">
        <v>19</v>
      </c>
      <c r="C7" s="67" t="e">
        <f>SUM((SUMIFS('capacity data'!G:G,'capacity data'!A:A,B7,'capacity data'!E:E,"PO"))-SUMIFS('capacity data'!H:H,'capacity data'!A:A,B7,'capacity data'!E:E,"PO"))/SUMIFS('capacity data'!G:G,'capacity data'!A:A,B7,'capacity data'!E:E,"PO")</f>
        <v>#DIV/0!</v>
      </c>
      <c r="D7" s="67" t="e">
        <f>SUM((SUMIFS('capacity data'!G:G,'capacity data'!A:A,B7,'capacity data'!E:E,"PSO"))-SUMIFS('capacity data'!H:H,'capacity data'!A:A,B7,'capacity data'!E:E,"PSO"))/SUMIFS('capacity data'!G:G,'capacity data'!A:A,B7,'capacity data'!E:E,"PSO")</f>
        <v>#DIV/0!</v>
      </c>
      <c r="E7" s="67" t="e">
        <f>SUM((SUMIFS('capacity data'!G:G,'capacity data'!A:A,B7,'capacity data'!E:E,"TPO"))-SUMIFS('capacity data'!H:H,'capacity data'!A:A,B7,'capacity data'!E:E,"TPO"))/SUMIFS('capacity data'!G:G,'capacity data'!A:A,B7,'capacity data'!E:E,"TPO")</f>
        <v>#DIV/0!</v>
      </c>
      <c r="F7" s="147" t="e">
        <f>SUM((SUMIFS('capacity data'!G:G,'capacity data'!A:A,B7))-SUMIFS('capacity data'!H:H,'capacity data'!A:A,B7))/SUMIFS('capacity data'!G:G,'capacity data'!A:A,B7)</f>
        <v>#DIV/0!</v>
      </c>
      <c r="G7" s="148"/>
      <c r="H7" s="66" t="e">
        <f>SUMIFS('capacity data'!$L:$L,'capacity data'!$A:$A,B7,'capacity data'!$E:$E,"PSO")/SUM((SUMIFS('capacity data'!$G:$G,'capacity data'!$E:$E,"PSO",'capacity data'!$A:$A,B7))-SUMIFS('capacity data'!$H:$H,'capacity data'!$E:$E,"PSO",'capacity data'!$A:$A,B7))</f>
        <v>#DIV/0!</v>
      </c>
      <c r="I7" s="66" t="e">
        <f>SUMIFS('capacity data'!$L:$L,'capacity data'!$A:$A,B7,'capacity data'!$E:$E,"PSO")/SUMIFS('capacity data'!$G:$G,'capacity data'!$E:$E,"PSO",'capacity data'!$A:$A,B7)</f>
        <v>#DIV/0!</v>
      </c>
      <c r="J7" s="91"/>
      <c r="K7" s="66" t="e">
        <f>SUMIFS('capacity data'!$L:$L,'capacity data'!$A:$A,B7,'capacity data'!$E:$E,"TPO")/SUM((SUMIFS('capacity data'!$G:$G,'capacity data'!$E:$E,"TPO",'capacity data'!$A:$A,B7))-SUMIFS('capacity data'!$H:$H,'capacity data'!$E:$E,"TPO",'capacity data'!$A:$A,B7))</f>
        <v>#DIV/0!</v>
      </c>
      <c r="L7" s="66" t="e">
        <f>SUMIFS('capacity data'!$L:$L,'capacity data'!$A:$A,B7,'capacity data'!$E:$E,"TPO")/SUMIFS('capacity data'!$G:$G,'capacity data'!$E:$E,"TPO",'capacity data'!$A:$A,B7)</f>
        <v>#DIV/0!</v>
      </c>
    </row>
    <row r="8" spans="1:25" x14ac:dyDescent="0.2">
      <c r="B8" s="141" t="s">
        <v>20</v>
      </c>
      <c r="C8" s="67" t="e">
        <f>SUM((SUMIFS('capacity data'!G:G,'capacity data'!A:A,B8,'capacity data'!E:E,"PO"))-SUMIFS('capacity data'!H:H,'capacity data'!A:A,B8,'capacity data'!E:E,"PO"))/SUMIFS('capacity data'!G:G,'capacity data'!A:A,B8,'capacity data'!E:E,"PO")</f>
        <v>#DIV/0!</v>
      </c>
      <c r="D8" s="67" t="e">
        <f>SUM((SUMIFS('capacity data'!G:G,'capacity data'!A:A,B8,'capacity data'!E:E,"PSO"))-SUMIFS('capacity data'!H:H,'capacity data'!A:A,B8,'capacity data'!E:E,"PSO"))/SUMIFS('capacity data'!G:G,'capacity data'!A:A,B8,'capacity data'!E:E,"PSO")</f>
        <v>#DIV/0!</v>
      </c>
      <c r="E8" s="67" t="e">
        <f>SUM((SUMIFS('capacity data'!G:G,'capacity data'!A:A,B8,'capacity data'!E:E,"TPO"))-SUMIFS('capacity data'!H:H,'capacity data'!A:A,B8,'capacity data'!E:E,"TPO"))/SUMIFS('capacity data'!G:G,'capacity data'!A:A,B8,'capacity data'!E:E,"TPO")</f>
        <v>#DIV/0!</v>
      </c>
      <c r="F8" s="147" t="e">
        <f>SUM((SUMIFS('capacity data'!G:G,'capacity data'!A:A,B8))-SUMIFS('capacity data'!H:H,'capacity data'!A:A,B8))/SUMIFS('capacity data'!G:G,'capacity data'!A:A,B8)</f>
        <v>#DIV/0!</v>
      </c>
      <c r="G8" s="148"/>
      <c r="H8" s="66" t="e">
        <f>SUMIFS('capacity data'!$L:$L,'capacity data'!$A:$A,B8,'capacity data'!$E:$E,"PSO")/SUM((SUMIFS('capacity data'!$G:$G,'capacity data'!$E:$E,"PSO",'capacity data'!$A:$A,B8))-SUMIFS('capacity data'!$H:$H,'capacity data'!$E:$E,"PSO",'capacity data'!$A:$A,B8))</f>
        <v>#DIV/0!</v>
      </c>
      <c r="I8" s="66" t="e">
        <f>SUMIFS('capacity data'!$L:$L,'capacity data'!$A:$A,B8,'capacity data'!$E:$E,"PSO")/SUMIFS('capacity data'!$G:$G,'capacity data'!$E:$E,"PSO",'capacity data'!$A:$A,B8)</f>
        <v>#DIV/0!</v>
      </c>
      <c r="J8" s="91"/>
      <c r="K8" s="66" t="e">
        <f>SUMIFS('capacity data'!$L:$L,'capacity data'!$A:$A,B8,'capacity data'!$E:$E,"TPO")/SUM((SUMIFS('capacity data'!$G:$G,'capacity data'!$E:$E,"TPO",'capacity data'!$A:$A,B8))-SUMIFS('capacity data'!$H:$H,'capacity data'!$E:$E,"TPO",'capacity data'!$A:$A,B8))</f>
        <v>#DIV/0!</v>
      </c>
      <c r="L8" s="66" t="e">
        <f>SUMIFS('capacity data'!$L:$L,'capacity data'!$A:$A,B8,'capacity data'!$E:$E,"TPO")/SUMIFS('capacity data'!$G:$G,'capacity data'!$E:$E,"TPO",'capacity data'!$A:$A,B8)</f>
        <v>#DIV/0!</v>
      </c>
    </row>
    <row r="9" spans="1:25" x14ac:dyDescent="0.2">
      <c r="B9" s="141" t="s">
        <v>21</v>
      </c>
      <c r="C9" s="67" t="e">
        <f>SUM((SUMIFS('capacity data'!G:G,'capacity data'!A:A,B9,'capacity data'!E:E,"PO"))-SUMIFS('capacity data'!H:H,'capacity data'!A:A,B9,'capacity data'!E:E,"PO"))/SUMIFS('capacity data'!G:G,'capacity data'!A:A,B9,'capacity data'!E:E,"PO")</f>
        <v>#DIV/0!</v>
      </c>
      <c r="D9" s="67" t="e">
        <f>SUM((SUMIFS('capacity data'!G:G,'capacity data'!A:A,B9,'capacity data'!E:E,"PSO"))-SUMIFS('capacity data'!H:H,'capacity data'!A:A,B9,'capacity data'!E:E,"PSO"))/SUMIFS('capacity data'!G:G,'capacity data'!A:A,B9,'capacity data'!E:E,"PSO")</f>
        <v>#DIV/0!</v>
      </c>
      <c r="E9" s="67" t="e">
        <f>SUM((SUMIFS('capacity data'!G:G,'capacity data'!A:A,B9,'capacity data'!E:E,"TPO"))-SUMIFS('capacity data'!H:H,'capacity data'!A:A,B9,'capacity data'!E:E,"TPO"))/SUMIFS('capacity data'!G:G,'capacity data'!A:A,B9,'capacity data'!E:E,"TPO")</f>
        <v>#DIV/0!</v>
      </c>
      <c r="F9" s="147" t="e">
        <f>SUM((SUMIFS('capacity data'!G:G,'capacity data'!A:A,B9))-SUMIFS('capacity data'!H:H,'capacity data'!A:A,B9))/SUMIFS('capacity data'!G:G,'capacity data'!A:A,B9)</f>
        <v>#DIV/0!</v>
      </c>
      <c r="G9" s="148"/>
      <c r="H9" s="66" t="e">
        <f>SUMIFS('capacity data'!$L:$L,'capacity data'!$A:$A,B9,'capacity data'!$E:$E,"PSO")/SUM((SUMIFS('capacity data'!$G:$G,'capacity data'!$E:$E,"PSO",'capacity data'!$A:$A,B9))-SUMIFS('capacity data'!$H:$H,'capacity data'!$E:$E,"PSO",'capacity data'!$A:$A,B9))</f>
        <v>#DIV/0!</v>
      </c>
      <c r="I9" s="66" t="e">
        <f>SUMIFS('capacity data'!$L:$L,'capacity data'!$A:$A,B9,'capacity data'!$E:$E,"PSO")/SUMIFS('capacity data'!$G:$G,'capacity data'!$E:$E,"PSO",'capacity data'!$A:$A,B9)</f>
        <v>#DIV/0!</v>
      </c>
      <c r="J9" s="91"/>
      <c r="K9" s="66" t="e">
        <f>SUMIFS('capacity data'!$L:$L,'capacity data'!$A:$A,B9,'capacity data'!$E:$E,"TPO")/SUM((SUMIFS('capacity data'!$G:$G,'capacity data'!$E:$E,"TPO",'capacity data'!$A:$A,B9))-SUMIFS('capacity data'!$H:$H,'capacity data'!$E:$E,"TPO",'capacity data'!$A:$A,B9))</f>
        <v>#DIV/0!</v>
      </c>
      <c r="L9" s="66" t="e">
        <f>SUMIFS('capacity data'!$L:$L,'capacity data'!$A:$A,B9,'capacity data'!$E:$E,"TPO")/SUMIFS('capacity data'!$G:$G,'capacity data'!$E:$E,"TPO",'capacity data'!$A:$A,B9)</f>
        <v>#DIV/0!</v>
      </c>
    </row>
    <row r="10" spans="1:25" x14ac:dyDescent="0.2">
      <c r="B10" s="141" t="s">
        <v>22</v>
      </c>
      <c r="C10" s="67" t="e">
        <f>SUM((SUMIFS('capacity data'!G:G,'capacity data'!A:A,B10,'capacity data'!E:E,"PO"))-SUMIFS('capacity data'!H:H,'capacity data'!A:A,B10,'capacity data'!E:E,"PO"))/SUMIFS('capacity data'!G:G,'capacity data'!A:A,B10,'capacity data'!E:E,"PO")</f>
        <v>#DIV/0!</v>
      </c>
      <c r="D10" s="67" t="e">
        <f>SUM((SUMIFS('capacity data'!G:G,'capacity data'!A:A,B10,'capacity data'!E:E,"PSO"))-SUMIFS('capacity data'!H:H,'capacity data'!A:A,B10,'capacity data'!E:E,"PSO"))/SUMIFS('capacity data'!G:G,'capacity data'!A:A,B10,'capacity data'!E:E,"PSO")</f>
        <v>#DIV/0!</v>
      </c>
      <c r="E10" s="67" t="e">
        <f>SUM((SUMIFS('capacity data'!G:G,'capacity data'!A:A,B10,'capacity data'!E:E,"TPO"))-SUMIFS('capacity data'!H:H,'capacity data'!A:A,B10,'capacity data'!E:E,"TPO"))/SUMIFS('capacity data'!G:G,'capacity data'!A:A,B10,'capacity data'!E:E,"TPO")</f>
        <v>#DIV/0!</v>
      </c>
      <c r="F10" s="147" t="e">
        <f>SUM((SUMIFS('capacity data'!G:G,'capacity data'!A:A,B10))-SUMIFS('capacity data'!H:H,'capacity data'!A:A,B10))/SUMIFS('capacity data'!G:G,'capacity data'!A:A,B10)</f>
        <v>#DIV/0!</v>
      </c>
      <c r="G10" s="148"/>
      <c r="H10" s="66" t="e">
        <f>SUMIFS('capacity data'!$L:$L,'capacity data'!$A:$A,B10,'capacity data'!$E:$E,"PSO")/SUM((SUMIFS('capacity data'!$G:$G,'capacity data'!$E:$E,"PSO",'capacity data'!$A:$A,B10))-SUMIFS('capacity data'!$H:$H,'capacity data'!$E:$E,"PSO",'capacity data'!$A:$A,B10))</f>
        <v>#DIV/0!</v>
      </c>
      <c r="I10" s="66" t="e">
        <f>SUMIFS('capacity data'!$L:$L,'capacity data'!$A:$A,B10,'capacity data'!$E:$E,"PSO")/SUMIFS('capacity data'!$G:$G,'capacity data'!$E:$E,"PSO",'capacity data'!$A:$A,B10)</f>
        <v>#DIV/0!</v>
      </c>
      <c r="J10" s="91"/>
      <c r="K10" s="66" t="e">
        <f>SUMIFS('capacity data'!$L:$L,'capacity data'!$A:$A,B10,'capacity data'!$E:$E,"TPO")/SUM((SUMIFS('capacity data'!$G:$G,'capacity data'!$E:$E,"TPO",'capacity data'!$A:$A,B10))-SUMIFS('capacity data'!$H:$H,'capacity data'!$E:$E,"TPO",'capacity data'!$A:$A,B10))</f>
        <v>#DIV/0!</v>
      </c>
      <c r="L10" s="66" t="e">
        <f>SUMIFS('capacity data'!$L:$L,'capacity data'!$A:$A,B10,'capacity data'!$E:$E,"TPO")/SUMIFS('capacity data'!$G:$G,'capacity data'!$E:$E,"TPO",'capacity data'!$A:$A,B10)</f>
        <v>#DIV/0!</v>
      </c>
    </row>
    <row r="11" spans="1:25" x14ac:dyDescent="0.2">
      <c r="B11" s="141" t="s">
        <v>23</v>
      </c>
      <c r="C11" s="67" t="e">
        <f>SUM((SUMIFS('capacity data'!G:G,'capacity data'!A:A,B11,'capacity data'!E:E,"PO"))-SUMIFS('capacity data'!H:H,'capacity data'!A:A,B11,'capacity data'!E:E,"PO"))/SUMIFS('capacity data'!G:G,'capacity data'!A:A,B11,'capacity data'!E:E,"PO")</f>
        <v>#DIV/0!</v>
      </c>
      <c r="D11" s="67" t="e">
        <f>SUM((SUMIFS('capacity data'!G:G,'capacity data'!A:A,B11,'capacity data'!E:E,"PSO"))-SUMIFS('capacity data'!H:H,'capacity data'!A:A,B11,'capacity data'!E:E,"PSO"))/SUMIFS('capacity data'!G:G,'capacity data'!A:A,B11,'capacity data'!E:E,"PSO")</f>
        <v>#DIV/0!</v>
      </c>
      <c r="E11" s="67" t="e">
        <f>SUM((SUMIFS('capacity data'!G:G,'capacity data'!A:A,B11,'capacity data'!E:E,"TPO"))-SUMIFS('capacity data'!H:H,'capacity data'!A:A,B11,'capacity data'!E:E,"TPO"))/SUMIFS('capacity data'!G:G,'capacity data'!A:A,B11,'capacity data'!E:E,"TPO")</f>
        <v>#DIV/0!</v>
      </c>
      <c r="F11" s="147" t="e">
        <f>SUM((SUMIFS('capacity data'!G:G,'capacity data'!A:A,B11))-SUMIFS('capacity data'!H:H,'capacity data'!A:A,B11))/SUMIFS('capacity data'!G:G,'capacity data'!A:A,B11)</f>
        <v>#DIV/0!</v>
      </c>
      <c r="G11" s="148"/>
      <c r="H11" s="66" t="e">
        <f>SUMIFS('capacity data'!$L:$L,'capacity data'!$A:$A,B11,'capacity data'!$E:$E,"PSO")/SUM((SUMIFS('capacity data'!$G:$G,'capacity data'!$E:$E,"PSO",'capacity data'!$A:$A,B11))-SUMIFS('capacity data'!$H:$H,'capacity data'!$E:$E,"PSO",'capacity data'!$A:$A,B11))</f>
        <v>#DIV/0!</v>
      </c>
      <c r="I11" s="66" t="e">
        <f>SUMIFS('capacity data'!$L:$L,'capacity data'!$A:$A,B11,'capacity data'!$E:$E,"PSO")/SUMIFS('capacity data'!$G:$G,'capacity data'!$E:$E,"PSO",'capacity data'!$A:$A,B11)</f>
        <v>#DIV/0!</v>
      </c>
      <c r="J11" s="91"/>
      <c r="K11" s="66" t="e">
        <f>SUMIFS('capacity data'!$L:$L,'capacity data'!$A:$A,B11,'capacity data'!$E:$E,"TPO")/SUM((SUMIFS('capacity data'!$G:$G,'capacity data'!$E:$E,"TPO",'capacity data'!$A:$A,B11))-SUMIFS('capacity data'!$H:$H,'capacity data'!$E:$E,"TPO",'capacity data'!$A:$A,B11))</f>
        <v>#DIV/0!</v>
      </c>
      <c r="L11" s="66" t="e">
        <f>SUMIFS('capacity data'!$L:$L,'capacity data'!$A:$A,B11,'capacity data'!$E:$E,"TPO")/SUMIFS('capacity data'!$G:$G,'capacity data'!$E:$E,"TPO",'capacity data'!$A:$A,B11)</f>
        <v>#DIV/0!</v>
      </c>
    </row>
    <row r="12" spans="1:25" x14ac:dyDescent="0.2">
      <c r="B12" s="141" t="s">
        <v>24</v>
      </c>
      <c r="C12" s="67" t="e">
        <f>SUM((SUMIFS('capacity data'!G:G,'capacity data'!A:A,B12,'capacity data'!E:E,"PO"))-SUMIFS('capacity data'!H:H,'capacity data'!A:A,B12,'capacity data'!E:E,"PO"))/SUMIFS('capacity data'!G:G,'capacity data'!A:A,B12,'capacity data'!E:E,"PO")</f>
        <v>#DIV/0!</v>
      </c>
      <c r="D12" s="67" t="e">
        <f>SUM((SUMIFS('capacity data'!G:G,'capacity data'!A:A,B12,'capacity data'!E:E,"PSO"))-SUMIFS('capacity data'!H:H,'capacity data'!A:A,B12,'capacity data'!E:E,"PSO"))/SUMIFS('capacity data'!G:G,'capacity data'!A:A,B12,'capacity data'!E:E,"PSO")</f>
        <v>#DIV/0!</v>
      </c>
      <c r="E12" s="67" t="e">
        <f>SUM((SUMIFS('capacity data'!G:G,'capacity data'!A:A,B12,'capacity data'!E:E,"TPO"))-SUMIFS('capacity data'!H:H,'capacity data'!A:A,B12,'capacity data'!E:E,"TPO"))/SUMIFS('capacity data'!G:G,'capacity data'!A:A,B12,'capacity data'!E:E,"TPO")</f>
        <v>#DIV/0!</v>
      </c>
      <c r="F12" s="147" t="e">
        <f>SUM((SUMIFS('capacity data'!G:G,'capacity data'!A:A,B12))-SUMIFS('capacity data'!H:H,'capacity data'!A:A,B12))/SUMIFS('capacity data'!G:G,'capacity data'!A:A,B12)</f>
        <v>#DIV/0!</v>
      </c>
      <c r="G12" s="148"/>
      <c r="H12" s="66" t="e">
        <f>SUMIFS('capacity data'!$L:$L,'capacity data'!$A:$A,B12,'capacity data'!$E:$E,"PSO")/SUM((SUMIFS('capacity data'!$G:$G,'capacity data'!$E:$E,"PSO",'capacity data'!$A:$A,B12))-SUMIFS('capacity data'!$H:$H,'capacity data'!$E:$E,"PSO",'capacity data'!$A:$A,B12))</f>
        <v>#DIV/0!</v>
      </c>
      <c r="I12" s="66" t="e">
        <f>SUMIFS('capacity data'!$L:$L,'capacity data'!$A:$A,B12,'capacity data'!$E:$E,"PSO")/SUMIFS('capacity data'!$G:$G,'capacity data'!$E:$E,"PSO",'capacity data'!$A:$A,B12)</f>
        <v>#DIV/0!</v>
      </c>
      <c r="J12" s="91"/>
      <c r="K12" s="66" t="e">
        <f>SUMIFS('capacity data'!$L:$L,'capacity data'!$A:$A,B12,'capacity data'!$E:$E,"TPO")/SUM((SUMIFS('capacity data'!$G:$G,'capacity data'!$E:$E,"TPO",'capacity data'!$A:$A,B12))-SUMIFS('capacity data'!$H:$H,'capacity data'!$E:$E,"TPO",'capacity data'!$A:$A,B12))</f>
        <v>#DIV/0!</v>
      </c>
      <c r="L12" s="66" t="e">
        <f>SUMIFS('capacity data'!$L:$L,'capacity data'!$A:$A,B12,'capacity data'!$E:$E,"TPO")/SUMIFS('capacity data'!$G:$G,'capacity data'!$E:$E,"TPO",'capacity data'!$A:$A,B12)</f>
        <v>#DIV/0!</v>
      </c>
    </row>
    <row r="13" spans="1:25" x14ac:dyDescent="0.2">
      <c r="B13" s="141" t="s">
        <v>25</v>
      </c>
      <c r="C13" s="67" t="e">
        <f>SUM((SUMIFS('capacity data'!G:G,'capacity data'!A:A,B13,'capacity data'!E:E,"PO"))-SUMIFS('capacity data'!H:H,'capacity data'!A:A,B13,'capacity data'!E:E,"PO"))/SUMIFS('capacity data'!G:G,'capacity data'!A:A,B13,'capacity data'!E:E,"PO")</f>
        <v>#DIV/0!</v>
      </c>
      <c r="D13" s="67" t="e">
        <f>SUM((SUMIFS('capacity data'!G:G,'capacity data'!A:A,B13,'capacity data'!E:E,"PSO"))-SUMIFS('capacity data'!H:H,'capacity data'!A:A,B13,'capacity data'!E:E,"PSO"))/SUMIFS('capacity data'!G:G,'capacity data'!A:A,B13,'capacity data'!E:E,"PSO")</f>
        <v>#DIV/0!</v>
      </c>
      <c r="E13" s="67" t="e">
        <f>SUM((SUMIFS('capacity data'!G:G,'capacity data'!A:A,B13,'capacity data'!E:E,"TPO"))-SUMIFS('capacity data'!H:H,'capacity data'!A:A,B13,'capacity data'!E:E,"TPO"))/SUMIFS('capacity data'!G:G,'capacity data'!A:A,B13,'capacity data'!E:E,"TPO")</f>
        <v>#DIV/0!</v>
      </c>
      <c r="F13" s="147" t="e">
        <f>SUM((SUMIFS('capacity data'!G:G,'capacity data'!A:A,B13))-SUMIFS('capacity data'!H:H,'capacity data'!A:A,B13))/SUMIFS('capacity data'!G:G,'capacity data'!A:A,B13)</f>
        <v>#DIV/0!</v>
      </c>
      <c r="G13" s="148"/>
      <c r="H13" s="66" t="e">
        <f>SUMIFS('capacity data'!$L:$L,'capacity data'!$A:$A,B13,'capacity data'!$E:$E,"PSO")/SUM((SUMIFS('capacity data'!$G:$G,'capacity data'!$E:$E,"PSO",'capacity data'!$A:$A,B13))-SUMIFS('capacity data'!$H:$H,'capacity data'!$E:$E,"PSO",'capacity data'!$A:$A,B13))</f>
        <v>#DIV/0!</v>
      </c>
      <c r="I13" s="66" t="e">
        <f>SUMIFS('capacity data'!$L:$L,'capacity data'!$A:$A,B13,'capacity data'!$E:$E,"PSO")/SUMIFS('capacity data'!$G:$G,'capacity data'!$E:$E,"PSO",'capacity data'!$A:$A,B13)</f>
        <v>#DIV/0!</v>
      </c>
      <c r="J13" s="91"/>
      <c r="K13" s="66" t="e">
        <f>SUMIFS('capacity data'!$L:$L,'capacity data'!$A:$A,B13,'capacity data'!$E:$E,"TPO")/SUM((SUMIFS('capacity data'!$G:$G,'capacity data'!$E:$E,"TPO",'capacity data'!$A:$A,B13))-SUMIFS('capacity data'!$H:$H,'capacity data'!$E:$E,"TPO",'capacity data'!$A:$A,B13))</f>
        <v>#DIV/0!</v>
      </c>
      <c r="L13" s="66" t="e">
        <f>SUMIFS('capacity data'!$L:$L,'capacity data'!$A:$A,B13,'capacity data'!$E:$E,"TPO")/SUMIFS('capacity data'!$G:$G,'capacity data'!$E:$E,"TPO",'capacity data'!$A:$A,B13)</f>
        <v>#DIV/0!</v>
      </c>
    </row>
    <row r="14" spans="1:25" x14ac:dyDescent="0.2">
      <c r="B14" s="141" t="s">
        <v>26</v>
      </c>
      <c r="C14" s="67" t="e">
        <f>SUM((SUMIFS('capacity data'!G:G,'capacity data'!A:A,B14,'capacity data'!E:E,"PO"))-SUMIFS('capacity data'!H:H,'capacity data'!A:A,B14,'capacity data'!E:E,"PO"))/SUMIFS('capacity data'!G:G,'capacity data'!A:A,B14,'capacity data'!E:E,"PO")</f>
        <v>#DIV/0!</v>
      </c>
      <c r="D14" s="67" t="e">
        <f>SUM((SUMIFS('capacity data'!G:G,'capacity data'!A:A,B14,'capacity data'!E:E,"PSO"))-SUMIFS('capacity data'!H:H,'capacity data'!A:A,B14,'capacity data'!E:E,"PSO"))/SUMIFS('capacity data'!G:G,'capacity data'!A:A,B14,'capacity data'!E:E,"PSO")</f>
        <v>#DIV/0!</v>
      </c>
      <c r="E14" s="67" t="e">
        <f>SUM((SUMIFS('capacity data'!G:G,'capacity data'!A:A,B14,'capacity data'!E:E,"TPO"))-SUMIFS('capacity data'!H:H,'capacity data'!A:A,B14,'capacity data'!E:E,"TPO"))/SUMIFS('capacity data'!G:G,'capacity data'!A:A,B14,'capacity data'!E:E,"TPO")</f>
        <v>#DIV/0!</v>
      </c>
      <c r="F14" s="147" t="e">
        <f>SUM((SUMIFS('capacity data'!G:G,'capacity data'!A:A,B14))-SUMIFS('capacity data'!H:H,'capacity data'!A:A,B14))/SUMIFS('capacity data'!G:G,'capacity data'!A:A,B14)</f>
        <v>#DIV/0!</v>
      </c>
      <c r="G14" s="148"/>
      <c r="H14" s="66" t="e">
        <f>SUMIFS('capacity data'!$L:$L,'capacity data'!$A:$A,B14,'capacity data'!$E:$E,"PSO")/SUM((SUMIFS('capacity data'!$G:$G,'capacity data'!$E:$E,"PSO",'capacity data'!$A:$A,B14))-SUMIFS('capacity data'!$H:$H,'capacity data'!$E:$E,"PSO",'capacity data'!$A:$A,B14))</f>
        <v>#DIV/0!</v>
      </c>
      <c r="I14" s="66" t="e">
        <f>SUMIFS('capacity data'!$L:$L,'capacity data'!$A:$A,B14,'capacity data'!$E:$E,"PSO")/SUMIFS('capacity data'!$G:$G,'capacity data'!$E:$E,"PSO",'capacity data'!$A:$A,B14)</f>
        <v>#DIV/0!</v>
      </c>
      <c r="J14" s="91"/>
      <c r="K14" s="66" t="e">
        <f>SUMIFS('capacity data'!$L:$L,'capacity data'!$A:$A,B14,'capacity data'!$E:$E,"TPO")/SUM((SUMIFS('capacity data'!$G:$G,'capacity data'!$E:$E,"TPO",'capacity data'!$A:$A,B14))-SUMIFS('capacity data'!$H:$H,'capacity data'!$E:$E,"TPO",'capacity data'!$A:$A,B14))</f>
        <v>#DIV/0!</v>
      </c>
      <c r="L14" s="66" t="e">
        <f>SUMIFS('capacity data'!$L:$L,'capacity data'!$A:$A,B14,'capacity data'!$E:$E,"TPO")/SUMIFS('capacity data'!$G:$G,'capacity data'!$E:$E,"TPO",'capacity data'!$A:$A,B14)</f>
        <v>#DIV/0!</v>
      </c>
    </row>
    <row r="15" spans="1:25" x14ac:dyDescent="0.2">
      <c r="B15" s="141" t="s">
        <v>27</v>
      </c>
      <c r="C15" s="67" t="e">
        <f>SUM((SUMIFS('capacity data'!G:G,'capacity data'!A:A,B15,'capacity data'!E:E,"PO"))-SUMIFS('capacity data'!H:H,'capacity data'!A:A,B15,'capacity data'!E:E,"PO"))/SUMIFS('capacity data'!G:G,'capacity data'!A:A,B15,'capacity data'!E:E,"PO")</f>
        <v>#DIV/0!</v>
      </c>
      <c r="D15" s="67" t="e">
        <f>SUM((SUMIFS('capacity data'!G:G,'capacity data'!A:A,B15,'capacity data'!E:E,"PSO"))-SUMIFS('capacity data'!H:H,'capacity data'!A:A,B15,'capacity data'!E:E,"PSO"))/SUMIFS('capacity data'!G:G,'capacity data'!A:A,B15,'capacity data'!E:E,"PSO")</f>
        <v>#DIV/0!</v>
      </c>
      <c r="E15" s="67" t="e">
        <f>SUM((SUMIFS('capacity data'!G:G,'capacity data'!A:A,B15,'capacity data'!E:E,"TPO"))-SUMIFS('capacity data'!H:H,'capacity data'!A:A,B15,'capacity data'!E:E,"TPO"))/SUMIFS('capacity data'!G:G,'capacity data'!A:A,B15,'capacity data'!E:E,"TPO")</f>
        <v>#DIV/0!</v>
      </c>
      <c r="F15" s="147" t="e">
        <f>SUM((SUMIFS('capacity data'!G:G,'capacity data'!A:A,B15))-SUMIFS('capacity data'!H:H,'capacity data'!A:A,B15))/SUMIFS('capacity data'!G:G,'capacity data'!A:A,B15)</f>
        <v>#DIV/0!</v>
      </c>
      <c r="G15" s="148"/>
      <c r="H15" s="66" t="e">
        <f>SUMIFS('capacity data'!$L:$L,'capacity data'!$A:$A,B15,'capacity data'!$E:$E,"PSO")/SUM((SUMIFS('capacity data'!$G:$G,'capacity data'!$E:$E,"PSO",'capacity data'!$A:$A,B15))-SUMIFS('capacity data'!$H:$H,'capacity data'!$E:$E,"PSO",'capacity data'!$A:$A,B15))</f>
        <v>#DIV/0!</v>
      </c>
      <c r="I15" s="66" t="e">
        <f>SUMIFS('capacity data'!$L:$L,'capacity data'!$A:$A,B15,'capacity data'!$E:$E,"PSO")/SUMIFS('capacity data'!$G:$G,'capacity data'!$E:$E,"PSO",'capacity data'!$A:$A,B15)</f>
        <v>#DIV/0!</v>
      </c>
      <c r="J15" s="91"/>
      <c r="K15" s="66" t="e">
        <f>SUMIFS('capacity data'!$L:$L,'capacity data'!$A:$A,B15,'capacity data'!$E:$E,"TPO")/SUM((SUMIFS('capacity data'!$G:$G,'capacity data'!$E:$E,"TPO",'capacity data'!$A:$A,B15))-SUMIFS('capacity data'!$H:$H,'capacity data'!$E:$E,"TPO",'capacity data'!$A:$A,B15))</f>
        <v>#DIV/0!</v>
      </c>
      <c r="L15" s="66" t="e">
        <f>SUMIFS('capacity data'!$L:$L,'capacity data'!$A:$A,B15,'capacity data'!$E:$E,"TPO")/SUMIFS('capacity data'!$G:$G,'capacity data'!$E:$E,"TPO",'capacity data'!$A:$A,B15)</f>
        <v>#DIV/0!</v>
      </c>
    </row>
    <row r="16" spans="1:25" ht="17" thickBot="1" x14ac:dyDescent="0.25">
      <c r="B16" s="141" t="s">
        <v>28</v>
      </c>
      <c r="C16" s="67" t="e">
        <f>SUM((SUMIFS('capacity data'!G:G,'capacity data'!A:A,B16,'capacity data'!E:E,"PO"))-SUMIFS('capacity data'!H:H,'capacity data'!A:A,B16,'capacity data'!E:E,"PO"))/SUMIFS('capacity data'!G:G,'capacity data'!A:A,B16,'capacity data'!E:E,"PO")</f>
        <v>#DIV/0!</v>
      </c>
      <c r="D16" s="67" t="e">
        <f>SUM((SUMIFS('capacity data'!G:G,'capacity data'!A:A,B16,'capacity data'!E:E,"PSO"))-SUMIFS('capacity data'!H:H,'capacity data'!A:A,B16,'capacity data'!E:E,"PSO"))/SUMIFS('capacity data'!G:G,'capacity data'!A:A,B16,'capacity data'!E:E,"PSO")</f>
        <v>#DIV/0!</v>
      </c>
      <c r="E16" s="67" t="e">
        <f>SUM((SUMIFS('capacity data'!G:G,'capacity data'!A:A,B16,'capacity data'!E:E,"TPO"))-SUMIFS('capacity data'!H:H,'capacity data'!A:A,B16,'capacity data'!E:E,"TPO"))/SUMIFS('capacity data'!G:G,'capacity data'!A:A,B16,'capacity data'!E:E,"TPO")</f>
        <v>#DIV/0!</v>
      </c>
      <c r="F16" s="147" t="e">
        <f>SUM((SUMIFS('capacity data'!G:G,'capacity data'!A:A,B16))-SUMIFS('capacity data'!H:H,'capacity data'!A:A,B16))/SUMIFS('capacity data'!G:G,'capacity data'!A:A,B16)</f>
        <v>#DIV/0!</v>
      </c>
      <c r="G16" s="148"/>
      <c r="H16" s="66" t="e">
        <f>SUMIFS('capacity data'!$L:$L,'capacity data'!$A:$A,B16,'capacity data'!$E:$E,"PSO")/SUM((SUMIFS('capacity data'!$G:$G,'capacity data'!$E:$E,"PSO",'capacity data'!$A:$A,B16))-SUMIFS('capacity data'!$H:$H,'capacity data'!$E:$E,"PSO",'capacity data'!$A:$A,B16))</f>
        <v>#DIV/0!</v>
      </c>
      <c r="I16" s="66" t="e">
        <f>SUMIFS('capacity data'!$L:$L,'capacity data'!$A:$A,B16,'capacity data'!$E:$E,"PSO")/SUMIFS('capacity data'!$G:$G,'capacity data'!$E:$E,"PSO",'capacity data'!$A:$A,B16)</f>
        <v>#DIV/0!</v>
      </c>
      <c r="J16" s="91"/>
      <c r="K16" s="66" t="e">
        <f>SUMIFS('capacity data'!$L:$L,'capacity data'!$A:$A,B16,'capacity data'!$E:$E,"TPO")/SUM((SUMIFS('capacity data'!$G:$G,'capacity data'!$E:$E,"TPO",'capacity data'!$A:$A,B16))-SUMIFS('capacity data'!$H:$H,'capacity data'!$E:$E,"TPO",'capacity data'!$A:$A,B16))</f>
        <v>#DIV/0!</v>
      </c>
      <c r="L16" s="66" t="e">
        <f>SUMIFS('capacity data'!$L:$L,'capacity data'!$A:$A,B16,'capacity data'!$E:$E,"TPO")/SUMIFS('capacity data'!$G:$G,'capacity data'!$E:$E,"TPO",'capacity data'!$A:$A,B16)</f>
        <v>#DIV/0!</v>
      </c>
    </row>
    <row r="17" spans="2:12" ht="17" thickBot="1" x14ac:dyDescent="0.25">
      <c r="B17" s="150" t="s">
        <v>1264</v>
      </c>
      <c r="C17" s="151" t="e">
        <f>SUM((SUMIF('capacity data'!E:E,"PO",'capacity data'!G:G))-SUMIF('capacity data'!E:E,"PO",'capacity data'!H:H))/SUMIF('capacity data'!E:E,"PO",'capacity data'!G:G)</f>
        <v>#DIV/0!</v>
      </c>
      <c r="D17" s="151" t="e">
        <f>SUM((SUMIF('capacity data'!E:E,"PSO",'capacity data'!G:G))-SUMIF('capacity data'!E:E,"PSO",'capacity data'!H:H))/SUMIF('capacity data'!E:E,"PSO",'capacity data'!G:G)</f>
        <v>#DIV/0!</v>
      </c>
      <c r="E17" s="151" t="e">
        <f>SUM((SUMIF('capacity data'!E:E,"TPO",'capacity data'!G:G))-SUMIF('capacity data'!E:E,"TPO",'capacity data'!H:H))/SUMIF('capacity data'!E:E,"TPO",'capacity data'!G:G)</f>
        <v>#DIV/0!</v>
      </c>
      <c r="F17" s="151" t="e">
        <f>SUM((SUM('capacity data'!G:G)-SUM('capacity data'!H:H))/SUM('capacity data'!G:G))</f>
        <v>#DIV/0!</v>
      </c>
      <c r="G17" s="91"/>
      <c r="H17" s="152" t="e">
        <f>SUMIF('capacity data'!$E:$E,"PSO",'capacity data'!$L:$L)/SUM(SUMIF('capacity data'!$E:$E,"PSO",'capacity data'!$G:$G)-SUMIF('capacity data'!$E:$E,"PSO",'capacity data'!$H:$H))</f>
        <v>#DIV/0!</v>
      </c>
      <c r="I17" s="152" t="e">
        <f>SUMIF('capacity data'!$E:$E,"PSO",'capacity data'!$L:$L)/SUMIF('capacity data'!$E:$E,"PSO",'capacity data'!$G:$G)</f>
        <v>#DIV/0!</v>
      </c>
      <c r="J17" s="91"/>
      <c r="K17" s="152" t="e">
        <f>SUMIF('capacity data'!$E:$E,"TPO",'capacity data'!$L:$L)/SUM(SUMIF('capacity data'!$E:$E,"TPO",'capacity data'!$G:$G)-SUMIF('capacity data'!$E:$E,"TPO",'capacity data'!$H:$H))</f>
        <v>#DIV/0!</v>
      </c>
      <c r="L17" s="152" t="e">
        <f>SUMIF('capacity data'!$E:$E,"TPO",'capacity data'!$L:$L)/SUMIF('capacity data'!$E:$E,"TPO",'capacity data'!$G:$G)</f>
        <v>#DIV/0!</v>
      </c>
    </row>
    <row r="23" spans="2:12" x14ac:dyDescent="0.2">
      <c r="C23" s="50"/>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activeCell="A3" sqref="A3"/>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564" t="s">
        <v>1083</v>
      </c>
      <c r="B1" s="564"/>
      <c r="C1" s="564"/>
      <c r="D1" s="564"/>
      <c r="E1" s="564"/>
      <c r="F1" s="564"/>
      <c r="G1" s="564"/>
      <c r="H1" s="564"/>
      <c r="I1" s="564"/>
      <c r="J1" s="564"/>
      <c r="K1" s="564"/>
      <c r="L1" s="564"/>
      <c r="M1" s="260"/>
      <c r="N1" s="260"/>
      <c r="O1" s="260"/>
      <c r="P1" s="260"/>
      <c r="Q1" s="260"/>
      <c r="R1" s="260"/>
    </row>
    <row r="2" spans="1:18" ht="40.5" customHeight="1" x14ac:dyDescent="0.15">
      <c r="A2" s="460" t="s">
        <v>1362</v>
      </c>
      <c r="B2" s="460"/>
      <c r="C2" s="460"/>
      <c r="D2" s="460"/>
      <c r="E2" s="460"/>
      <c r="F2" s="460"/>
      <c r="G2" s="460"/>
      <c r="H2" s="460"/>
      <c r="I2" s="460"/>
      <c r="J2" s="460"/>
      <c r="K2" s="460"/>
      <c r="L2" s="460"/>
      <c r="M2" s="266"/>
      <c r="N2" s="266"/>
      <c r="O2" s="266"/>
      <c r="P2" s="266"/>
      <c r="Q2" s="266"/>
      <c r="R2" s="266"/>
    </row>
    <row r="4" spans="1:18" ht="16" x14ac:dyDescent="0.2">
      <c r="B4" s="575" t="s">
        <v>1084</v>
      </c>
      <c r="C4" s="576"/>
      <c r="D4" s="576"/>
      <c r="E4" s="6"/>
      <c r="F4" s="577" t="s">
        <v>1085</v>
      </c>
      <c r="G4" s="577"/>
      <c r="H4" s="578"/>
    </row>
    <row r="5" spans="1:18" x14ac:dyDescent="0.15">
      <c r="B5" s="76" t="s">
        <v>1086</v>
      </c>
      <c r="C5" s="76" t="s">
        <v>812</v>
      </c>
      <c r="D5" s="219" t="s">
        <v>803</v>
      </c>
      <c r="E5" s="165"/>
      <c r="F5" s="76" t="s">
        <v>1086</v>
      </c>
      <c r="G5" s="76" t="s">
        <v>812</v>
      </c>
      <c r="H5" s="166" t="s">
        <v>804</v>
      </c>
    </row>
    <row r="6" spans="1:18" x14ac:dyDescent="0.15">
      <c r="B6" s="62" t="e">
        <f>INDEX('capacity data'!O:O,MATCH(C6,'capacity data'!P:P,0))</f>
        <v>#NUM!</v>
      </c>
      <c r="C6" s="62" t="e">
        <f>INDEX('capacity data'!P:P,MATCH(D6,'capacity data'!Q:Q,0))</f>
        <v>#NUM!</v>
      </c>
      <c r="D6" s="167" t="e">
        <f>LARGE('capacity data'!Q:Q,1)</f>
        <v>#NUM!</v>
      </c>
      <c r="E6" s="148"/>
      <c r="F6" s="62" t="e">
        <f>INDEX('capacity data'!O:O,MATCH(G6,'capacity data'!P:P,0))</f>
        <v>#NUM!</v>
      </c>
      <c r="G6" s="62" t="e">
        <f>INDEX('capacity data'!P:P,MATCH(H6,'capacity data'!R:R,0))</f>
        <v>#NUM!</v>
      </c>
      <c r="H6" s="167" t="e">
        <f>SMALL('capacity data'!R:R,1)</f>
        <v>#NUM!</v>
      </c>
    </row>
    <row r="7" spans="1:18" x14ac:dyDescent="0.15">
      <c r="B7" s="62" t="e">
        <f>INDEX('capacity data'!O:O,MATCH(C7,'capacity data'!P:P,0))</f>
        <v>#NUM!</v>
      </c>
      <c r="C7" s="62" t="e">
        <f>INDEX('capacity data'!P:P,MATCH(D7,'capacity data'!Q:Q,0))</f>
        <v>#NUM!</v>
      </c>
      <c r="D7" s="167" t="e">
        <f>LARGE('capacity data'!Q:Q,2)</f>
        <v>#NUM!</v>
      </c>
      <c r="E7" s="148"/>
      <c r="F7" s="62" t="e">
        <f>INDEX('capacity data'!O:O,MATCH(G7,'capacity data'!P:P,0))</f>
        <v>#NUM!</v>
      </c>
      <c r="G7" s="62" t="e">
        <f>INDEX('capacity data'!P:P,MATCH(H7,'capacity data'!R:R,0))</f>
        <v>#NUM!</v>
      </c>
      <c r="H7" s="167" t="e">
        <f>SMALL('capacity data'!R:R,2)</f>
        <v>#NUM!</v>
      </c>
    </row>
    <row r="8" spans="1:18" x14ac:dyDescent="0.15">
      <c r="B8" s="62" t="e">
        <f>INDEX('capacity data'!O:O,MATCH(C8,'capacity data'!P:P,0))</f>
        <v>#NUM!</v>
      </c>
      <c r="C8" s="62" t="e">
        <f>INDEX('capacity data'!P:P,MATCH(D8,'capacity data'!Q:Q,0))</f>
        <v>#NUM!</v>
      </c>
      <c r="D8" s="167" t="e">
        <f>LARGE('capacity data'!Q:Q,3)</f>
        <v>#NUM!</v>
      </c>
      <c r="E8" s="148"/>
      <c r="F8" s="62" t="e">
        <f>INDEX('capacity data'!O:O,MATCH(G8,'capacity data'!P:P,0))</f>
        <v>#NUM!</v>
      </c>
      <c r="G8" s="62" t="e">
        <f>INDEX('capacity data'!P:P,MATCH(H8,'capacity data'!R:R,0))</f>
        <v>#NUM!</v>
      </c>
      <c r="H8" s="167" t="e">
        <f>SMALL('capacity data'!R:R,3)</f>
        <v>#NUM!</v>
      </c>
    </row>
    <row r="9" spans="1:18" x14ac:dyDescent="0.15">
      <c r="B9" s="62" t="e">
        <f>INDEX('capacity data'!O:O,MATCH(C9,'capacity data'!P:P,0))</f>
        <v>#NUM!</v>
      </c>
      <c r="C9" s="62" t="e">
        <f>INDEX('capacity data'!P:P,MATCH(D9,'capacity data'!Q:Q,0))</f>
        <v>#NUM!</v>
      </c>
      <c r="D9" s="167" t="e">
        <f>LARGE('capacity data'!Q:Q,4)</f>
        <v>#NUM!</v>
      </c>
      <c r="E9" s="148"/>
      <c r="F9" s="62" t="e">
        <f>INDEX('capacity data'!O:O,MATCH(G9,'capacity data'!P:P,0))</f>
        <v>#NUM!</v>
      </c>
      <c r="G9" s="62" t="e">
        <f>INDEX('capacity data'!P:P,MATCH(H9,'capacity data'!R:R,0))</f>
        <v>#NUM!</v>
      </c>
      <c r="H9" s="167" t="e">
        <f>SMALL('capacity data'!R:R,4)</f>
        <v>#NUM!</v>
      </c>
    </row>
    <row r="10" spans="1:18" x14ac:dyDescent="0.15">
      <c r="B10" s="62" t="e">
        <f>INDEX('capacity data'!O:O,MATCH(C10,'capacity data'!P:P,0))</f>
        <v>#NUM!</v>
      </c>
      <c r="C10" s="62" t="e">
        <f>INDEX('capacity data'!P:P,MATCH(D10,'capacity data'!Q:Q,0))</f>
        <v>#NUM!</v>
      </c>
      <c r="D10" s="167" t="e">
        <f>LARGE('capacity data'!Q:Q,5)</f>
        <v>#NUM!</v>
      </c>
      <c r="E10" s="148"/>
      <c r="F10" s="62" t="e">
        <f>INDEX('capacity data'!O:O,MATCH(G10,'capacity data'!P:P,0))</f>
        <v>#NUM!</v>
      </c>
      <c r="G10" s="62" t="e">
        <f>INDEX('capacity data'!P:P,MATCH(H10,'capacity data'!R:R,0))</f>
        <v>#NUM!</v>
      </c>
      <c r="H10" s="167" t="e">
        <f>SMALL('capacity data'!R:R,5)</f>
        <v>#NUM!</v>
      </c>
    </row>
    <row r="11" spans="1:18" x14ac:dyDescent="0.15">
      <c r="B11" s="62" t="e">
        <f>INDEX('capacity data'!O:O,MATCH(C11,'capacity data'!P:P,0))</f>
        <v>#NUM!</v>
      </c>
      <c r="C11" s="62" t="e">
        <f>INDEX('capacity data'!P:P,MATCH(D11,'capacity data'!Q:Q,0))</f>
        <v>#NUM!</v>
      </c>
      <c r="D11" s="167" t="e">
        <f>LARGE('capacity data'!Q:Q,6)</f>
        <v>#NUM!</v>
      </c>
      <c r="E11" s="148"/>
      <c r="F11" s="62" t="e">
        <f>INDEX('capacity data'!O:O,MATCH(G11,'capacity data'!P:P,0))</f>
        <v>#NUM!</v>
      </c>
      <c r="G11" s="62" t="e">
        <f>INDEX('capacity data'!P:P,MATCH(H11,'capacity data'!R:R,0))</f>
        <v>#NUM!</v>
      </c>
      <c r="H11" s="167" t="e">
        <f>SMALL('capacity data'!R:R,6)</f>
        <v>#NUM!</v>
      </c>
    </row>
    <row r="12" spans="1:18" x14ac:dyDescent="0.15">
      <c r="B12" s="62" t="e">
        <f>INDEX('capacity data'!O:O,MATCH(C12,'capacity data'!P:P,0))</f>
        <v>#NUM!</v>
      </c>
      <c r="C12" s="62" t="e">
        <f>INDEX('capacity data'!P:P,MATCH(D12,'capacity data'!Q:Q,0))</f>
        <v>#NUM!</v>
      </c>
      <c r="D12" s="167" t="e">
        <f>LARGE('capacity data'!Q:Q,7)</f>
        <v>#NUM!</v>
      </c>
      <c r="E12" s="148"/>
      <c r="F12" s="62" t="e">
        <f>INDEX('capacity data'!O:O,MATCH(G12,'capacity data'!P:P,0))</f>
        <v>#NUM!</v>
      </c>
      <c r="G12" s="62" t="e">
        <f>INDEX('capacity data'!P:P,MATCH(H12,'capacity data'!R:R,0))</f>
        <v>#NUM!</v>
      </c>
      <c r="H12" s="167" t="e">
        <f>SMALL('capacity data'!R:R,7)</f>
        <v>#NUM!</v>
      </c>
    </row>
    <row r="13" spans="1:18" x14ac:dyDescent="0.15">
      <c r="B13" s="62" t="e">
        <f>INDEX('capacity data'!O:O,MATCH(C13,'capacity data'!P:P,0))</f>
        <v>#NUM!</v>
      </c>
      <c r="C13" s="62" t="e">
        <f>INDEX('capacity data'!P:P,MATCH(D13,'capacity data'!Q:Q,0))</f>
        <v>#NUM!</v>
      </c>
      <c r="D13" s="167" t="e">
        <f>LARGE('capacity data'!Q:Q,8)</f>
        <v>#NUM!</v>
      </c>
      <c r="E13" s="148"/>
      <c r="F13" s="62" t="e">
        <f>INDEX('capacity data'!O:O,MATCH(G13,'capacity data'!P:P,0))</f>
        <v>#NUM!</v>
      </c>
      <c r="G13" s="62" t="e">
        <f>INDEX('capacity data'!P:P,MATCH(H13,'capacity data'!R:R,0))</f>
        <v>#NUM!</v>
      </c>
      <c r="H13" s="167" t="e">
        <f>SMALL('capacity data'!R:R,8)</f>
        <v>#NUM!</v>
      </c>
    </row>
    <row r="14" spans="1:18" x14ac:dyDescent="0.15">
      <c r="B14" s="62" t="e">
        <f>INDEX('capacity data'!O:O,MATCH(C14,'capacity data'!P:P,0))</f>
        <v>#NUM!</v>
      </c>
      <c r="C14" s="62" t="e">
        <f>INDEX('capacity data'!P:P,MATCH(D14,'capacity data'!Q:Q,0))</f>
        <v>#NUM!</v>
      </c>
      <c r="D14" s="167" t="e">
        <f>LARGE('capacity data'!Q:Q,9)</f>
        <v>#NUM!</v>
      </c>
      <c r="E14" s="148"/>
      <c r="F14" s="62" t="e">
        <f>INDEX('capacity data'!O:O,MATCH(G14,'capacity data'!P:P,0))</f>
        <v>#NUM!</v>
      </c>
      <c r="G14" s="62" t="e">
        <f>INDEX('capacity data'!P:P,MATCH(H14,'capacity data'!R:R,0))</f>
        <v>#NUM!</v>
      </c>
      <c r="H14" s="167" t="e">
        <f>SMALL('capacity data'!R:R,9)</f>
        <v>#NUM!</v>
      </c>
    </row>
    <row r="15" spans="1:18" x14ac:dyDescent="0.15">
      <c r="B15" s="62" t="e">
        <f>INDEX('capacity data'!O:O,MATCH(C15,'capacity data'!P:P,0))</f>
        <v>#NUM!</v>
      </c>
      <c r="C15" s="62" t="e">
        <f>INDEX('capacity data'!P:P,MATCH(D15,'capacity data'!Q:Q,0))</f>
        <v>#NUM!</v>
      </c>
      <c r="D15" s="167" t="e">
        <f>LARGE('capacity data'!Q:Q,10)</f>
        <v>#NUM!</v>
      </c>
      <c r="E15" s="148"/>
      <c r="F15" s="62" t="e">
        <f>INDEX('capacity data'!O:O,MATCH(G15,'capacity data'!P:P,0))</f>
        <v>#NUM!</v>
      </c>
      <c r="G15" s="62" t="e">
        <f>INDEX('capacity data'!P:P,MATCH(H15,'capacity data'!R:R,0))</f>
        <v>#NUM!</v>
      </c>
      <c r="H15" s="167" t="e">
        <f>SMALL('capacity data'!R:R,10)</f>
        <v>#NUM!</v>
      </c>
    </row>
    <row r="17" spans="2:12" x14ac:dyDescent="0.15">
      <c r="B17" s="579" t="s">
        <v>1087</v>
      </c>
      <c r="C17" s="580"/>
      <c r="D17" s="581"/>
      <c r="F17" s="573" t="s">
        <v>1088</v>
      </c>
      <c r="G17" s="573"/>
      <c r="H17" s="573"/>
      <c r="J17" s="573" t="s">
        <v>1089</v>
      </c>
      <c r="K17" s="573"/>
      <c r="L17" s="573"/>
    </row>
    <row r="18" spans="2:12" ht="30.75" customHeight="1" x14ac:dyDescent="0.15">
      <c r="B18" s="582"/>
      <c r="C18" s="583"/>
      <c r="D18" s="584"/>
      <c r="F18" s="574"/>
      <c r="G18" s="574"/>
      <c r="H18" s="574"/>
      <c r="J18" s="574"/>
      <c r="K18" s="574"/>
      <c r="L18" s="574"/>
    </row>
    <row r="19" spans="2:12" ht="39" customHeight="1" x14ac:dyDescent="0.15">
      <c r="B19" s="76" t="s">
        <v>1086</v>
      </c>
      <c r="C19" s="76" t="s">
        <v>812</v>
      </c>
      <c r="D19" s="219" t="s">
        <v>1090</v>
      </c>
      <c r="F19" s="76" t="s">
        <v>1086</v>
      </c>
      <c r="G19" s="76" t="s">
        <v>812</v>
      </c>
      <c r="H19" s="76" t="s">
        <v>1091</v>
      </c>
      <c r="J19" s="76" t="s">
        <v>1086</v>
      </c>
      <c r="K19" s="76" t="s">
        <v>812</v>
      </c>
      <c r="L19" s="76" t="s">
        <v>1091</v>
      </c>
    </row>
    <row r="20" spans="2:12" x14ac:dyDescent="0.15">
      <c r="B20" s="62" t="e">
        <f>INDEX('capacity data'!O:O,MATCH(C20,'capacity data'!P:P,0))</f>
        <v>#NUM!</v>
      </c>
      <c r="C20" s="62" t="e">
        <f>INDEX('capacity data'!P:P,MATCH(D20,'capacity data'!S:S,0))</f>
        <v>#NUM!</v>
      </c>
      <c r="D20" s="167" t="e">
        <f>LARGE('capacity data'!S:S,1)</f>
        <v>#NUM!</v>
      </c>
      <c r="F20" s="62" t="e">
        <f>INDEX('capacity data'!O:O,MATCH(H20,'capacity data'!T:T,0))</f>
        <v>#NUM!</v>
      </c>
      <c r="G20" s="62" t="e">
        <f>INDEX('capacity data'!P:P,MATCH(H20,'capacity data'!T:T,0))</f>
        <v>#NUM!</v>
      </c>
      <c r="H20" s="66" t="e">
        <f>LARGE('capacity data'!$T:$T,1)</f>
        <v>#NUM!</v>
      </c>
      <c r="J20" s="62" t="e">
        <f>INDEX('capacity data'!O:O,MATCH(L20,'capacity data'!T:T,0))</f>
        <v>#NUM!</v>
      </c>
      <c r="K20" s="62" t="e">
        <f>INDEX('capacity data'!P:P,MATCH(L20,'capacity data'!T:T,0))</f>
        <v>#NUM!</v>
      </c>
      <c r="L20" s="66" t="e">
        <f>SMALL('capacity data'!$T:$T,1)</f>
        <v>#NUM!</v>
      </c>
    </row>
    <row r="21" spans="2:12" x14ac:dyDescent="0.15">
      <c r="B21" s="62" t="e">
        <f>INDEX('capacity data'!O:O,MATCH(C21,'capacity data'!P:P,0))</f>
        <v>#NUM!</v>
      </c>
      <c r="C21" s="62" t="e">
        <f>INDEX('capacity data'!P:P,MATCH(D21,'capacity data'!S:S,0))</f>
        <v>#NUM!</v>
      </c>
      <c r="D21" s="167" t="e">
        <f>LARGE('capacity data'!S:S,2)</f>
        <v>#NUM!</v>
      </c>
      <c r="F21" s="62" t="e">
        <f>INDEX('capacity data'!O:O,MATCH(H21,'capacity data'!T:T,0))</f>
        <v>#NUM!</v>
      </c>
      <c r="G21" s="62" t="e">
        <f>INDEX('capacity data'!P:P,MATCH(H21,'capacity data'!T:T,0))</f>
        <v>#NUM!</v>
      </c>
      <c r="H21" s="66" t="e">
        <f>LARGE('capacity data'!$T:$T,2)</f>
        <v>#NUM!</v>
      </c>
      <c r="J21" s="62" t="e">
        <f>INDEX('capacity data'!O:O,MATCH(L21,'capacity data'!T:T,0))</f>
        <v>#NUM!</v>
      </c>
      <c r="K21" s="62" t="e">
        <f>INDEX('capacity data'!P:P,MATCH(L21,'capacity data'!T:T,0))</f>
        <v>#NUM!</v>
      </c>
      <c r="L21" s="66" t="e">
        <f>SMALL('capacity data'!$T:$T,2)</f>
        <v>#NUM!</v>
      </c>
    </row>
    <row r="22" spans="2:12" x14ac:dyDescent="0.15">
      <c r="B22" s="62" t="e">
        <f>INDEX('capacity data'!O:O,MATCH(C22,'capacity data'!P:P,0))</f>
        <v>#NUM!</v>
      </c>
      <c r="C22" s="62" t="e">
        <f>INDEX('capacity data'!P:P,MATCH(D22,'capacity data'!S:S,0))</f>
        <v>#NUM!</v>
      </c>
      <c r="D22" s="167" t="e">
        <f>LARGE('capacity data'!S:S,3)</f>
        <v>#NUM!</v>
      </c>
      <c r="F22" s="62" t="e">
        <f>INDEX('capacity data'!O:O,MATCH(H22,'capacity data'!T:T,0))</f>
        <v>#NUM!</v>
      </c>
      <c r="G22" s="62" t="e">
        <f>INDEX('capacity data'!P:P,MATCH(H22,'capacity data'!T:T,0))</f>
        <v>#NUM!</v>
      </c>
      <c r="H22" s="66" t="e">
        <f>LARGE('capacity data'!$T:$T,3)</f>
        <v>#NUM!</v>
      </c>
      <c r="J22" s="62" t="e">
        <f>INDEX('capacity data'!O:O,MATCH(L22,'capacity data'!T:T,0))</f>
        <v>#NUM!</v>
      </c>
      <c r="K22" s="62" t="e">
        <f>INDEX('capacity data'!P:P,MATCH(L22,'capacity data'!T:T,0))</f>
        <v>#NUM!</v>
      </c>
      <c r="L22" s="66" t="e">
        <f>SMALL('capacity data'!$T:$T,3)</f>
        <v>#NUM!</v>
      </c>
    </row>
    <row r="23" spans="2:12" x14ac:dyDescent="0.15">
      <c r="B23" s="62" t="e">
        <f>INDEX('capacity data'!O:O,MATCH(C23,'capacity data'!P:P,0))</f>
        <v>#NUM!</v>
      </c>
      <c r="C23" s="62" t="e">
        <f>INDEX('capacity data'!P:P,MATCH(D23,'capacity data'!S:S,0))</f>
        <v>#NUM!</v>
      </c>
      <c r="D23" s="167" t="e">
        <f>LARGE('capacity data'!S:S,4)</f>
        <v>#NUM!</v>
      </c>
      <c r="F23" s="62" t="e">
        <f>INDEX('capacity data'!O:O,MATCH(H23,'capacity data'!T:T,0))</f>
        <v>#NUM!</v>
      </c>
      <c r="G23" s="62" t="e">
        <f>INDEX('capacity data'!P:P,MATCH(H23,'capacity data'!T:T,0))</f>
        <v>#NUM!</v>
      </c>
      <c r="H23" s="66" t="e">
        <f>LARGE('capacity data'!$T:$T,4)</f>
        <v>#NUM!</v>
      </c>
      <c r="J23" s="62" t="e">
        <f>INDEX('capacity data'!O:O,MATCH(L23,'capacity data'!T:T,0))</f>
        <v>#NUM!</v>
      </c>
      <c r="K23" s="62" t="e">
        <f>INDEX('capacity data'!P:P,MATCH(L23,'capacity data'!T:T,0))</f>
        <v>#NUM!</v>
      </c>
      <c r="L23" s="66" t="e">
        <f>SMALL('capacity data'!$T:$T,4)</f>
        <v>#NUM!</v>
      </c>
    </row>
    <row r="24" spans="2:12" x14ac:dyDescent="0.15">
      <c r="B24" s="62" t="e">
        <f>INDEX('capacity data'!O:O,MATCH(C24,'capacity data'!P:P,0))</f>
        <v>#NUM!</v>
      </c>
      <c r="C24" s="62" t="e">
        <f>INDEX('capacity data'!P:P,MATCH(D24,'capacity data'!S:S,0))</f>
        <v>#NUM!</v>
      </c>
      <c r="D24" s="167" t="e">
        <f>LARGE('capacity data'!S:S,5)</f>
        <v>#NUM!</v>
      </c>
      <c r="F24" s="62" t="e">
        <f>INDEX('capacity data'!O:O,MATCH(H24,'capacity data'!T:T,0))</f>
        <v>#NUM!</v>
      </c>
      <c r="G24" s="62" t="e">
        <f>INDEX('capacity data'!P:P,MATCH(H24,'capacity data'!T:T,0))</f>
        <v>#NUM!</v>
      </c>
      <c r="H24" s="66" t="e">
        <f>LARGE('capacity data'!$T:$T,5)</f>
        <v>#NUM!</v>
      </c>
      <c r="J24" s="62" t="e">
        <f>INDEX('capacity data'!O:O,MATCH(L24,'capacity data'!T:T,0))</f>
        <v>#NUM!</v>
      </c>
      <c r="K24" s="62" t="e">
        <f>INDEX('capacity data'!P:P,MATCH(L24,'capacity data'!T:T,0))</f>
        <v>#NUM!</v>
      </c>
      <c r="L24" s="66" t="e">
        <f>SMALL('capacity data'!$T:$T,5)</f>
        <v>#NUM!</v>
      </c>
    </row>
    <row r="25" spans="2:12" x14ac:dyDescent="0.15">
      <c r="B25" s="62" t="e">
        <f>INDEX('capacity data'!O:O,MATCH(C25,'capacity data'!P:P,0))</f>
        <v>#NUM!</v>
      </c>
      <c r="C25" s="62" t="e">
        <f>INDEX('capacity data'!P:P,MATCH(D25,'capacity data'!S:S,0))</f>
        <v>#NUM!</v>
      </c>
      <c r="D25" s="167" t="e">
        <f>LARGE('capacity data'!S:S,6)</f>
        <v>#NUM!</v>
      </c>
      <c r="F25" s="62" t="e">
        <f>INDEX('capacity data'!O:O,MATCH(H25,'capacity data'!T:T,0))</f>
        <v>#NUM!</v>
      </c>
      <c r="G25" s="62" t="e">
        <f>INDEX('capacity data'!P:P,MATCH(H25,'capacity data'!T:T,0))</f>
        <v>#NUM!</v>
      </c>
      <c r="H25" s="66" t="e">
        <f>LARGE('capacity data'!$T:$T,6)</f>
        <v>#NUM!</v>
      </c>
      <c r="J25" s="62" t="e">
        <f>INDEX('capacity data'!O:O,MATCH(L25,'capacity data'!T:T,0))</f>
        <v>#NUM!</v>
      </c>
      <c r="K25" s="62" t="e">
        <f>INDEX('capacity data'!P:P,MATCH(L25,'capacity data'!T:T,0))</f>
        <v>#NUM!</v>
      </c>
      <c r="L25" s="66" t="e">
        <f>SMALL('capacity data'!$T:$T,6)</f>
        <v>#NUM!</v>
      </c>
    </row>
    <row r="26" spans="2:12" x14ac:dyDescent="0.15">
      <c r="B26" s="62" t="e">
        <f>INDEX('capacity data'!O:O,MATCH(C26,'capacity data'!P:P,0))</f>
        <v>#NUM!</v>
      </c>
      <c r="C26" s="62" t="e">
        <f>INDEX('capacity data'!P:P,MATCH(D26,'capacity data'!S:S,0))</f>
        <v>#NUM!</v>
      </c>
      <c r="D26" s="167" t="e">
        <f>LARGE('capacity data'!S:S,7)</f>
        <v>#NUM!</v>
      </c>
      <c r="F26" s="62" t="e">
        <f>INDEX('capacity data'!O:O,MATCH(H26,'capacity data'!T:T,0))</f>
        <v>#NUM!</v>
      </c>
      <c r="G26" s="62" t="e">
        <f>INDEX('capacity data'!P:P,MATCH(H26,'capacity data'!T:T,0))</f>
        <v>#NUM!</v>
      </c>
      <c r="H26" s="66" t="e">
        <f>LARGE('capacity data'!$T:$T,7)</f>
        <v>#NUM!</v>
      </c>
      <c r="J26" s="62" t="e">
        <f>INDEX('capacity data'!O:O,MATCH(L26,'capacity data'!T:T,0))</f>
        <v>#NUM!</v>
      </c>
      <c r="K26" s="62" t="e">
        <f>INDEX('capacity data'!P:P,MATCH(L26,'capacity data'!T:T,0))</f>
        <v>#NUM!</v>
      </c>
      <c r="L26" s="66" t="e">
        <f>SMALL('capacity data'!$T:$T,7)</f>
        <v>#NUM!</v>
      </c>
    </row>
    <row r="27" spans="2:12" x14ac:dyDescent="0.15">
      <c r="B27" s="62" t="e">
        <f>INDEX('capacity data'!O:O,MATCH(C27,'capacity data'!P:P,0))</f>
        <v>#NUM!</v>
      </c>
      <c r="C27" s="62" t="e">
        <f>INDEX('capacity data'!P:P,MATCH(D27,'capacity data'!S:S,0))</f>
        <v>#NUM!</v>
      </c>
      <c r="D27" s="167" t="e">
        <f>LARGE('capacity data'!S:S,8)</f>
        <v>#NUM!</v>
      </c>
      <c r="F27" s="62" t="e">
        <f>INDEX('capacity data'!O:O,MATCH(H27,'capacity data'!T:T,0))</f>
        <v>#NUM!</v>
      </c>
      <c r="G27" s="62" t="e">
        <f>INDEX('capacity data'!P:P,MATCH(H27,'capacity data'!T:T,0))</f>
        <v>#NUM!</v>
      </c>
      <c r="H27" s="66" t="e">
        <f>LARGE('capacity data'!$T:$T,8)</f>
        <v>#NUM!</v>
      </c>
      <c r="J27" s="62" t="e">
        <f>INDEX('capacity data'!O:O,MATCH(L27,'capacity data'!T:T,0))</f>
        <v>#NUM!</v>
      </c>
      <c r="K27" s="62" t="e">
        <f>INDEX('capacity data'!P:P,MATCH(L27,'capacity data'!T:T,0))</f>
        <v>#NUM!</v>
      </c>
      <c r="L27" s="66" t="e">
        <f>SMALL('capacity data'!$T:$T,8)</f>
        <v>#NUM!</v>
      </c>
    </row>
    <row r="28" spans="2:12" x14ac:dyDescent="0.15">
      <c r="B28" s="62" t="e">
        <f>INDEX('capacity data'!O:O,MATCH(C28,'capacity data'!P:P,0))</f>
        <v>#NUM!</v>
      </c>
      <c r="C28" s="62" t="e">
        <f>INDEX('capacity data'!P:P,MATCH(D28,'capacity data'!S:S,0))</f>
        <v>#NUM!</v>
      </c>
      <c r="D28" s="167" t="e">
        <f>LARGE('capacity data'!S:S,9)</f>
        <v>#NUM!</v>
      </c>
      <c r="F28" s="62" t="e">
        <f>INDEX('capacity data'!O:O,MATCH(H28,'capacity data'!T:T,0))</f>
        <v>#NUM!</v>
      </c>
      <c r="G28" s="62" t="e">
        <f>INDEX('capacity data'!P:P,MATCH(H28,'capacity data'!T:T,0))</f>
        <v>#NUM!</v>
      </c>
      <c r="H28" s="66" t="e">
        <f>LARGE('capacity data'!$T:$T,9)</f>
        <v>#NUM!</v>
      </c>
      <c r="J28" s="62" t="e">
        <f>INDEX('capacity data'!O:O,MATCH(L28,'capacity data'!T:T,0))</f>
        <v>#NUM!</v>
      </c>
      <c r="K28" s="62" t="e">
        <f>INDEX('capacity data'!P:P,MATCH(L28,'capacity data'!T:T,0))</f>
        <v>#NUM!</v>
      </c>
      <c r="L28" s="66" t="e">
        <f>SMALL('capacity data'!$T:$T,9)</f>
        <v>#NUM!</v>
      </c>
    </row>
    <row r="29" spans="2:12" x14ac:dyDescent="0.15">
      <c r="B29" s="62" t="e">
        <f>INDEX('capacity data'!O:O,MATCH(C29,'capacity data'!P:P,0))</f>
        <v>#NUM!</v>
      </c>
      <c r="C29" s="62" t="e">
        <f>INDEX('capacity data'!P:P,MATCH(D29,'capacity data'!S:S,0))</f>
        <v>#NUM!</v>
      </c>
      <c r="D29" s="167" t="e">
        <f>LARGE('capacity data'!S:S,10)</f>
        <v>#NUM!</v>
      </c>
      <c r="F29" s="62" t="e">
        <f>INDEX('capacity data'!O:O,MATCH(H29,'capacity data'!T:T,0))</f>
        <v>#NUM!</v>
      </c>
      <c r="G29" s="62" t="e">
        <f>INDEX('capacity data'!P:P,MATCH(H29,'capacity data'!T:T,0))</f>
        <v>#NUM!</v>
      </c>
      <c r="H29" s="66" t="e">
        <f>LARGE('capacity data'!$T:$T,10)</f>
        <v>#NUM!</v>
      </c>
      <c r="J29" s="62" t="e">
        <f>INDEX('capacity data'!O:O,MATCH(L29,'capacity data'!T:T,0))</f>
        <v>#NUM!</v>
      </c>
      <c r="K29" s="62" t="e">
        <f>INDEX('capacity data'!P:P,MATCH(L29,'capacity data'!T:T,0))</f>
        <v>#NUM!</v>
      </c>
      <c r="L29" s="66" t="e">
        <f>SMALL('capacity data'!$T:$T,10)</f>
        <v>#NUM!</v>
      </c>
    </row>
    <row r="32" spans="2:12" x14ac:dyDescent="0.15">
      <c r="B32" s="573" t="s">
        <v>1092</v>
      </c>
      <c r="C32" s="573"/>
      <c r="D32" s="573"/>
      <c r="F32" s="573" t="s">
        <v>1093</v>
      </c>
      <c r="G32" s="573"/>
      <c r="H32" s="573"/>
    </row>
    <row r="33" spans="2:8" ht="30" customHeight="1" x14ac:dyDescent="0.15">
      <c r="B33" s="574"/>
      <c r="C33" s="574"/>
      <c r="D33" s="574"/>
      <c r="F33" s="574"/>
      <c r="G33" s="574"/>
      <c r="H33" s="574"/>
    </row>
    <row r="34" spans="2:8" x14ac:dyDescent="0.15">
      <c r="B34" s="76" t="s">
        <v>1086</v>
      </c>
      <c r="C34" s="76" t="s">
        <v>812</v>
      </c>
      <c r="D34" s="76" t="s">
        <v>1091</v>
      </c>
      <c r="F34" s="76" t="s">
        <v>1086</v>
      </c>
      <c r="G34" s="76" t="s">
        <v>812</v>
      </c>
      <c r="H34" s="76" t="s">
        <v>1091</v>
      </c>
    </row>
    <row r="35" spans="2:8" x14ac:dyDescent="0.15">
      <c r="B35" s="62" t="e">
        <f>INDEX('capacity data'!O:O,MATCH(D35,'capacity data'!U:U,0))</f>
        <v>#NUM!</v>
      </c>
      <c r="C35" s="62" t="e">
        <f>INDEX('capacity data'!$P:$P,MATCH(D35,'capacity data'!U:U,0))</f>
        <v>#NUM!</v>
      </c>
      <c r="D35" s="66" t="e">
        <f>LARGE('capacity data'!$U:$U,1)</f>
        <v>#NUM!</v>
      </c>
      <c r="F35" s="62" t="e">
        <f>INDEX('capacity data'!$O:$O,MATCH(H35,'capacity data'!$U:$U,0))</f>
        <v>#NUM!</v>
      </c>
      <c r="G35" s="62" t="e">
        <f>INDEX('capacity data'!$P:$P,MATCH(H35,'capacity data'!$U:$U,0))</f>
        <v>#NUM!</v>
      </c>
      <c r="H35" s="66" t="e">
        <f>SMALL('capacity data'!$U:$U,1)</f>
        <v>#NUM!</v>
      </c>
    </row>
    <row r="36" spans="2:8" x14ac:dyDescent="0.15">
      <c r="B36" s="62" t="e">
        <f>INDEX('capacity data'!O:O,MATCH(D36,'capacity data'!U:U,0))</f>
        <v>#NUM!</v>
      </c>
      <c r="C36" s="62" t="e">
        <f>INDEX('capacity data'!$P:$P,MATCH(D36,'capacity data'!U:U,0))</f>
        <v>#NUM!</v>
      </c>
      <c r="D36" s="66" t="e">
        <f>LARGE('capacity data'!$U:$U,2)</f>
        <v>#NUM!</v>
      </c>
      <c r="F36" s="62" t="e">
        <f>INDEX('capacity data'!$O:$O,MATCH(H36,'capacity data'!$U:$U,0))</f>
        <v>#NUM!</v>
      </c>
      <c r="G36" s="62" t="e">
        <f>INDEX('capacity data'!$P:$P,MATCH(H36,'capacity data'!$U:$U,0))</f>
        <v>#NUM!</v>
      </c>
      <c r="H36" s="66" t="e">
        <f>SMALL('capacity data'!$U:$U,2)</f>
        <v>#NUM!</v>
      </c>
    </row>
    <row r="37" spans="2:8" x14ac:dyDescent="0.15">
      <c r="B37" s="62" t="e">
        <f>INDEX('capacity data'!O:O,MATCH(D37,'capacity data'!U:U,0))</f>
        <v>#NUM!</v>
      </c>
      <c r="C37" s="62" t="e">
        <f>INDEX('capacity data'!$P:$P,MATCH(D37,'capacity data'!U:U,0))</f>
        <v>#NUM!</v>
      </c>
      <c r="D37" s="66" t="e">
        <f>LARGE('capacity data'!$U:$U,3)</f>
        <v>#NUM!</v>
      </c>
      <c r="F37" s="62" t="e">
        <f>INDEX('capacity data'!$O:$O,MATCH(H37,'capacity data'!$U:$U,0))</f>
        <v>#NUM!</v>
      </c>
      <c r="G37" s="62" t="e">
        <f>INDEX('capacity data'!$P:$P,MATCH(H37,'capacity data'!$U:$U,0))</f>
        <v>#NUM!</v>
      </c>
      <c r="H37" s="66" t="e">
        <f>SMALL('capacity data'!$U:$U,3)</f>
        <v>#NUM!</v>
      </c>
    </row>
    <row r="38" spans="2:8" x14ac:dyDescent="0.15">
      <c r="B38" s="62" t="e">
        <f>INDEX('capacity data'!O:O,MATCH(D38,'capacity data'!U:U,0))</f>
        <v>#NUM!</v>
      </c>
      <c r="C38" s="62" t="e">
        <f>INDEX('capacity data'!$P:$P,MATCH(D38,'capacity data'!U:U,0))</f>
        <v>#NUM!</v>
      </c>
      <c r="D38" s="66" t="e">
        <f>LARGE('capacity data'!$U:$U,4)</f>
        <v>#NUM!</v>
      </c>
      <c r="F38" s="62" t="e">
        <f>INDEX('capacity data'!$O:$O,MATCH(H38,'capacity data'!$U:$U,0))</f>
        <v>#NUM!</v>
      </c>
      <c r="G38" s="62" t="e">
        <f>INDEX('capacity data'!$P:$P,MATCH(H38,'capacity data'!$U:$U,0))</f>
        <v>#NUM!</v>
      </c>
      <c r="H38" s="66" t="e">
        <f>SMALL('capacity data'!$U:$U,4)</f>
        <v>#NUM!</v>
      </c>
    </row>
    <row r="39" spans="2:8" x14ac:dyDescent="0.15">
      <c r="B39" s="62" t="e">
        <f>INDEX('capacity data'!O:O,MATCH(D39,'capacity data'!U:U,0))</f>
        <v>#NUM!</v>
      </c>
      <c r="C39" s="62" t="e">
        <f>INDEX('capacity data'!$P:$P,MATCH(D39,'capacity data'!U:U,0))</f>
        <v>#NUM!</v>
      </c>
      <c r="D39" s="66" t="e">
        <f>LARGE('capacity data'!$U:$U,5)</f>
        <v>#NUM!</v>
      </c>
      <c r="F39" s="62" t="e">
        <f>INDEX('capacity data'!$O:$O,MATCH(H39,'capacity data'!$U:$U,0))</f>
        <v>#NUM!</v>
      </c>
      <c r="G39" s="62" t="e">
        <f>INDEX('capacity data'!$P:$P,MATCH(H39,'capacity data'!$U:$U,0))</f>
        <v>#NUM!</v>
      </c>
      <c r="H39" s="66" t="e">
        <f>SMALL('capacity data'!$U:$U,5)</f>
        <v>#NUM!</v>
      </c>
    </row>
    <row r="40" spans="2:8" x14ac:dyDescent="0.15">
      <c r="B40" s="62" t="e">
        <f>INDEX('capacity data'!O:O,MATCH(D40,'capacity data'!U:U,0))</f>
        <v>#NUM!</v>
      </c>
      <c r="C40" s="62" t="e">
        <f>INDEX('capacity data'!$P:$P,MATCH(D40,'capacity data'!U:U,0))</f>
        <v>#NUM!</v>
      </c>
      <c r="D40" s="66" t="e">
        <f>LARGE('capacity data'!$U:$U,6)</f>
        <v>#NUM!</v>
      </c>
      <c r="F40" s="62" t="e">
        <f>INDEX('capacity data'!$O:$O,MATCH(H40,'capacity data'!$U:$U,0))</f>
        <v>#NUM!</v>
      </c>
      <c r="G40" s="62" t="e">
        <f>INDEX('capacity data'!$P:$P,MATCH(H40,'capacity data'!$U:$U,0))</f>
        <v>#NUM!</v>
      </c>
      <c r="H40" s="66" t="e">
        <f>SMALL('capacity data'!$U:$U,6)</f>
        <v>#NUM!</v>
      </c>
    </row>
    <row r="41" spans="2:8" x14ac:dyDescent="0.15">
      <c r="B41" s="62" t="e">
        <f>INDEX('capacity data'!O:O,MATCH(D41,'capacity data'!U:U,0))</f>
        <v>#NUM!</v>
      </c>
      <c r="C41" s="62" t="e">
        <f>INDEX('capacity data'!$P:$P,MATCH(D41,'capacity data'!U:U,0))</f>
        <v>#NUM!</v>
      </c>
      <c r="D41" s="66" t="e">
        <f>LARGE('capacity data'!$U:$U,7)</f>
        <v>#NUM!</v>
      </c>
      <c r="F41" s="62" t="e">
        <f>INDEX('capacity data'!$O:$O,MATCH(H41,'capacity data'!$U:$U,0))</f>
        <v>#NUM!</v>
      </c>
      <c r="G41" s="62" t="e">
        <f>INDEX('capacity data'!$P:$P,MATCH(H41,'capacity data'!$U:$U,0))</f>
        <v>#NUM!</v>
      </c>
      <c r="H41" s="66" t="e">
        <f>SMALL('capacity data'!$U:$U,7)</f>
        <v>#NUM!</v>
      </c>
    </row>
    <row r="42" spans="2:8" x14ac:dyDescent="0.15">
      <c r="B42" s="62" t="e">
        <f>INDEX('capacity data'!O:O,MATCH(D42,'capacity data'!U:U,0))</f>
        <v>#NUM!</v>
      </c>
      <c r="C42" s="62" t="e">
        <f>INDEX('capacity data'!$P:$P,MATCH(D42,'capacity data'!U:U,0))</f>
        <v>#NUM!</v>
      </c>
      <c r="D42" s="66" t="e">
        <f>LARGE('capacity data'!$U:$U,8)</f>
        <v>#NUM!</v>
      </c>
      <c r="F42" s="62" t="e">
        <f>INDEX('capacity data'!$O:$O,MATCH(H42,'capacity data'!$U:$U,0))</f>
        <v>#NUM!</v>
      </c>
      <c r="G42" s="62" t="e">
        <f>INDEX('capacity data'!$P:$P,MATCH(H42,'capacity data'!$U:$U,0))</f>
        <v>#NUM!</v>
      </c>
      <c r="H42" s="66" t="e">
        <f>SMALL('capacity data'!$U:$U,8)</f>
        <v>#NUM!</v>
      </c>
    </row>
    <row r="43" spans="2:8" x14ac:dyDescent="0.15">
      <c r="B43" s="62" t="e">
        <f>INDEX('capacity data'!O:O,MATCH(D43,'capacity data'!U:U,0))</f>
        <v>#NUM!</v>
      </c>
      <c r="C43" s="62" t="e">
        <f>INDEX('capacity data'!$P:$P,MATCH(D43,'capacity data'!U:U,0))</f>
        <v>#NUM!</v>
      </c>
      <c r="D43" s="66" t="e">
        <f>LARGE('capacity data'!$U:$U,9)</f>
        <v>#NUM!</v>
      </c>
      <c r="F43" s="62" t="e">
        <f>INDEX('capacity data'!$O:$O,MATCH(H43,'capacity data'!$U:$U,0))</f>
        <v>#NUM!</v>
      </c>
      <c r="G43" s="62" t="e">
        <f>INDEX('capacity data'!$P:$P,MATCH(H43,'capacity data'!$U:$U,0))</f>
        <v>#NUM!</v>
      </c>
      <c r="H43" s="66" t="e">
        <f>SMALL('capacity data'!$U:$U,9)</f>
        <v>#NUM!</v>
      </c>
    </row>
    <row r="44" spans="2:8" x14ac:dyDescent="0.15">
      <c r="B44" s="62" t="e">
        <f>INDEX('capacity data'!O:O,MATCH(D44,'capacity data'!U:U,0))</f>
        <v>#NUM!</v>
      </c>
      <c r="C44" s="62" t="e">
        <f>INDEX('capacity data'!$P:$P,MATCH(D44,'capacity data'!U:U,0))</f>
        <v>#NUM!</v>
      </c>
      <c r="D44" s="66" t="e">
        <f>LARGE('capacity data'!$U:$U,10)</f>
        <v>#NUM!</v>
      </c>
      <c r="F44" s="62" t="e">
        <f>INDEX('capacity data'!$O:$O,MATCH(H44,'capacity data'!$U:$U,0))</f>
        <v>#NUM!</v>
      </c>
      <c r="G44" s="62" t="e">
        <f>INDEX('capacity data'!$P:$P,MATCH(H44,'capacity data'!$U:$U,0))</f>
        <v>#NUM!</v>
      </c>
      <c r="H44" s="66"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activeCell="A3" sqref="A3"/>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564" t="s">
        <v>1094</v>
      </c>
      <c r="B1" s="564"/>
      <c r="C1" s="564"/>
      <c r="D1" s="564"/>
      <c r="E1" s="564"/>
      <c r="F1" s="564"/>
      <c r="G1" s="564"/>
      <c r="H1" s="564"/>
      <c r="I1" s="564"/>
      <c r="J1" s="564"/>
      <c r="K1" s="564"/>
      <c r="L1" s="564"/>
      <c r="M1" s="260"/>
      <c r="N1" s="260"/>
      <c r="O1" s="260"/>
      <c r="P1" s="260"/>
      <c r="Q1" s="260"/>
    </row>
    <row r="2" spans="1:17" ht="41.25" customHeight="1" x14ac:dyDescent="0.15">
      <c r="A2" s="460" t="s">
        <v>1362</v>
      </c>
      <c r="B2" s="460"/>
      <c r="C2" s="460"/>
      <c r="D2" s="460"/>
      <c r="E2" s="460"/>
      <c r="F2" s="460"/>
      <c r="G2" s="460"/>
      <c r="H2" s="460"/>
      <c r="I2" s="460"/>
      <c r="J2" s="460"/>
      <c r="K2" s="460"/>
      <c r="L2" s="460"/>
      <c r="M2" s="266"/>
      <c r="N2" s="266"/>
      <c r="O2" s="266"/>
      <c r="P2" s="266"/>
      <c r="Q2" s="266"/>
    </row>
    <row r="3" spans="1:17" ht="30" customHeight="1" x14ac:dyDescent="0.15">
      <c r="B3" s="19"/>
      <c r="C3" s="19"/>
      <c r="D3" s="19"/>
      <c r="E3" s="19"/>
      <c r="F3" s="19"/>
      <c r="G3" s="19"/>
      <c r="H3" s="19"/>
      <c r="I3" s="19"/>
      <c r="J3" s="19"/>
      <c r="K3" s="19"/>
      <c r="L3" s="19"/>
      <c r="M3" s="19"/>
      <c r="N3" s="19"/>
      <c r="O3" s="19"/>
    </row>
    <row r="4" spans="1:17" ht="17" thickBot="1" x14ac:dyDescent="0.25">
      <c r="B4" s="585" t="s">
        <v>1095</v>
      </c>
      <c r="C4" s="586"/>
      <c r="D4" s="586"/>
      <c r="E4" s="586"/>
      <c r="F4" s="586"/>
      <c r="G4" s="33"/>
      <c r="H4" s="589" t="s">
        <v>1096</v>
      </c>
      <c r="I4" s="590"/>
      <c r="J4" s="590"/>
      <c r="K4" s="590"/>
      <c r="L4" s="590"/>
      <c r="O4" s="33"/>
    </row>
    <row r="5" spans="1:17" ht="42" x14ac:dyDescent="0.15">
      <c r="B5" s="168"/>
      <c r="C5" s="192" t="s">
        <v>1097</v>
      </c>
      <c r="D5" s="192" t="s">
        <v>899</v>
      </c>
      <c r="E5" s="193" t="s">
        <v>1098</v>
      </c>
      <c r="F5" s="157" t="s">
        <v>1099</v>
      </c>
      <c r="G5" s="153"/>
      <c r="H5" s="168"/>
      <c r="I5" s="157" t="s">
        <v>1100</v>
      </c>
      <c r="J5" s="157" t="s">
        <v>1101</v>
      </c>
      <c r="K5" s="157" t="s">
        <v>1102</v>
      </c>
      <c r="L5" s="157" t="s">
        <v>1103</v>
      </c>
      <c r="O5" s="34"/>
    </row>
    <row r="6" spans="1:17" ht="16" x14ac:dyDescent="0.2">
      <c r="B6" s="141" t="s">
        <v>17</v>
      </c>
      <c r="C6" s="75">
        <f>COUNTIFS('capacity data'!A:A,B6,'capacity data'!E:E,"PO")</f>
        <v>0</v>
      </c>
      <c r="D6" s="75">
        <f>COUNTIFS('capacity data'!A:A,B6,'capacity data'!E:E,"PO",'capacity data'!F:F,"&gt;110%")</f>
        <v>0</v>
      </c>
      <c r="E6" s="67" t="e">
        <f>D6/C6</f>
        <v>#DIV/0!</v>
      </c>
      <c r="F6" s="67" t="e">
        <f t="array" ref="F6">LARGE(IF('capacity data'!A:A=B6,IF('capacity data'!E:E="PO",'capacity data'!F:F)),1)</f>
        <v>#NUM!</v>
      </c>
      <c r="G6" s="169"/>
      <c r="H6" s="141" t="s">
        <v>17</v>
      </c>
      <c r="I6" s="75">
        <f>COUNTIFS('capacity data'!A:A,H6,'capacity data'!E:E,"PSO")</f>
        <v>0</v>
      </c>
      <c r="J6" s="75">
        <f>COUNTIFS('capacity data'!A:A,H6,'capacity data'!E:E,"PSO",'capacity data'!F:F,"&gt;110%")</f>
        <v>0</v>
      </c>
      <c r="K6" s="67" t="e">
        <f>J6/I6</f>
        <v>#DIV/0!</v>
      </c>
      <c r="L6" s="67" t="e">
        <f t="array" ref="L6">LARGE(IF('capacity data'!A:A=H6,IF('capacity data'!E:E="PSO",'capacity data'!F:F)),1)</f>
        <v>#NUM!</v>
      </c>
      <c r="O6" s="2"/>
    </row>
    <row r="7" spans="1:17" ht="16" x14ac:dyDescent="0.2">
      <c r="B7" s="141" t="s">
        <v>18</v>
      </c>
      <c r="C7" s="75">
        <f>COUNTIFS('capacity data'!A:A,B7,'capacity data'!E:E,"PO")</f>
        <v>0</v>
      </c>
      <c r="D7" s="75">
        <f>COUNTIFS('capacity data'!A:A,B7,'capacity data'!E:E,"PO",'capacity data'!F:F,"&gt;110%")</f>
        <v>0</v>
      </c>
      <c r="E7" s="67" t="e">
        <f t="shared" ref="E7:E17" si="0">D7/C7</f>
        <v>#DIV/0!</v>
      </c>
      <c r="F7" s="67" t="e">
        <f t="array" ref="F7">LARGE(IF('capacity data'!A:A=B7,IF('capacity data'!E:E="PO",'capacity data'!F:F)),1)</f>
        <v>#NUM!</v>
      </c>
      <c r="G7" s="169"/>
      <c r="H7" s="141" t="s">
        <v>18</v>
      </c>
      <c r="I7" s="75">
        <f>COUNTIFS('capacity data'!A:A,H7,'capacity data'!E:E,"PSO")</f>
        <v>0</v>
      </c>
      <c r="J7" s="75">
        <f>COUNTIFS('capacity data'!A:A,H7,'capacity data'!E:E,"PSO",'capacity data'!F:F,"&gt;110%")</f>
        <v>0</v>
      </c>
      <c r="K7" s="67" t="e">
        <f t="shared" ref="K7:K17" si="1">J7/I7</f>
        <v>#DIV/0!</v>
      </c>
      <c r="L7" s="67" t="e">
        <f t="array" ref="L7">LARGE(IF('capacity data'!A:A=H7,IF('capacity data'!E:E="PSO",'capacity data'!F:F)),1)</f>
        <v>#NUM!</v>
      </c>
      <c r="O7" s="2"/>
    </row>
    <row r="8" spans="1:17" ht="16" x14ac:dyDescent="0.2">
      <c r="B8" s="141" t="s">
        <v>19</v>
      </c>
      <c r="C8" s="75">
        <f>COUNTIFS('capacity data'!A:A,B8,'capacity data'!E:E,"PO")</f>
        <v>0</v>
      </c>
      <c r="D8" s="75">
        <f>COUNTIFS('capacity data'!A:A,B8,'capacity data'!E:E,"PO",'capacity data'!F:F,"&gt;110%")</f>
        <v>0</v>
      </c>
      <c r="E8" s="67" t="e">
        <f t="shared" si="0"/>
        <v>#DIV/0!</v>
      </c>
      <c r="F8" s="67" t="e">
        <f t="array" ref="F8">LARGE(IF('capacity data'!A:A=B8,IF('capacity data'!E:E="PO",'capacity data'!F:F)),1)</f>
        <v>#NUM!</v>
      </c>
      <c r="G8" s="169"/>
      <c r="H8" s="141" t="s">
        <v>19</v>
      </c>
      <c r="I8" s="75">
        <f>COUNTIFS('capacity data'!A:A,H8,'capacity data'!E:E,"PSO")</f>
        <v>0</v>
      </c>
      <c r="J8" s="75">
        <f>COUNTIFS('capacity data'!A:A,H8,'capacity data'!E:E,"PSO",'capacity data'!F:F,"&gt;110%")</f>
        <v>0</v>
      </c>
      <c r="K8" s="67" t="e">
        <f t="shared" si="1"/>
        <v>#DIV/0!</v>
      </c>
      <c r="L8" s="67" t="e">
        <f t="array" ref="L8">LARGE(IF('capacity data'!A:A=H8,IF('capacity data'!E:E="PSO",'capacity data'!F:F)),1)</f>
        <v>#NUM!</v>
      </c>
      <c r="O8" s="2"/>
    </row>
    <row r="9" spans="1:17" ht="16" x14ac:dyDescent="0.2">
      <c r="B9" s="141" t="s">
        <v>20</v>
      </c>
      <c r="C9" s="75">
        <f>COUNTIFS('capacity data'!A:A,B9,'capacity data'!E:E,"PO")</f>
        <v>0</v>
      </c>
      <c r="D9" s="75">
        <f>COUNTIFS('capacity data'!A:A,B9,'capacity data'!E:E,"PO",'capacity data'!F:F,"&gt;110%")</f>
        <v>0</v>
      </c>
      <c r="E9" s="67" t="e">
        <f t="shared" si="0"/>
        <v>#DIV/0!</v>
      </c>
      <c r="F9" s="67" t="e">
        <f t="array" ref="F9">LARGE(IF('capacity data'!A:A=B9,IF('capacity data'!E:E="PO",'capacity data'!F:F)),1)</f>
        <v>#NUM!</v>
      </c>
      <c r="G9" s="169"/>
      <c r="H9" s="141" t="s">
        <v>20</v>
      </c>
      <c r="I9" s="75">
        <f>COUNTIFS('capacity data'!A:A,H9,'capacity data'!E:E,"PSO")</f>
        <v>0</v>
      </c>
      <c r="J9" s="75">
        <f>COUNTIFS('capacity data'!A:A,H9,'capacity data'!E:E,"PSO",'capacity data'!F:F,"&gt;110%")</f>
        <v>0</v>
      </c>
      <c r="K9" s="67" t="e">
        <f t="shared" si="1"/>
        <v>#DIV/0!</v>
      </c>
      <c r="L9" s="67" t="e">
        <f t="array" ref="L9">LARGE(IF('capacity data'!A:A=H9,IF('capacity data'!E:E="PSO",'capacity data'!F:F)),1)</f>
        <v>#NUM!</v>
      </c>
      <c r="O9" s="2"/>
    </row>
    <row r="10" spans="1:17" ht="16" x14ac:dyDescent="0.2">
      <c r="B10" s="141" t="s">
        <v>21</v>
      </c>
      <c r="C10" s="75">
        <f>COUNTIFS('capacity data'!A:A,B10,'capacity data'!E:E,"PO")</f>
        <v>0</v>
      </c>
      <c r="D10" s="75">
        <f>COUNTIFS('capacity data'!A:A,B10,'capacity data'!E:E,"PO",'capacity data'!F:F,"&gt;110%")</f>
        <v>0</v>
      </c>
      <c r="E10" s="67" t="e">
        <f t="shared" si="0"/>
        <v>#DIV/0!</v>
      </c>
      <c r="F10" s="67" t="e">
        <f t="array" ref="F10">LARGE(IF('capacity data'!A:A=B10,IF('capacity data'!E:E="PO",'capacity data'!F:F)),1)</f>
        <v>#NUM!</v>
      </c>
      <c r="G10" s="169"/>
      <c r="H10" s="141" t="s">
        <v>21</v>
      </c>
      <c r="I10" s="75">
        <f>COUNTIFS('capacity data'!A:A,H10,'capacity data'!E:E,"PSO")</f>
        <v>0</v>
      </c>
      <c r="J10" s="75">
        <f>COUNTIFS('capacity data'!A:A,H10,'capacity data'!E:E,"PSO",'capacity data'!F:F,"&gt;110%")</f>
        <v>0</v>
      </c>
      <c r="K10" s="67" t="e">
        <f t="shared" si="1"/>
        <v>#DIV/0!</v>
      </c>
      <c r="L10" s="67" t="e">
        <f t="array" ref="L10">LARGE(IF('capacity data'!A:A=H10,IF('capacity data'!E:E="PSO",'capacity data'!F:F)),1)</f>
        <v>#NUM!</v>
      </c>
      <c r="O10" s="2"/>
    </row>
    <row r="11" spans="1:17" ht="16" x14ac:dyDescent="0.2">
      <c r="B11" s="141" t="s">
        <v>22</v>
      </c>
      <c r="C11" s="75">
        <f>COUNTIFS('capacity data'!A:A,B11,'capacity data'!E:E,"PO")</f>
        <v>0</v>
      </c>
      <c r="D11" s="75">
        <f>COUNTIFS('capacity data'!A:A,B11,'capacity data'!E:E,"PO",'capacity data'!F:F,"&gt;110%")</f>
        <v>0</v>
      </c>
      <c r="E11" s="67" t="e">
        <f t="shared" si="0"/>
        <v>#DIV/0!</v>
      </c>
      <c r="F11" s="67" t="e">
        <f t="array" ref="F11">LARGE(IF('capacity data'!A:A=B11,IF('capacity data'!E:E="PO",'capacity data'!F:F)),1)</f>
        <v>#NUM!</v>
      </c>
      <c r="G11" s="64"/>
      <c r="H11" s="141" t="s">
        <v>22</v>
      </c>
      <c r="I11" s="75">
        <f>COUNTIFS('capacity data'!A:A,H11,'capacity data'!E:E,"PSO")</f>
        <v>0</v>
      </c>
      <c r="J11" s="75">
        <f>COUNTIFS('capacity data'!A:A,H11,'capacity data'!E:E,"PSO",'capacity data'!F:F,"&gt;110%")</f>
        <v>0</v>
      </c>
      <c r="K11" s="67" t="e">
        <f t="shared" si="1"/>
        <v>#DIV/0!</v>
      </c>
      <c r="L11" s="67" t="e">
        <f t="array" ref="L11">LARGE(IF('capacity data'!A:A=H11,IF('capacity data'!E:E="PSO",'capacity data'!F:F)),1)</f>
        <v>#NUM!</v>
      </c>
      <c r="O11" s="2"/>
    </row>
    <row r="12" spans="1:17" ht="16" x14ac:dyDescent="0.2">
      <c r="B12" s="141" t="s">
        <v>23</v>
      </c>
      <c r="C12" s="75">
        <f>COUNTIFS('capacity data'!A:A,B12,'capacity data'!E:E,"PO")</f>
        <v>0</v>
      </c>
      <c r="D12" s="75">
        <f>COUNTIFS('capacity data'!A:A,B12,'capacity data'!E:E,"PO",'capacity data'!F:F,"&gt;110%")</f>
        <v>0</v>
      </c>
      <c r="E12" s="67" t="e">
        <f t="shared" si="0"/>
        <v>#DIV/0!</v>
      </c>
      <c r="F12" s="67" t="e">
        <f t="array" ref="F12">LARGE(IF('capacity data'!A:A=B12,IF('capacity data'!E:E="PO",'capacity data'!F:F)),1)</f>
        <v>#NUM!</v>
      </c>
      <c r="G12" s="64"/>
      <c r="H12" s="141" t="s">
        <v>23</v>
      </c>
      <c r="I12" s="75">
        <f>COUNTIFS('capacity data'!A:A,H12,'capacity data'!E:E,"PSO")</f>
        <v>0</v>
      </c>
      <c r="J12" s="75">
        <f>COUNTIFS('capacity data'!A:A,H12,'capacity data'!E:E,"PSO",'capacity data'!F:F,"&gt;110%")</f>
        <v>0</v>
      </c>
      <c r="K12" s="67" t="e">
        <f t="shared" si="1"/>
        <v>#DIV/0!</v>
      </c>
      <c r="L12" s="67" t="e">
        <f t="array" ref="L12">LARGE(IF('capacity data'!A:A=H12,IF('capacity data'!E:E="PSO",'capacity data'!F:F)),1)</f>
        <v>#NUM!</v>
      </c>
      <c r="O12" s="2"/>
    </row>
    <row r="13" spans="1:17" ht="16" x14ac:dyDescent="0.2">
      <c r="B13" s="141" t="s">
        <v>24</v>
      </c>
      <c r="C13" s="75">
        <f>COUNTIFS('capacity data'!A:A,B13,'capacity data'!E:E,"PO")</f>
        <v>0</v>
      </c>
      <c r="D13" s="75">
        <f>COUNTIFS('capacity data'!A:A,B13,'capacity data'!E:E,"PO",'capacity data'!F:F,"&gt;110%")</f>
        <v>0</v>
      </c>
      <c r="E13" s="67" t="e">
        <f t="shared" ref="E13" si="2">D13/C13</f>
        <v>#DIV/0!</v>
      </c>
      <c r="F13" s="67" t="e">
        <f t="array" ref="F13">LARGE(IF('capacity data'!A:A=B13,IF('capacity data'!E:E="PO",'capacity data'!F:F)),1)</f>
        <v>#NUM!</v>
      </c>
      <c r="G13" s="64"/>
      <c r="H13" s="141" t="s">
        <v>24</v>
      </c>
      <c r="I13" s="75">
        <f>COUNTIFS('capacity data'!A:A,H13,'capacity data'!E:E,"PSO")</f>
        <v>0</v>
      </c>
      <c r="J13" s="75">
        <f>COUNTIFS('capacity data'!A:A,H13,'capacity data'!E:E,"PSO",'capacity data'!F:F,"&gt;110%")</f>
        <v>0</v>
      </c>
      <c r="K13" s="67" t="e">
        <f t="shared" ref="K13" si="3">J13/I13</f>
        <v>#DIV/0!</v>
      </c>
      <c r="L13" s="67" t="e">
        <f t="array" ref="L13">LARGE(IF('capacity data'!A:A=H13,IF('capacity data'!E:E="PSO",'capacity data'!F:F)),1)</f>
        <v>#NUM!</v>
      </c>
      <c r="O13" s="2"/>
    </row>
    <row r="14" spans="1:17" ht="16" x14ac:dyDescent="0.2">
      <c r="B14" s="141" t="s">
        <v>25</v>
      </c>
      <c r="C14" s="75">
        <f>COUNTIFS('capacity data'!A:A,B14,'capacity data'!E:E,"PO")</f>
        <v>0</v>
      </c>
      <c r="D14" s="75">
        <f>COUNTIFS('capacity data'!A:A,B14,'capacity data'!E:E,"PO",'capacity data'!F:F,"&gt;110%")</f>
        <v>0</v>
      </c>
      <c r="E14" s="67" t="e">
        <f t="shared" si="0"/>
        <v>#DIV/0!</v>
      </c>
      <c r="F14" s="67" t="e">
        <f t="array" ref="F14">LARGE(IF('capacity data'!A:A=B14,IF('capacity data'!E:E="PO",'capacity data'!F:F)),1)</f>
        <v>#NUM!</v>
      </c>
      <c r="G14" s="64"/>
      <c r="H14" s="141" t="s">
        <v>25</v>
      </c>
      <c r="I14" s="75">
        <f>COUNTIFS('capacity data'!A:A,H14,'capacity data'!E:E,"PSO")</f>
        <v>0</v>
      </c>
      <c r="J14" s="75">
        <f>COUNTIFS('capacity data'!A:A,H14,'capacity data'!E:E,"PSO",'capacity data'!F:F,"&gt;110%")</f>
        <v>0</v>
      </c>
      <c r="K14" s="67" t="e">
        <f t="shared" si="1"/>
        <v>#DIV/0!</v>
      </c>
      <c r="L14" s="67" t="e">
        <f t="array" ref="L14">LARGE(IF('capacity data'!A:A=H14,IF('capacity data'!E:E="PSO",'capacity data'!F:F)),1)</f>
        <v>#NUM!</v>
      </c>
      <c r="O14" s="2"/>
    </row>
    <row r="15" spans="1:17" ht="16" x14ac:dyDescent="0.2">
      <c r="B15" s="141" t="s">
        <v>26</v>
      </c>
      <c r="C15" s="75">
        <f>COUNTIFS('capacity data'!A:A,B15,'capacity data'!E:E,"PO")</f>
        <v>0</v>
      </c>
      <c r="D15" s="75">
        <f>COUNTIFS('capacity data'!A:A,B15,'capacity data'!E:E,"PO",'capacity data'!F:F,"&gt;110%")</f>
        <v>0</v>
      </c>
      <c r="E15" s="67" t="e">
        <f t="shared" si="0"/>
        <v>#DIV/0!</v>
      </c>
      <c r="F15" s="67" t="e">
        <f t="array" ref="F15">LARGE(IF('capacity data'!A:A=B15,IF('capacity data'!E:E="PO",'capacity data'!F:F)),1)</f>
        <v>#NUM!</v>
      </c>
      <c r="G15" s="64"/>
      <c r="H15" s="141" t="s">
        <v>26</v>
      </c>
      <c r="I15" s="75">
        <f>COUNTIFS('capacity data'!A:A,H15,'capacity data'!E:E,"PSO")</f>
        <v>0</v>
      </c>
      <c r="J15" s="75">
        <f>COUNTIFS('capacity data'!A:A,H15,'capacity data'!E:E,"PSO",'capacity data'!F:F,"&gt;110%")</f>
        <v>0</v>
      </c>
      <c r="K15" s="67" t="e">
        <f t="shared" si="1"/>
        <v>#DIV/0!</v>
      </c>
      <c r="L15" s="67" t="e">
        <f t="array" ref="L15">LARGE(IF('capacity data'!A:A=H15,IF('capacity data'!E:E="PSO",'capacity data'!F:F)),1)</f>
        <v>#NUM!</v>
      </c>
      <c r="O15" s="2"/>
    </row>
    <row r="16" spans="1:17" ht="16" x14ac:dyDescent="0.2">
      <c r="B16" s="141" t="s">
        <v>27</v>
      </c>
      <c r="C16" s="75">
        <f>COUNTIFS('capacity data'!A:A,B16,'capacity data'!E:E,"PO")</f>
        <v>0</v>
      </c>
      <c r="D16" s="75">
        <f>COUNTIFS('capacity data'!A:A,B16,'capacity data'!E:E,"PO",'capacity data'!F:F,"&gt;110%")</f>
        <v>0</v>
      </c>
      <c r="E16" s="67" t="e">
        <f t="shared" si="0"/>
        <v>#DIV/0!</v>
      </c>
      <c r="F16" s="67" t="e">
        <f t="array" ref="F16">LARGE(IF('capacity data'!A:A=B16,IF('capacity data'!E:E="PO",'capacity data'!F:F)),1)</f>
        <v>#NUM!</v>
      </c>
      <c r="G16" s="64"/>
      <c r="H16" s="141" t="s">
        <v>27</v>
      </c>
      <c r="I16" s="75">
        <f>COUNTIFS('capacity data'!A:A,H16,'capacity data'!E:E,"PSO")</f>
        <v>0</v>
      </c>
      <c r="J16" s="75">
        <f>COUNTIFS('capacity data'!A:A,H16,'capacity data'!E:E,"PSO",'capacity data'!F:F,"&gt;110%")</f>
        <v>0</v>
      </c>
      <c r="K16" s="67" t="e">
        <f t="shared" si="1"/>
        <v>#DIV/0!</v>
      </c>
      <c r="L16" s="67" t="e">
        <f t="array" ref="L16">LARGE(IF('capacity data'!A:A=H16,IF('capacity data'!E:E="PSO",'capacity data'!F:F)),1)</f>
        <v>#NUM!</v>
      </c>
      <c r="O16" s="2"/>
    </row>
    <row r="17" spans="2:15" ht="16" x14ac:dyDescent="0.2">
      <c r="B17" s="141" t="s">
        <v>28</v>
      </c>
      <c r="C17" s="75">
        <f>COUNTIFS('capacity data'!A:A,B17,'capacity data'!E:E,"PO")</f>
        <v>0</v>
      </c>
      <c r="D17" s="75">
        <f>COUNTIFS('capacity data'!A:A,B17,'capacity data'!E:E,"PO",'capacity data'!F:F,"&gt;110%")</f>
        <v>0</v>
      </c>
      <c r="E17" s="67" t="e">
        <f t="shared" si="0"/>
        <v>#DIV/0!</v>
      </c>
      <c r="F17" s="67" t="e">
        <f t="array" ref="F17">LARGE(IF('capacity data'!A:A=B17,IF('capacity data'!E:E="PO",'capacity data'!F:F)),1)</f>
        <v>#NUM!</v>
      </c>
      <c r="G17" s="64"/>
      <c r="H17" s="141" t="s">
        <v>28</v>
      </c>
      <c r="I17" s="75">
        <f>COUNTIFS('capacity data'!A:A,H17,'capacity data'!E:E,"PSO")</f>
        <v>0</v>
      </c>
      <c r="J17" s="75">
        <f>COUNTIFS('capacity data'!A:A,H17,'capacity data'!E:E,"PSO",'capacity data'!F:F,"&gt;110%")</f>
        <v>0</v>
      </c>
      <c r="K17" s="67" t="e">
        <f t="shared" si="1"/>
        <v>#DIV/0!</v>
      </c>
      <c r="L17" s="67" t="e">
        <f t="array" ref="L17">LARGE(IF('capacity data'!A:A=H17,IF('capacity data'!E:E="PSO",'capacity data'!F:F)),1)</f>
        <v>#NUM!</v>
      </c>
      <c r="O17" s="2"/>
    </row>
    <row r="18" spans="2:15" ht="16" x14ac:dyDescent="0.2">
      <c r="B18" s="173" t="s">
        <v>909</v>
      </c>
      <c r="C18" s="110">
        <f>COUNTIF('capacity data'!E:E,"PO")</f>
        <v>0</v>
      </c>
      <c r="D18" s="110">
        <f>COUNTIFS('capacity data'!E:E,"PO",'capacity data'!F:F,"&gt;110%")</f>
        <v>0</v>
      </c>
      <c r="E18" s="207" t="e">
        <f t="shared" ref="E18" si="4">D18/C18</f>
        <v>#DIV/0!</v>
      </c>
      <c r="F18" s="110" t="s">
        <v>910</v>
      </c>
      <c r="G18" s="64"/>
      <c r="H18" s="173" t="s">
        <v>909</v>
      </c>
      <c r="I18" s="110">
        <f>COUNTIF('capacity data'!E:E,"PSO")</f>
        <v>0</v>
      </c>
      <c r="J18" s="110">
        <f>COUNTIFS('capacity data'!E:E,"PSO",'capacity data'!F:F,"&gt;110%")</f>
        <v>0</v>
      </c>
      <c r="K18" s="207" t="e">
        <f t="shared" ref="K18" si="5">J18/I18</f>
        <v>#DIV/0!</v>
      </c>
      <c r="L18" s="149" t="s">
        <v>910</v>
      </c>
      <c r="O18" s="2"/>
    </row>
    <row r="21" spans="2:15" ht="16" x14ac:dyDescent="0.2">
      <c r="B21" s="587" t="s">
        <v>1104</v>
      </c>
      <c r="C21" s="588"/>
      <c r="D21" s="588"/>
      <c r="E21" s="588"/>
      <c r="F21" s="588"/>
      <c r="G21" s="33"/>
      <c r="H21" s="589" t="s">
        <v>1105</v>
      </c>
      <c r="I21" s="590"/>
      <c r="J21" s="590"/>
      <c r="K21" s="590"/>
    </row>
    <row r="22" spans="2:15" ht="42" x14ac:dyDescent="0.15">
      <c r="B22" s="168"/>
      <c r="C22" s="157" t="s">
        <v>1106</v>
      </c>
      <c r="D22" s="157" t="s">
        <v>1107</v>
      </c>
      <c r="E22" s="157" t="s">
        <v>1108</v>
      </c>
      <c r="F22" s="157" t="s">
        <v>1109</v>
      </c>
      <c r="G22" s="170"/>
      <c r="H22" s="168"/>
      <c r="I22" s="157" t="s">
        <v>1100</v>
      </c>
      <c r="J22" s="157" t="s">
        <v>1110</v>
      </c>
      <c r="K22" s="157" t="s">
        <v>1111</v>
      </c>
      <c r="L22" s="34"/>
    </row>
    <row r="23" spans="2:15" x14ac:dyDescent="0.15">
      <c r="B23" s="141" t="s">
        <v>17</v>
      </c>
      <c r="C23" s="75">
        <f>COUNTIFS('capacity data'!A:A,B23,'capacity data'!E:E,"TPO")</f>
        <v>0</v>
      </c>
      <c r="D23" s="75">
        <f>COUNTIFS('capacity data'!A:A,B23,'capacity data'!E:E,"TPO",'capacity data'!F:F,"&gt;110%")</f>
        <v>0</v>
      </c>
      <c r="E23" s="67" t="e">
        <f>D23/C23</f>
        <v>#DIV/0!</v>
      </c>
      <c r="F23" s="67" t="e">
        <f t="array" ref="F23">LARGE(IF('capacity data'!A:A=B23,IF('capacity data'!E:E="TPO",'capacity data'!F:F)),1)</f>
        <v>#NUM!</v>
      </c>
      <c r="G23" s="171"/>
      <c r="H23" s="141" t="s">
        <v>17</v>
      </c>
      <c r="I23" s="75">
        <f>COUNTIFS('capacity data'!A:A,H23,'capacity data'!E:E,"PSO")</f>
        <v>0</v>
      </c>
      <c r="J23" s="75">
        <f>COUNTIFS('capacity data'!A:A,H23,'capacity data'!E:E,"PSO",'capacity data'!F:F,"&lt;90%")</f>
        <v>0</v>
      </c>
      <c r="K23" s="172" t="e">
        <f>J23/I23</f>
        <v>#DIV/0!</v>
      </c>
    </row>
    <row r="24" spans="2:15" x14ac:dyDescent="0.15">
      <c r="B24" s="141" t="s">
        <v>18</v>
      </c>
      <c r="C24" s="75">
        <f>COUNTIFS('capacity data'!A:A,B24,'capacity data'!E:E,"TPO")</f>
        <v>0</v>
      </c>
      <c r="D24" s="75">
        <f>COUNTIFS('capacity data'!A:A,B24,'capacity data'!E:E,"TPO",'capacity data'!F:F,"&gt;110%")</f>
        <v>0</v>
      </c>
      <c r="E24" s="67" t="e">
        <f t="shared" ref="E24:E34" si="6">D24/C24</f>
        <v>#DIV/0!</v>
      </c>
      <c r="F24" s="67" t="e">
        <f t="array" ref="F24">LARGE(IF('capacity data'!A:A=B24,IF('capacity data'!E:E="TPO",'capacity data'!F:F)),1)</f>
        <v>#NUM!</v>
      </c>
      <c r="G24" s="171"/>
      <c r="H24" s="141" t="s">
        <v>18</v>
      </c>
      <c r="I24" s="75">
        <f>COUNTIFS('capacity data'!A:A,H24,'capacity data'!E:E,"PSO")</f>
        <v>0</v>
      </c>
      <c r="J24" s="75">
        <f>COUNTIFS('capacity data'!A:A,H24,'capacity data'!E:E,"PSO",'capacity data'!F:F,"&lt;90%")</f>
        <v>0</v>
      </c>
      <c r="K24" s="172" t="e">
        <f t="shared" ref="K24:K34" si="7">J24/I24</f>
        <v>#DIV/0!</v>
      </c>
    </row>
    <row r="25" spans="2:15" x14ac:dyDescent="0.15">
      <c r="B25" s="141" t="s">
        <v>19</v>
      </c>
      <c r="C25" s="75">
        <f>COUNTIFS('capacity data'!A:A,B25,'capacity data'!E:E,"TPO")</f>
        <v>0</v>
      </c>
      <c r="D25" s="75">
        <f>COUNTIFS('capacity data'!A:A,B25,'capacity data'!E:E,"TPO",'capacity data'!F:F,"&gt;110%")</f>
        <v>0</v>
      </c>
      <c r="E25" s="67" t="e">
        <f t="shared" si="6"/>
        <v>#DIV/0!</v>
      </c>
      <c r="F25" s="67" t="e">
        <f t="array" ref="F25">LARGE(IF('capacity data'!A:A=B25,IF('capacity data'!E:E="TPO",'capacity data'!F:F)),1)</f>
        <v>#NUM!</v>
      </c>
      <c r="G25" s="171"/>
      <c r="H25" s="141" t="s">
        <v>19</v>
      </c>
      <c r="I25" s="75">
        <f>COUNTIFS('capacity data'!A:A,H25,'capacity data'!E:E,"PSO")</f>
        <v>0</v>
      </c>
      <c r="J25" s="75">
        <f>COUNTIFS('capacity data'!A:A,H25,'capacity data'!E:E,"PSO",'capacity data'!F:F,"&lt;90%")</f>
        <v>0</v>
      </c>
      <c r="K25" s="172" t="e">
        <f t="shared" si="7"/>
        <v>#DIV/0!</v>
      </c>
    </row>
    <row r="26" spans="2:15" x14ac:dyDescent="0.15">
      <c r="B26" s="141" t="s">
        <v>20</v>
      </c>
      <c r="C26" s="75">
        <f>COUNTIFS('capacity data'!A:A,B26,'capacity data'!E:E,"TPO")</f>
        <v>0</v>
      </c>
      <c r="D26" s="75">
        <f>COUNTIFS('capacity data'!A:A,B26,'capacity data'!E:E,"TPO",'capacity data'!F:F,"&gt;110%")</f>
        <v>0</v>
      </c>
      <c r="E26" s="67" t="e">
        <f t="shared" si="6"/>
        <v>#DIV/0!</v>
      </c>
      <c r="F26" s="67" t="e">
        <f t="array" ref="F26">LARGE(IF('capacity data'!A:A=B26,IF('capacity data'!E:E="TPO",'capacity data'!F:F)),1)</f>
        <v>#NUM!</v>
      </c>
      <c r="G26" s="171"/>
      <c r="H26" s="141" t="s">
        <v>20</v>
      </c>
      <c r="I26" s="75">
        <f>COUNTIFS('capacity data'!A:A,H26,'capacity data'!E:E,"PSO")</f>
        <v>0</v>
      </c>
      <c r="J26" s="75">
        <f>COUNTIFS('capacity data'!A:A,H26,'capacity data'!E:E,"PSO",'capacity data'!F:F,"&lt;90%")</f>
        <v>0</v>
      </c>
      <c r="K26" s="172" t="e">
        <f t="shared" si="7"/>
        <v>#DIV/0!</v>
      </c>
    </row>
    <row r="27" spans="2:15" x14ac:dyDescent="0.15">
      <c r="B27" s="141" t="s">
        <v>21</v>
      </c>
      <c r="C27" s="75">
        <f>COUNTIFS('capacity data'!A:A,B27,'capacity data'!E:E,"TPO")</f>
        <v>0</v>
      </c>
      <c r="D27" s="75">
        <f>COUNTIFS('capacity data'!A:A,B27,'capacity data'!E:E,"TPO",'capacity data'!F:F,"&gt;110%")</f>
        <v>0</v>
      </c>
      <c r="E27" s="67" t="e">
        <f t="shared" si="6"/>
        <v>#DIV/0!</v>
      </c>
      <c r="F27" s="67" t="e">
        <f t="array" ref="F27">LARGE(IF('capacity data'!A:A=B27,IF('capacity data'!E:E="TPO",'capacity data'!F:F)),1)</f>
        <v>#NUM!</v>
      </c>
      <c r="G27" s="171"/>
      <c r="H27" s="141" t="s">
        <v>21</v>
      </c>
      <c r="I27" s="75">
        <f>COUNTIFS('capacity data'!A:A,H27,'capacity data'!E:E,"PSO")</f>
        <v>0</v>
      </c>
      <c r="J27" s="75">
        <f>COUNTIFS('capacity data'!A:A,H27,'capacity data'!E:E,"PSO",'capacity data'!F:F,"&lt;90%")</f>
        <v>0</v>
      </c>
      <c r="K27" s="172" t="e">
        <f t="shared" si="7"/>
        <v>#DIV/0!</v>
      </c>
    </row>
    <row r="28" spans="2:15" x14ac:dyDescent="0.15">
      <c r="B28" s="141" t="s">
        <v>22</v>
      </c>
      <c r="C28" s="75">
        <f>COUNTIFS('capacity data'!A:A,B28,'capacity data'!E:E,"TPO")</f>
        <v>0</v>
      </c>
      <c r="D28" s="75">
        <f>COUNTIFS('capacity data'!A:A,B28,'capacity data'!E:E,"TPO",'capacity data'!F:F,"&gt;110%")</f>
        <v>0</v>
      </c>
      <c r="E28" s="67" t="e">
        <f t="shared" si="6"/>
        <v>#DIV/0!</v>
      </c>
      <c r="F28" s="67" t="e">
        <f t="array" ref="F28">LARGE(IF('capacity data'!A:A=B28,IF('capacity data'!E:E="TPO",'capacity data'!F:F)),1)</f>
        <v>#NUM!</v>
      </c>
      <c r="G28" s="171"/>
      <c r="H28" s="141" t="s">
        <v>22</v>
      </c>
      <c r="I28" s="75">
        <f>COUNTIFS('capacity data'!A:A,H28,'capacity data'!E:E,"PSO")</f>
        <v>0</v>
      </c>
      <c r="J28" s="75">
        <f>COUNTIFS('capacity data'!A:A,H28,'capacity data'!E:E,"PSO",'capacity data'!F:F,"&lt;90%")</f>
        <v>0</v>
      </c>
      <c r="K28" s="172" t="e">
        <f t="shared" si="7"/>
        <v>#DIV/0!</v>
      </c>
    </row>
    <row r="29" spans="2:15" x14ac:dyDescent="0.15">
      <c r="B29" s="141" t="s">
        <v>23</v>
      </c>
      <c r="C29" s="75">
        <f>COUNTIFS('capacity data'!A:A,B29,'capacity data'!E:E,"TPO")</f>
        <v>0</v>
      </c>
      <c r="D29" s="75">
        <f>COUNTIFS('capacity data'!A:A,B29,'capacity data'!E:E,"TPO",'capacity data'!F:F,"&gt;110%")</f>
        <v>0</v>
      </c>
      <c r="E29" s="67" t="e">
        <f t="shared" si="6"/>
        <v>#DIV/0!</v>
      </c>
      <c r="F29" s="67" t="e">
        <f t="array" ref="F29">LARGE(IF('capacity data'!A:A=B29,IF('capacity data'!E:E="TPO",'capacity data'!F:F)),1)</f>
        <v>#NUM!</v>
      </c>
      <c r="G29" s="171"/>
      <c r="H29" s="141" t="s">
        <v>23</v>
      </c>
      <c r="I29" s="75">
        <f>COUNTIFS('capacity data'!A:A,H29,'capacity data'!E:E,"PSO")</f>
        <v>0</v>
      </c>
      <c r="J29" s="75">
        <f>COUNTIFS('capacity data'!A:A,H29,'capacity data'!E:E,"PSO",'capacity data'!F:F,"&lt;90%")</f>
        <v>0</v>
      </c>
      <c r="K29" s="172" t="e">
        <f t="shared" si="7"/>
        <v>#DIV/0!</v>
      </c>
    </row>
    <row r="30" spans="2:15" x14ac:dyDescent="0.15">
      <c r="B30" s="141" t="s">
        <v>24</v>
      </c>
      <c r="C30" s="75">
        <f>COUNTIFS('capacity data'!A:A,B30,'capacity data'!E:E,"TPO")</f>
        <v>0</v>
      </c>
      <c r="D30" s="75">
        <f>COUNTIFS('capacity data'!A:A,B30,'capacity data'!E:E,"TPO",'capacity data'!F:F,"&gt;110%")</f>
        <v>0</v>
      </c>
      <c r="E30" s="67" t="e">
        <f t="shared" ref="E30" si="8">D30/C30</f>
        <v>#DIV/0!</v>
      </c>
      <c r="F30" s="67" t="e">
        <f t="array" ref="F30">LARGE(IF('capacity data'!A:A=B30,IF('capacity data'!E:E="TPO",'capacity data'!F:F)),1)</f>
        <v>#NUM!</v>
      </c>
      <c r="G30" s="171"/>
      <c r="H30" s="141" t="s">
        <v>24</v>
      </c>
      <c r="I30" s="75">
        <f>COUNTIFS('capacity data'!A:A,H30,'capacity data'!E:E,"PSO")</f>
        <v>0</v>
      </c>
      <c r="J30" s="75">
        <f>COUNTIFS('capacity data'!A:A,H30,'capacity data'!E:E,"PSO",'capacity data'!F:F,"&lt;90%")</f>
        <v>0</v>
      </c>
      <c r="K30" s="172" t="e">
        <f t="shared" ref="K30" si="9">J30/I30</f>
        <v>#DIV/0!</v>
      </c>
    </row>
    <row r="31" spans="2:15" x14ac:dyDescent="0.15">
      <c r="B31" s="141" t="s">
        <v>25</v>
      </c>
      <c r="C31" s="75">
        <f>COUNTIFS('capacity data'!A:A,B31,'capacity data'!E:E,"TPO")</f>
        <v>0</v>
      </c>
      <c r="D31" s="75">
        <f>COUNTIFS('capacity data'!A:A,B31,'capacity data'!E:E,"TPO",'capacity data'!F:F,"&gt;110%")</f>
        <v>0</v>
      </c>
      <c r="E31" s="67" t="e">
        <f t="shared" si="6"/>
        <v>#DIV/0!</v>
      </c>
      <c r="F31" s="67" t="e">
        <f t="array" ref="F31">LARGE(IF('capacity data'!A:A=B31,IF('capacity data'!E:E="TPO",'capacity data'!F:F)),1)</f>
        <v>#NUM!</v>
      </c>
      <c r="G31" s="171"/>
      <c r="H31" s="141" t="s">
        <v>25</v>
      </c>
      <c r="I31" s="75">
        <f>COUNTIFS('capacity data'!A:A,H31,'capacity data'!E:E,"PSO")</f>
        <v>0</v>
      </c>
      <c r="J31" s="75">
        <f>COUNTIFS('capacity data'!A:A,H31,'capacity data'!E:E,"PSO",'capacity data'!F:F,"&lt;90%")</f>
        <v>0</v>
      </c>
      <c r="K31" s="172" t="e">
        <f t="shared" si="7"/>
        <v>#DIV/0!</v>
      </c>
    </row>
    <row r="32" spans="2:15" x14ac:dyDescent="0.15">
      <c r="B32" s="141" t="s">
        <v>26</v>
      </c>
      <c r="C32" s="75">
        <f>COUNTIFS('capacity data'!A:A,B32,'capacity data'!E:E,"TPO")</f>
        <v>0</v>
      </c>
      <c r="D32" s="75">
        <f>COUNTIFS('capacity data'!A:A,B32,'capacity data'!E:E,"TPO",'capacity data'!F:F,"&gt;110%")</f>
        <v>0</v>
      </c>
      <c r="E32" s="67" t="e">
        <f t="shared" si="6"/>
        <v>#DIV/0!</v>
      </c>
      <c r="F32" s="67" t="e">
        <f t="array" ref="F32">LARGE(IF('capacity data'!A:A=B32,IF('capacity data'!E:E="TPO",'capacity data'!F:F)),1)</f>
        <v>#NUM!</v>
      </c>
      <c r="G32" s="171"/>
      <c r="H32" s="141" t="s">
        <v>26</v>
      </c>
      <c r="I32" s="75">
        <f>COUNTIFS('capacity data'!A:A,H32,'capacity data'!E:E,"PSO")</f>
        <v>0</v>
      </c>
      <c r="J32" s="75">
        <f>COUNTIFS('capacity data'!A:A,H32,'capacity data'!E:E,"PSO",'capacity data'!F:F,"&lt;90%")</f>
        <v>0</v>
      </c>
      <c r="K32" s="172" t="e">
        <f t="shared" si="7"/>
        <v>#DIV/0!</v>
      </c>
    </row>
    <row r="33" spans="2:11" x14ac:dyDescent="0.15">
      <c r="B33" s="141" t="s">
        <v>27</v>
      </c>
      <c r="C33" s="75">
        <f>COUNTIFS('capacity data'!A:A,B33,'capacity data'!E:E,"TPO")</f>
        <v>0</v>
      </c>
      <c r="D33" s="75">
        <f>COUNTIFS('capacity data'!A:A,B33,'capacity data'!E:E,"TPO",'capacity data'!F:F,"&gt;110%")</f>
        <v>0</v>
      </c>
      <c r="E33" s="67" t="e">
        <f t="shared" si="6"/>
        <v>#DIV/0!</v>
      </c>
      <c r="F33" s="67" t="e">
        <f t="array" ref="F33">LARGE(IF('capacity data'!A:A=B33,IF('capacity data'!E:E="TPO",'capacity data'!F:F)),1)</f>
        <v>#NUM!</v>
      </c>
      <c r="G33" s="171"/>
      <c r="H33" s="141" t="s">
        <v>27</v>
      </c>
      <c r="I33" s="75">
        <f>COUNTIFS('capacity data'!A:A,H33,'capacity data'!E:E,"PSO")</f>
        <v>0</v>
      </c>
      <c r="J33" s="75">
        <f>COUNTIFS('capacity data'!A:A,H33,'capacity data'!E:E,"PSO",'capacity data'!F:F,"&lt;90%")</f>
        <v>0</v>
      </c>
      <c r="K33" s="172" t="e">
        <f t="shared" si="7"/>
        <v>#DIV/0!</v>
      </c>
    </row>
    <row r="34" spans="2:11" x14ac:dyDescent="0.15">
      <c r="B34" s="141" t="s">
        <v>28</v>
      </c>
      <c r="C34" s="75">
        <f>COUNTIFS('capacity data'!A:A,B34,'capacity data'!E:E,"TPO")</f>
        <v>0</v>
      </c>
      <c r="D34" s="75">
        <f>COUNTIFS('capacity data'!A:A,B34,'capacity data'!E:E,"TPO",'capacity data'!F:F,"&gt;110%")</f>
        <v>0</v>
      </c>
      <c r="E34" s="67" t="e">
        <f t="shared" si="6"/>
        <v>#DIV/0!</v>
      </c>
      <c r="F34" s="67" t="e">
        <f t="array" ref="F34">LARGE(IF('capacity data'!A:A=B34,IF('capacity data'!E:E="TPO",'capacity data'!F:F)),1)</f>
        <v>#NUM!</v>
      </c>
      <c r="G34" s="171"/>
      <c r="H34" s="141" t="s">
        <v>28</v>
      </c>
      <c r="I34" s="75">
        <f>COUNTIFS('capacity data'!A:A,H34,'capacity data'!E:E,"PSO")</f>
        <v>0</v>
      </c>
      <c r="J34" s="75">
        <f>COUNTIFS('capacity data'!A:A,H34,'capacity data'!E:E,"PSO",'capacity data'!F:F,"&lt;90%")</f>
        <v>0</v>
      </c>
      <c r="K34" s="172" t="e">
        <f t="shared" si="7"/>
        <v>#DIV/0!</v>
      </c>
    </row>
    <row r="35" spans="2:11" x14ac:dyDescent="0.15">
      <c r="B35" s="173" t="s">
        <v>909</v>
      </c>
      <c r="C35" s="110">
        <f>COUNTIF('capacity data'!E:E,"TPO")</f>
        <v>0</v>
      </c>
      <c r="D35" s="110">
        <f>COUNTIFS('capacity data'!E:E,"TPO",'capacity data'!F:F,"&gt;110%")</f>
        <v>0</v>
      </c>
      <c r="E35" s="207" t="e">
        <f t="shared" ref="E35" si="10">D35/C35</f>
        <v>#DIV/0!</v>
      </c>
      <c r="F35" s="110" t="s">
        <v>910</v>
      </c>
      <c r="G35" s="171"/>
      <c r="H35" s="173" t="s">
        <v>909</v>
      </c>
      <c r="I35" s="110">
        <f>COUNTIF('capacity data'!E:E,"PSO")</f>
        <v>0</v>
      </c>
      <c r="J35" s="110">
        <f>COUNTIFS('capacity data'!E:E,"PSO",'capacity data'!F:F,"&lt;90%")</f>
        <v>0</v>
      </c>
      <c r="K35" s="208" t="s">
        <v>910</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A3" sqref="A3"/>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564" t="s">
        <v>1112</v>
      </c>
      <c r="B1" s="564"/>
      <c r="C1" s="564"/>
      <c r="D1" s="564"/>
      <c r="E1" s="564"/>
      <c r="F1" s="564"/>
      <c r="G1" s="564"/>
      <c r="H1" s="260"/>
      <c r="I1" s="260"/>
      <c r="J1" s="260"/>
      <c r="K1" s="260"/>
      <c r="L1" s="260"/>
      <c r="M1" s="591"/>
      <c r="N1" s="591"/>
      <c r="O1" s="591"/>
    </row>
    <row r="2" spans="1:15" ht="33.75" customHeight="1" x14ac:dyDescent="0.15">
      <c r="A2" s="592" t="s">
        <v>1362</v>
      </c>
      <c r="B2" s="592"/>
      <c r="C2" s="592"/>
      <c r="D2" s="592"/>
      <c r="E2" s="592"/>
      <c r="F2" s="592"/>
      <c r="G2" s="592"/>
      <c r="H2" s="267"/>
      <c r="I2" s="267"/>
      <c r="J2" s="267"/>
      <c r="K2" s="267"/>
      <c r="L2" s="267"/>
      <c r="M2" s="267"/>
      <c r="N2" s="267"/>
      <c r="O2" s="267"/>
    </row>
    <row r="3" spans="1:15" s="6" customFormat="1" ht="20.25" customHeight="1" thickBot="1" x14ac:dyDescent="0.2"/>
    <row r="4" spans="1:15" ht="15" thickBot="1" x14ac:dyDescent="0.2">
      <c r="B4" s="599" t="s">
        <v>788</v>
      </c>
      <c r="C4" s="595" t="s">
        <v>992</v>
      </c>
      <c r="D4" s="597" t="s">
        <v>1113</v>
      </c>
      <c r="E4" s="593" t="s">
        <v>1114</v>
      </c>
      <c r="F4" s="594"/>
      <c r="G4" s="600" t="s">
        <v>1115</v>
      </c>
    </row>
    <row r="5" spans="1:15" ht="33.75" customHeight="1" thickBot="1" x14ac:dyDescent="0.2">
      <c r="B5" s="596"/>
      <c r="C5" s="596"/>
      <c r="D5" s="598"/>
      <c r="E5" s="174" t="s">
        <v>1116</v>
      </c>
      <c r="F5" s="175" t="s">
        <v>1117</v>
      </c>
      <c r="G5" s="601"/>
    </row>
    <row r="6" spans="1:15" x14ac:dyDescent="0.15">
      <c r="B6" s="141" t="s">
        <v>17</v>
      </c>
      <c r="C6" s="75">
        <f>SUMIFS('capacity data'!K:K,'capacity data'!A:A,B6,'capacity data'!E:E,"SPO")</f>
        <v>0</v>
      </c>
      <c r="D6" s="75">
        <f>SUMIFS('capacity data'!K:K,'capacity data'!E:E,"DMY",'capacity data'!A:A,B6)</f>
        <v>0</v>
      </c>
      <c r="E6" s="176">
        <f>SUM(C6:D6)</f>
        <v>0</v>
      </c>
      <c r="F6" s="177" t="e">
        <f>E6/G6</f>
        <v>#DIV/0!</v>
      </c>
      <c r="G6" s="144">
        <f>SUMIF('capacity data'!A:A,B6,'capacity data'!K:K)</f>
        <v>0</v>
      </c>
    </row>
    <row r="7" spans="1:15" x14ac:dyDescent="0.15">
      <c r="B7" s="141" t="s">
        <v>18</v>
      </c>
      <c r="C7" s="75">
        <f>SUMIFS('capacity data'!K:K,'capacity data'!A:A,B7,'capacity data'!E:E,"SPO")</f>
        <v>0</v>
      </c>
      <c r="D7" s="75">
        <f>SUMIFS('capacity data'!K:K,'capacity data'!E:E,"DMY",'capacity data'!A:A,B7)</f>
        <v>0</v>
      </c>
      <c r="E7" s="176">
        <f t="shared" ref="E7:E17" si="0">SUM(C7:D7)</f>
        <v>0</v>
      </c>
      <c r="F7" s="177" t="e">
        <f t="shared" ref="F7:F17" si="1">E7/G7</f>
        <v>#DIV/0!</v>
      </c>
      <c r="G7" s="144">
        <f>SUMIF('capacity data'!A:A,B7,'capacity data'!K:K)</f>
        <v>0</v>
      </c>
    </row>
    <row r="8" spans="1:15" x14ac:dyDescent="0.15">
      <c r="B8" s="141" t="s">
        <v>19</v>
      </c>
      <c r="C8" s="75">
        <f>SUMIFS('capacity data'!K:K,'capacity data'!A:A,B8,'capacity data'!E:E,"SPO")</f>
        <v>0</v>
      </c>
      <c r="D8" s="75">
        <f>SUMIFS('capacity data'!K:K,'capacity data'!E:E,"DMY",'capacity data'!A:A,B8)</f>
        <v>0</v>
      </c>
      <c r="E8" s="176">
        <f t="shared" si="0"/>
        <v>0</v>
      </c>
      <c r="F8" s="177" t="e">
        <f t="shared" si="1"/>
        <v>#DIV/0!</v>
      </c>
      <c r="G8" s="144">
        <f>SUMIF('capacity data'!A:A,B8,'capacity data'!K:K)</f>
        <v>0</v>
      </c>
    </row>
    <row r="9" spans="1:15" x14ac:dyDescent="0.15">
      <c r="B9" s="141" t="s">
        <v>20</v>
      </c>
      <c r="C9" s="75">
        <f>SUMIFS('capacity data'!K:K,'capacity data'!A:A,B9,'capacity data'!E:E,"SPO")</f>
        <v>0</v>
      </c>
      <c r="D9" s="75">
        <f>SUMIFS('capacity data'!K:K,'capacity data'!E:E,"DMY",'capacity data'!A:A,B9)</f>
        <v>0</v>
      </c>
      <c r="E9" s="176">
        <f t="shared" si="0"/>
        <v>0</v>
      </c>
      <c r="F9" s="177" t="e">
        <f t="shared" si="1"/>
        <v>#DIV/0!</v>
      </c>
      <c r="G9" s="144">
        <f>SUMIF('capacity data'!A:A,B9,'capacity data'!K:K)</f>
        <v>0</v>
      </c>
    </row>
    <row r="10" spans="1:15" x14ac:dyDescent="0.15">
      <c r="B10" s="141" t="s">
        <v>21</v>
      </c>
      <c r="C10" s="75">
        <f>SUMIFS('capacity data'!K:K,'capacity data'!A:A,B10,'capacity data'!E:E,"SPO")</f>
        <v>0</v>
      </c>
      <c r="D10" s="75">
        <f>SUMIFS('capacity data'!K:K,'capacity data'!E:E,"DMY",'capacity data'!A:A,B10)</f>
        <v>0</v>
      </c>
      <c r="E10" s="176">
        <f t="shared" si="0"/>
        <v>0</v>
      </c>
      <c r="F10" s="177" t="e">
        <f t="shared" si="1"/>
        <v>#DIV/0!</v>
      </c>
      <c r="G10" s="144">
        <f>SUMIF('capacity data'!A:A,B10,'capacity data'!K:K)</f>
        <v>0</v>
      </c>
    </row>
    <row r="11" spans="1:15" x14ac:dyDescent="0.15">
      <c r="B11" s="141" t="s">
        <v>22</v>
      </c>
      <c r="C11" s="75">
        <f>SUMIFS('capacity data'!K:K,'capacity data'!A:A,B11,'capacity data'!E:E,"SPO")</f>
        <v>0</v>
      </c>
      <c r="D11" s="75">
        <f>SUMIFS('capacity data'!K:K,'capacity data'!E:E,"DMY",'capacity data'!A:A,B11)</f>
        <v>0</v>
      </c>
      <c r="E11" s="176">
        <f t="shared" si="0"/>
        <v>0</v>
      </c>
      <c r="F11" s="177" t="e">
        <f t="shared" si="1"/>
        <v>#DIV/0!</v>
      </c>
      <c r="G11" s="144">
        <f>SUMIF('capacity data'!A:A,B11,'capacity data'!K:K)</f>
        <v>0</v>
      </c>
    </row>
    <row r="12" spans="1:15" x14ac:dyDescent="0.15">
      <c r="B12" s="141" t="s">
        <v>23</v>
      </c>
      <c r="C12" s="75">
        <f>SUMIFS('capacity data'!K:K,'capacity data'!A:A,B12,'capacity data'!E:E,"SPO")</f>
        <v>0</v>
      </c>
      <c r="D12" s="75">
        <f>SUMIFS('capacity data'!K:K,'capacity data'!E:E,"DMY",'capacity data'!A:A,B12)</f>
        <v>0</v>
      </c>
      <c r="E12" s="176">
        <f t="shared" si="0"/>
        <v>0</v>
      </c>
      <c r="F12" s="177" t="e">
        <f t="shared" si="1"/>
        <v>#DIV/0!</v>
      </c>
      <c r="G12" s="144">
        <f>SUMIF('capacity data'!A:A,B12,'capacity data'!K:K)</f>
        <v>0</v>
      </c>
    </row>
    <row r="13" spans="1:15" x14ac:dyDescent="0.15">
      <c r="B13" s="141" t="s">
        <v>24</v>
      </c>
      <c r="C13" s="75">
        <f>SUMIFS('capacity data'!K:K,'capacity data'!A:A,B13,'capacity data'!E:E,"SPO")</f>
        <v>0</v>
      </c>
      <c r="D13" s="75">
        <f>SUMIFS('capacity data'!K:K,'capacity data'!E:E,"DMY",'capacity data'!A:A,B13)</f>
        <v>0</v>
      </c>
      <c r="E13" s="176">
        <f t="shared" ref="E13" si="2">SUM(C13:D13)</f>
        <v>0</v>
      </c>
      <c r="F13" s="177" t="e">
        <f t="shared" ref="F13" si="3">E13/G13</f>
        <v>#DIV/0!</v>
      </c>
      <c r="G13" s="144">
        <f>SUMIF('capacity data'!A:A,B13,'capacity data'!K:K)</f>
        <v>0</v>
      </c>
    </row>
    <row r="14" spans="1:15" x14ac:dyDescent="0.15">
      <c r="B14" s="141" t="s">
        <v>25</v>
      </c>
      <c r="C14" s="75">
        <f>SUMIFS('capacity data'!K:K,'capacity data'!A:A,B14,'capacity data'!E:E,"SPO")</f>
        <v>0</v>
      </c>
      <c r="D14" s="75">
        <f>SUMIFS('capacity data'!K:K,'capacity data'!E:E,"DMY",'capacity data'!A:A,B14)</f>
        <v>0</v>
      </c>
      <c r="E14" s="176">
        <f t="shared" si="0"/>
        <v>0</v>
      </c>
      <c r="F14" s="177" t="e">
        <f t="shared" si="1"/>
        <v>#DIV/0!</v>
      </c>
      <c r="G14" s="144">
        <f>SUMIF('capacity data'!A:A,B14,'capacity data'!K:K)</f>
        <v>0</v>
      </c>
    </row>
    <row r="15" spans="1:15" x14ac:dyDescent="0.15">
      <c r="B15" s="141" t="s">
        <v>26</v>
      </c>
      <c r="C15" s="75">
        <f>SUMIFS('capacity data'!K:K,'capacity data'!A:A,B15,'capacity data'!E:E,"SPO")</f>
        <v>0</v>
      </c>
      <c r="D15" s="75">
        <f>SUMIFS('capacity data'!K:K,'capacity data'!E:E,"DMY",'capacity data'!A:A,B15)</f>
        <v>0</v>
      </c>
      <c r="E15" s="176">
        <f t="shared" si="0"/>
        <v>0</v>
      </c>
      <c r="F15" s="177" t="e">
        <f t="shared" si="1"/>
        <v>#DIV/0!</v>
      </c>
      <c r="G15" s="144">
        <f>SUMIF('capacity data'!A:A,B15,'capacity data'!K:K)</f>
        <v>0</v>
      </c>
    </row>
    <row r="16" spans="1:15" x14ac:dyDescent="0.15">
      <c r="B16" s="141" t="s">
        <v>27</v>
      </c>
      <c r="C16" s="75">
        <f>SUMIFS('capacity data'!K:K,'capacity data'!A:A,B16,'capacity data'!E:E,"SPO")</f>
        <v>0</v>
      </c>
      <c r="D16" s="75">
        <f>SUMIFS('capacity data'!K:K,'capacity data'!E:E,"DMY",'capacity data'!A:A,B16)</f>
        <v>0</v>
      </c>
      <c r="E16" s="176">
        <f t="shared" si="0"/>
        <v>0</v>
      </c>
      <c r="F16" s="177" t="e">
        <f t="shared" si="1"/>
        <v>#DIV/0!</v>
      </c>
      <c r="G16" s="144">
        <f>SUMIF('capacity data'!A:A,B16,'capacity data'!K:K)</f>
        <v>0</v>
      </c>
    </row>
    <row r="17" spans="1:7" x14ac:dyDescent="0.15">
      <c r="B17" s="141" t="s">
        <v>28</v>
      </c>
      <c r="C17" s="75">
        <f>SUMIFS('capacity data'!K:K,'capacity data'!A:A,B17,'capacity data'!E:E,"SPO")</f>
        <v>0</v>
      </c>
      <c r="D17" s="75">
        <f>SUMIFS('capacity data'!K:K,'capacity data'!E:E,"DMY",'capacity data'!A:A,B17)</f>
        <v>0</v>
      </c>
      <c r="E17" s="176">
        <f t="shared" si="0"/>
        <v>0</v>
      </c>
      <c r="F17" s="177" t="e">
        <f t="shared" si="1"/>
        <v>#DIV/0!</v>
      </c>
      <c r="G17" s="144">
        <f>SUMIF('capacity data'!A:A,B17,'capacity data'!K:K)</f>
        <v>0</v>
      </c>
    </row>
    <row r="18" spans="1:7" ht="15" thickBot="1" x14ac:dyDescent="0.2">
      <c r="B18" s="178" t="s">
        <v>798</v>
      </c>
      <c r="C18" s="110">
        <f>SUMIF('capacity data'!E:E,"SPO",'capacity data'!K:K)</f>
        <v>0</v>
      </c>
      <c r="D18" s="110">
        <f>SUMIF('capacity data'!E:E,"DMY",'capacity data'!K:K)</f>
        <v>0</v>
      </c>
      <c r="E18" s="179">
        <f t="shared" ref="E18" si="4">SUM(C18:D18)</f>
        <v>0</v>
      </c>
      <c r="F18" s="180" t="e">
        <f t="shared" ref="F18" si="5">E18/G18</f>
        <v>#DIV/0!</v>
      </c>
      <c r="G18" s="110">
        <f>SUM('capacity data'!K:K)</f>
        <v>0</v>
      </c>
    </row>
    <row r="19" spans="1:7" x14ac:dyDescent="0.15">
      <c r="C19"/>
      <c r="E19"/>
      <c r="F19"/>
      <c r="G19"/>
    </row>
    <row r="20" spans="1:7" x14ac:dyDescent="0.15">
      <c r="A20" s="31"/>
    </row>
    <row r="21" spans="1:7" x14ac:dyDescent="0.15">
      <c r="A21" s="31"/>
      <c r="C21" s="17"/>
      <c r="D21" s="17"/>
    </row>
    <row r="22" spans="1:7" x14ac:dyDescent="0.15">
      <c r="A22" s="31"/>
    </row>
    <row r="23" spans="1:7" x14ac:dyDescent="0.15">
      <c r="A23" s="31"/>
    </row>
    <row r="24" spans="1:7" x14ac:dyDescent="0.15">
      <c r="A24" s="31"/>
    </row>
    <row r="25" spans="1:7" x14ac:dyDescent="0.15">
      <c r="A25" s="31"/>
    </row>
    <row r="26" spans="1:7" x14ac:dyDescent="0.1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A3" sqref="A3"/>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564" t="s">
        <v>1118</v>
      </c>
      <c r="B1" s="564"/>
      <c r="C1" s="564"/>
      <c r="D1" s="564"/>
      <c r="E1" s="564"/>
      <c r="F1" s="564"/>
      <c r="G1" s="564"/>
      <c r="H1" s="564"/>
      <c r="I1" s="564"/>
      <c r="J1" s="564"/>
      <c r="K1" s="564"/>
      <c r="L1" s="564"/>
      <c r="M1" s="564"/>
      <c r="N1" s="564"/>
      <c r="O1" s="259"/>
    </row>
    <row r="2" spans="1:15" ht="24.75" customHeight="1" x14ac:dyDescent="0.15">
      <c r="A2" s="517" t="s">
        <v>1362</v>
      </c>
      <c r="B2" s="517"/>
      <c r="C2" s="517"/>
      <c r="D2" s="517"/>
      <c r="E2" s="517"/>
      <c r="F2" s="517"/>
      <c r="G2" s="517"/>
      <c r="H2" s="517"/>
      <c r="I2" s="517"/>
      <c r="J2" s="517"/>
      <c r="K2" s="517"/>
      <c r="L2" s="517"/>
      <c r="M2" s="517"/>
      <c r="N2" s="517"/>
      <c r="O2" s="517"/>
    </row>
    <row r="3" spans="1:15" ht="9" customHeight="1" x14ac:dyDescent="0.15">
      <c r="B3" s="18"/>
      <c r="C3" s="18"/>
      <c r="D3" s="19"/>
      <c r="E3" s="19"/>
      <c r="F3" s="19"/>
      <c r="G3" s="19"/>
      <c r="H3" s="19"/>
      <c r="I3" s="19"/>
      <c r="J3" s="19"/>
      <c r="K3" s="19"/>
      <c r="L3" s="19"/>
      <c r="M3" s="19"/>
    </row>
    <row r="4" spans="1:15" x14ac:dyDescent="0.15">
      <c r="B4" s="579" t="s">
        <v>1119</v>
      </c>
      <c r="C4" s="581"/>
      <c r="E4" s="614" t="s">
        <v>1120</v>
      </c>
      <c r="F4" s="615"/>
      <c r="G4" s="615"/>
      <c r="H4" s="610" t="s">
        <v>1121</v>
      </c>
      <c r="I4" s="268"/>
      <c r="J4" s="268"/>
      <c r="K4" s="268"/>
      <c r="L4" s="268"/>
      <c r="M4" s="268"/>
    </row>
    <row r="5" spans="1:15" ht="29.25" customHeight="1" x14ac:dyDescent="0.15">
      <c r="B5" s="606"/>
      <c r="C5" s="607"/>
      <c r="E5" s="606"/>
      <c r="F5" s="616"/>
      <c r="G5" s="616"/>
      <c r="H5" s="610"/>
      <c r="I5" s="268"/>
      <c r="J5" s="268"/>
      <c r="K5" s="268"/>
      <c r="L5" s="268"/>
      <c r="M5" s="268"/>
    </row>
    <row r="6" spans="1:15" x14ac:dyDescent="0.15">
      <c r="B6" s="62" t="str">
        <f>INDEX('reductions workings'!C:C,MATCH(C6,'reductions workings'!E:E,0))</f>
        <v>Long Term Sickness Absence</v>
      </c>
      <c r="C6" s="94">
        <f>LARGE('reductions workings'!E:E,1)</f>
        <v>8.9999999999999998E-4</v>
      </c>
      <c r="E6" s="602" t="str">
        <f>INDEX('reductions workings'!$G:$G,MATCH(G6,'reductions workings'!$H:$H,0))</f>
        <v>Adoption Leave</v>
      </c>
      <c r="F6" s="603"/>
      <c r="G6" s="191">
        <f>LARGE('reductions workings'!H:H,2)</f>
        <v>0</v>
      </c>
      <c r="H6" s="66" t="e">
        <f>G6/'reductions workings'!H55:$I$55</f>
        <v>#DIV/0!</v>
      </c>
      <c r="I6" s="111"/>
      <c r="J6" s="111"/>
      <c r="K6" s="111"/>
      <c r="L6" s="111"/>
      <c r="M6" s="111"/>
    </row>
    <row r="7" spans="1:15" x14ac:dyDescent="0.15">
      <c r="B7" s="62" t="str">
        <f>INDEX('reductions workings'!C:C,MATCH(C7,'reductions workings'!E:E,0))</f>
        <v>Long Term Sickness Absence</v>
      </c>
      <c r="C7" s="94">
        <f>LARGE('reductions workings'!E:E,2)</f>
        <v>8.9999999999999998E-4</v>
      </c>
      <c r="E7" s="602" t="str">
        <f>INDEX('reductions workings'!$G:$G,MATCH(G7,'reductions workings'!$H:$H,0))</f>
        <v>Adoption Leave</v>
      </c>
      <c r="F7" s="603"/>
      <c r="G7" s="191">
        <f>LARGE('reductions workings'!H:H,3)</f>
        <v>0</v>
      </c>
      <c r="H7" s="66" t="e">
        <f>G7/'reductions workings'!H$55:$I55</f>
        <v>#DIV/0!</v>
      </c>
      <c r="I7" s="111"/>
      <c r="J7" s="111"/>
      <c r="K7" s="111"/>
      <c r="L7" s="111"/>
      <c r="M7" s="111"/>
    </row>
    <row r="8" spans="1:15" x14ac:dyDescent="0.15">
      <c r="B8" s="62" t="str">
        <f>INDEX('reductions workings'!C:C,MATCH(C8,'reductions workings'!E:E,0))</f>
        <v>Left Service</v>
      </c>
      <c r="C8" s="94">
        <f>LARGE('reductions workings'!E:E,3)</f>
        <v>8.0000000000000004E-4</v>
      </c>
      <c r="E8" s="602" t="str">
        <f>INDEX('reductions workings'!$G:$G,MATCH(G8,'reductions workings'!$H:$H,0))</f>
        <v>Adoption Leave</v>
      </c>
      <c r="F8" s="603"/>
      <c r="G8" s="191">
        <f>LARGE('reductions workings'!H:H,4)</f>
        <v>0</v>
      </c>
      <c r="H8" s="66" t="e">
        <f>G8/'reductions workings'!H$55:$I55</f>
        <v>#DIV/0!</v>
      </c>
      <c r="I8" s="111"/>
      <c r="J8" s="111"/>
      <c r="K8" s="111"/>
      <c r="L8" s="111"/>
      <c r="M8" s="111"/>
    </row>
    <row r="9" spans="1:15" x14ac:dyDescent="0.15">
      <c r="B9" s="62" t="str">
        <f>INDEX('reductions workings'!C:C,MATCH(C9,'reductions workings'!E:E,0))</f>
        <v>Left Service</v>
      </c>
      <c r="C9" s="94">
        <f>LARGE('reductions workings'!E:E,4)</f>
        <v>8.0000000000000004E-4</v>
      </c>
      <c r="E9" s="602" t="str">
        <f>INDEX('reductions workings'!$G:$G,MATCH(G9,'reductions workings'!$H:$H,0))</f>
        <v>Adoption Leave</v>
      </c>
      <c r="F9" s="603"/>
      <c r="G9" s="191">
        <f>LARGE('reductions workings'!H:H,5)</f>
        <v>0</v>
      </c>
      <c r="H9" s="66" t="e">
        <f>G9/'reductions workings'!H$55:$I55</f>
        <v>#DIV/0!</v>
      </c>
      <c r="I9" s="111"/>
      <c r="J9" s="111"/>
      <c r="K9" s="111"/>
      <c r="L9" s="111"/>
      <c r="M9" s="111"/>
    </row>
    <row r="10" spans="1:15" x14ac:dyDescent="0.15">
      <c r="B10" s="62" t="str">
        <f>INDEX('reductions workings'!C:C,MATCH(C10,'reductions workings'!E:E,0))</f>
        <v>Groups (Induction)</v>
      </c>
      <c r="C10" s="94">
        <f>LARGE('reductions workings'!E:E,5)</f>
        <v>5.9999999999999995E-4</v>
      </c>
      <c r="E10" s="602" t="str">
        <f>INDEX('reductions workings'!$G:$G,MATCH(G10,'reductions workings'!$H:$H,0))</f>
        <v>Adoption Leave</v>
      </c>
      <c r="F10" s="603"/>
      <c r="G10" s="191">
        <f>LARGE('reductions workings'!H:H,6)</f>
        <v>0</v>
      </c>
      <c r="H10" s="66" t="e">
        <f>G10/'reductions workings'!H$55:$I55</f>
        <v>#DIV/0!</v>
      </c>
      <c r="I10" s="111"/>
      <c r="J10" s="111"/>
      <c r="K10" s="111"/>
      <c r="L10" s="111"/>
      <c r="M10" s="111"/>
    </row>
    <row r="11" spans="1:15" x14ac:dyDescent="0.15">
      <c r="B11" s="62" t="str">
        <f>INDEX('reductions workings'!C:C,MATCH(C11,'reductions workings'!E:E,0))</f>
        <v>Groups (Induction)</v>
      </c>
      <c r="C11" s="94">
        <f>LARGE('reductions workings'!E:E,6)</f>
        <v>5.9999999999999995E-4</v>
      </c>
      <c r="E11" s="602" t="str">
        <f>INDEX('reductions workings'!$G:$G,MATCH(G11,'reductions workings'!$H:$H,0))</f>
        <v>Adoption Leave</v>
      </c>
      <c r="F11" s="603"/>
      <c r="G11" s="191">
        <f>LARGE('reductions workings'!H:H,7)</f>
        <v>0</v>
      </c>
      <c r="H11" s="66" t="e">
        <f>G11/'reductions workings'!H$55:$I55</f>
        <v>#DIV/0!</v>
      </c>
      <c r="I11" s="111"/>
      <c r="J11" s="111"/>
      <c r="K11" s="111"/>
      <c r="L11" s="111"/>
      <c r="M11" s="111"/>
    </row>
    <row r="12" spans="1:15" x14ac:dyDescent="0.15">
      <c r="B12" s="62" t="str">
        <f>INDEX('reductions workings'!C:C,MATCH(C12,'reductions workings'!E:E,0))</f>
        <v>Groups (Group supervision)</v>
      </c>
      <c r="C12" s="94">
        <f>LARGE('reductions workings'!E:E,7)</f>
        <v>5.0000000000000001E-4</v>
      </c>
      <c r="E12" s="602" t="str">
        <f>INDEX('reductions workings'!$G:$G,MATCH(G12,'reductions workings'!$H:$H,0))</f>
        <v>Adoption Leave</v>
      </c>
      <c r="F12" s="603"/>
      <c r="G12" s="191">
        <f>LARGE('reductions workings'!H:H,8)</f>
        <v>0</v>
      </c>
      <c r="H12" s="66" t="e">
        <f>G12/'reductions workings'!H$55:$I55</f>
        <v>#DIV/0!</v>
      </c>
      <c r="I12" s="111"/>
      <c r="J12" s="111"/>
      <c r="K12" s="111"/>
      <c r="L12" s="111"/>
      <c r="M12" s="111"/>
    </row>
    <row r="13" spans="1:15" x14ac:dyDescent="0.15">
      <c r="B13" s="62" t="str">
        <f>INDEX('reductions workings'!C:C,MATCH(C13,'reductions workings'!E:E,0))</f>
        <v>Wellbeing/Work-life balance</v>
      </c>
      <c r="C13" s="94">
        <f>LARGE('reductions workings'!E:E,8)</f>
        <v>4.0999999999999999E-4</v>
      </c>
      <c r="E13" s="602" t="str">
        <f>INDEX('reductions workings'!$G:$G,MATCH(G13,'reductions workings'!$H:$H,0))</f>
        <v>Adoption Leave</v>
      </c>
      <c r="F13" s="603"/>
      <c r="G13" s="191">
        <f>LARGE('reductions workings'!H:H,9)</f>
        <v>0</v>
      </c>
      <c r="H13" s="66" t="e">
        <f>G13/'reductions workings'!H$55:$I55</f>
        <v>#DIV/0!</v>
      </c>
      <c r="I13" s="111"/>
      <c r="J13" s="111"/>
      <c r="K13" s="111"/>
      <c r="L13" s="111"/>
      <c r="M13" s="111"/>
    </row>
    <row r="14" spans="1:15" x14ac:dyDescent="0.15">
      <c r="B14" s="62" t="str">
        <f>INDEX('reductions workings'!C:C,MATCH(C14,'reductions workings'!E:E,0))</f>
        <v>Disability</v>
      </c>
      <c r="C14" s="94">
        <f>LARGE('reductions workings'!E:E,9)</f>
        <v>4.0000000000000002E-4</v>
      </c>
      <c r="E14" s="602" t="str">
        <f>INDEX('reductions workings'!$G:$G,MATCH(G14,'reductions workings'!$H:$H,0))</f>
        <v>Adoption Leave</v>
      </c>
      <c r="F14" s="603"/>
      <c r="G14" s="191">
        <f>LARGE('reductions workings'!H:H,10)</f>
        <v>0</v>
      </c>
      <c r="H14" s="66" t="e">
        <f>G14/'reductions workings'!H$55:$I55</f>
        <v>#DIV/0!</v>
      </c>
      <c r="I14" s="111"/>
      <c r="J14" s="111"/>
      <c r="K14" s="111"/>
      <c r="L14" s="111"/>
      <c r="M14" s="111"/>
    </row>
    <row r="15" spans="1:15" x14ac:dyDescent="0.15">
      <c r="B15" s="62" t="str">
        <f>INDEX('reductions workings'!C:C,MATCH(C15,'reductions workings'!E:E,0))</f>
        <v>VQ3</v>
      </c>
      <c r="C15" s="94">
        <f>LARGE('reductions workings'!E:E,10)</f>
        <v>3.8999999999999999E-4</v>
      </c>
      <c r="E15" s="602" t="str">
        <f>INDEX('reductions workings'!$G:$G,MATCH(G15,'reductions workings'!$H:$H,0))</f>
        <v>Adoption Leave</v>
      </c>
      <c r="F15" s="603"/>
      <c r="G15" s="191">
        <f>LARGE('reductions workings'!H:H,11)</f>
        <v>0</v>
      </c>
      <c r="H15" s="66" t="e">
        <f>G15/'reductions workings'!H$55:$I55</f>
        <v>#DIV/0!</v>
      </c>
      <c r="I15" s="111"/>
      <c r="J15" s="111"/>
      <c r="K15" s="111"/>
      <c r="L15" s="111"/>
      <c r="M15" s="111"/>
    </row>
    <row r="16" spans="1:15" x14ac:dyDescent="0.15">
      <c r="B16" s="62" t="str">
        <f>INDEX('reductions workings'!C:C,MATCH(C16,'reductions workings'!E:E,0))</f>
        <v>VQ3</v>
      </c>
      <c r="C16" s="94">
        <f>LARGE('reductions workings'!E:E,11)</f>
        <v>3.8999999999999999E-4</v>
      </c>
      <c r="E16" s="602" t="str">
        <f>INDEX('reductions workings'!$G:$G,MATCH(G16,'reductions workings'!$H:$H,0))</f>
        <v>Adoption Leave</v>
      </c>
      <c r="F16" s="603"/>
      <c r="G16" s="191">
        <f>LARGE('reductions workings'!H:H,12)</f>
        <v>0</v>
      </c>
      <c r="H16" s="66" t="e">
        <f>G16/'reductions workings'!H$55:$I55</f>
        <v>#DIV/0!</v>
      </c>
      <c r="I16" s="111"/>
      <c r="J16" s="111"/>
      <c r="K16" s="111"/>
      <c r="L16" s="111"/>
      <c r="M16" s="111"/>
    </row>
    <row r="17" spans="2:15" x14ac:dyDescent="0.15">
      <c r="B17" s="62" t="str">
        <f>INDEX('reductions workings'!C:C,MATCH(C17,'reductions workings'!E:E,0))</f>
        <v>Trade Union Facility Time</v>
      </c>
      <c r="C17" s="94">
        <f>LARGE('reductions workings'!E:E,12)</f>
        <v>3.8000000000000002E-4</v>
      </c>
      <c r="E17" s="602" t="str">
        <f>INDEX('reductions workings'!$G:$G,MATCH(G17,'reductions workings'!$H:$H,0))</f>
        <v>Adoption Leave</v>
      </c>
      <c r="F17" s="603"/>
      <c r="G17" s="191">
        <f>LARGE('reductions workings'!H:H,13)</f>
        <v>0</v>
      </c>
      <c r="H17" s="66" t="e">
        <f>G17/'reductions workings'!H$55:$I55</f>
        <v>#DIV/0!</v>
      </c>
      <c r="I17" s="111"/>
      <c r="J17" s="111"/>
      <c r="K17" s="111"/>
      <c r="L17" s="111"/>
      <c r="M17" s="111"/>
    </row>
    <row r="18" spans="2:15" x14ac:dyDescent="0.15">
      <c r="B18" s="62" t="str">
        <f>INDEX('reductions workings'!C:C,MATCH(C18,'reductions workings'!E:E,0))</f>
        <v>SPOC Lead</v>
      </c>
      <c r="C18" s="94">
        <f>LARGE('reductions workings'!E:E,13)</f>
        <v>3.6999999999999999E-4</v>
      </c>
      <c r="E18" s="602" t="str">
        <f>INDEX('reductions workings'!$G:$G,MATCH(G18,'reductions workings'!$H:$H,0))</f>
        <v>Adoption Leave</v>
      </c>
      <c r="F18" s="603"/>
      <c r="G18" s="191">
        <f>LARGE('reductions workings'!H:H,14)</f>
        <v>0</v>
      </c>
      <c r="H18" s="66" t="e">
        <f>G18/'reductions workings'!H$55:$I55</f>
        <v>#DIV/0!</v>
      </c>
      <c r="I18" s="111"/>
      <c r="J18" s="111"/>
      <c r="K18" s="111"/>
      <c r="L18" s="111"/>
      <c r="M18" s="111"/>
    </row>
    <row r="19" spans="2:15" x14ac:dyDescent="0.15">
      <c r="B19" s="62" t="str">
        <f>INDEX('reductions workings'!C:C,MATCH(C19,'reductions workings'!E:E,0))</f>
        <v>Split Role</v>
      </c>
      <c r="C19" s="94">
        <f>LARGE('reductions workings'!E:E,14)</f>
        <v>3.6000000000000002E-4</v>
      </c>
      <c r="E19" s="602" t="str">
        <f>INDEX('reductions workings'!$G:$G,MATCH(G19,'reductions workings'!$H:$H,0))</f>
        <v>Adoption Leave</v>
      </c>
      <c r="F19" s="603"/>
      <c r="G19" s="191">
        <f>LARGE('reductions workings'!H:H,15)</f>
        <v>0</v>
      </c>
      <c r="H19" s="66" t="e">
        <f>G19/'reductions workings'!H$55:$I55</f>
        <v>#DIV/0!</v>
      </c>
      <c r="I19" s="111"/>
      <c r="J19" s="111"/>
      <c r="K19" s="111"/>
      <c r="L19" s="111"/>
      <c r="M19" s="111"/>
    </row>
    <row r="20" spans="2:15" x14ac:dyDescent="0.15">
      <c r="B20" s="62" t="str">
        <f>INDEX('reductions workings'!C:C,MATCH(C20,'reductions workings'!E:E,0))</f>
        <v>Special Leave</v>
      </c>
      <c r="C20" s="94">
        <f>LARGE('reductions workings'!E:E,15)</f>
        <v>3.5E-4</v>
      </c>
      <c r="E20" s="602" t="str">
        <f>INDEX('reductions workings'!$G:$G,MATCH(G20,'reductions workings'!$H:$H,0))</f>
        <v>Adoption Leave</v>
      </c>
      <c r="F20" s="603"/>
      <c r="G20" s="191">
        <f>LARGE('reductions workings'!H:H,16)</f>
        <v>0</v>
      </c>
      <c r="H20" s="66" t="e">
        <f>G20/'reductions workings'!H$55:$I55</f>
        <v>#DIV/0!</v>
      </c>
      <c r="I20" s="111"/>
      <c r="J20" s="111"/>
      <c r="K20" s="111"/>
      <c r="L20" s="111"/>
      <c r="M20" s="111"/>
    </row>
    <row r="21" spans="2:15" ht="28" x14ac:dyDescent="0.15">
      <c r="B21" s="217" t="s">
        <v>1122</v>
      </c>
      <c r="C21" s="134">
        <f>SUM(C6:C20)</f>
        <v>8.1499999999999993E-3</v>
      </c>
      <c r="E21" s="613" t="s">
        <v>1123</v>
      </c>
      <c r="F21" s="603"/>
      <c r="G21" s="611">
        <f>SUM(G6:G20)</f>
        <v>0</v>
      </c>
      <c r="H21" s="612"/>
      <c r="I21" s="6"/>
      <c r="J21" s="6"/>
      <c r="K21" s="6"/>
      <c r="L21" s="6"/>
      <c r="M21" s="6"/>
    </row>
    <row r="22" spans="2:15" ht="28" x14ac:dyDescent="0.15">
      <c r="B22" s="218" t="s">
        <v>1124</v>
      </c>
      <c r="C22" s="135">
        <f>COUNTIF('reductions data'!K:K,"ACTIVE")</f>
        <v>0</v>
      </c>
      <c r="E22" s="608" t="s">
        <v>1125</v>
      </c>
      <c r="F22" s="609"/>
      <c r="G22" s="611">
        <f>LARGE('reductions workings'!H:H,1)</f>
        <v>0</v>
      </c>
      <c r="H22" s="612"/>
      <c r="I22" s="6"/>
      <c r="J22" s="6"/>
      <c r="K22" s="6"/>
      <c r="L22" s="6"/>
      <c r="M22" s="6"/>
    </row>
    <row r="23" spans="2:15" ht="16" x14ac:dyDescent="0.2">
      <c r="B23" s="1"/>
      <c r="C23" s="1"/>
    </row>
    <row r="24" spans="2:15" ht="20" x14ac:dyDescent="0.2">
      <c r="C24" s="604" t="s">
        <v>1126</v>
      </c>
      <c r="D24" s="605"/>
      <c r="E24" s="605"/>
      <c r="F24" s="605"/>
      <c r="G24" s="605"/>
      <c r="H24" s="605"/>
      <c r="I24" s="605"/>
      <c r="J24" s="605"/>
      <c r="K24" s="605"/>
      <c r="L24" s="605"/>
      <c r="M24" s="605"/>
      <c r="N24" s="605"/>
      <c r="O24" s="605"/>
    </row>
    <row r="25" spans="2:15" ht="40.5" customHeight="1" x14ac:dyDescent="0.15">
      <c r="B25" s="76" t="s">
        <v>839</v>
      </c>
      <c r="C25" s="76" t="s">
        <v>17</v>
      </c>
      <c r="D25" s="76" t="s">
        <v>18</v>
      </c>
      <c r="E25" s="76" t="s">
        <v>19</v>
      </c>
      <c r="F25" s="76" t="s">
        <v>20</v>
      </c>
      <c r="G25" s="76" t="s">
        <v>21</v>
      </c>
      <c r="H25" s="76" t="s">
        <v>22</v>
      </c>
      <c r="I25" s="76" t="s">
        <v>23</v>
      </c>
      <c r="J25" s="76" t="s">
        <v>24</v>
      </c>
      <c r="K25" s="76" t="s">
        <v>25</v>
      </c>
      <c r="L25" s="76" t="s">
        <v>26</v>
      </c>
      <c r="M25" s="76" t="s">
        <v>27</v>
      </c>
      <c r="N25" s="76" t="s">
        <v>28</v>
      </c>
      <c r="O25" s="76" t="s">
        <v>1127</v>
      </c>
    </row>
    <row r="26" spans="2:15" x14ac:dyDescent="0.15">
      <c r="B26" s="112" t="s">
        <v>842</v>
      </c>
      <c r="C26" s="62">
        <f>COUNTIFS('reductions data'!G:G,'reasons for reduction division'!B26,'reductions data'!A:A,$C$25)</f>
        <v>0</v>
      </c>
      <c r="D26" s="62">
        <f>COUNTIFS('reductions data'!G:G,'reasons for reduction division'!B26,'reductions data'!A:A,$D$25)</f>
        <v>0</v>
      </c>
      <c r="E26" s="62">
        <f>COUNTIFS('reductions data'!G:G,'reasons for reduction division'!B26,'reductions data'!A:A,$E$25)</f>
        <v>0</v>
      </c>
      <c r="F26" s="62">
        <f>COUNTIFS('reductions data'!G:G,'reasons for reduction division'!B26,'reductions data'!A:A,$F$25)</f>
        <v>0</v>
      </c>
      <c r="G26" s="62">
        <f>COUNTIFS('reductions data'!G:G,'reasons for reduction division'!B26,'reductions data'!A:A,$G$25)</f>
        <v>0</v>
      </c>
      <c r="H26" s="62">
        <f>COUNTIFS('reductions data'!G:G,'reasons for reduction division'!B26,'reductions data'!A:A,$H$25)</f>
        <v>0</v>
      </c>
      <c r="I26" s="62">
        <f>COUNTIFS('reductions data'!G:G,'reasons for reduction division'!B26,'reductions data'!A:A,$I$25)</f>
        <v>0</v>
      </c>
      <c r="J26" s="62">
        <f>COUNTIFS('reductions data'!G:G,'reasons for reduction division'!B26,'reductions data'!A:A,$J$25)</f>
        <v>0</v>
      </c>
      <c r="K26" s="62">
        <f>COUNTIFS('reductions data'!G:G,'reasons for reduction division'!B26,'reductions data'!A:A,$K$25)</f>
        <v>0</v>
      </c>
      <c r="L26" s="62">
        <f>COUNTIFS('reductions data'!G:G,'reasons for reduction division'!B26,'reductions data'!A:A,$L$25)</f>
        <v>0</v>
      </c>
      <c r="M26" s="62">
        <f>COUNTIFS('reductions data'!G:G,'reasons for reduction division'!B26,'reductions data'!A:A,$M$25)</f>
        <v>0</v>
      </c>
      <c r="N26" s="62">
        <f>COUNTIFS('reductions data'!G:G,'reasons for reduction division'!B26,'reductions data'!A:A,$N$25)</f>
        <v>0</v>
      </c>
      <c r="O26" s="105">
        <f>COUNTIF('reductions data'!G:G,'reasons for reduction division'!B26)</f>
        <v>0</v>
      </c>
    </row>
    <row r="27" spans="2:15" x14ac:dyDescent="0.15">
      <c r="B27" s="113" t="s">
        <v>844</v>
      </c>
      <c r="C27" s="62">
        <f>COUNTIFS('reductions data'!G:G,'reasons for reduction division'!B27,'reductions data'!A:A,$C$25)</f>
        <v>0</v>
      </c>
      <c r="D27" s="62">
        <f>COUNTIFS('reductions data'!G:G,'reasons for reduction division'!B27,'reductions data'!A:A,$D$25)</f>
        <v>0</v>
      </c>
      <c r="E27" s="62">
        <f>COUNTIFS('reductions data'!G:G,'reasons for reduction division'!B27,'reductions data'!A:A,$E$25)</f>
        <v>0</v>
      </c>
      <c r="F27" s="62">
        <f>COUNTIFS('reductions data'!G:G,'reasons for reduction division'!B27,'reductions data'!A:A,$F$25)</f>
        <v>0</v>
      </c>
      <c r="G27" s="62">
        <f>COUNTIFS('reductions data'!G:G,'reasons for reduction division'!B27,'reductions data'!A:A,$G$25)</f>
        <v>0</v>
      </c>
      <c r="H27" s="62">
        <f>COUNTIFS('reductions data'!G:G,'reasons for reduction division'!B27,'reductions data'!A:A,$H$25)</f>
        <v>0</v>
      </c>
      <c r="I27" s="62">
        <f>COUNTIFS('reductions data'!G:G,'reasons for reduction division'!B27,'reductions data'!A:A,$I$25)</f>
        <v>0</v>
      </c>
      <c r="J27" s="62">
        <f>COUNTIFS('reductions data'!G:G,'reasons for reduction division'!B27,'reductions data'!A:A,$J$25)</f>
        <v>0</v>
      </c>
      <c r="K27" s="62">
        <f>COUNTIFS('reductions data'!G:G,'reasons for reduction division'!B27,'reductions data'!A:A,$K$25)</f>
        <v>0</v>
      </c>
      <c r="L27" s="62">
        <f>COUNTIFS('reductions data'!G:G,'reasons for reduction division'!B27,'reductions data'!A:A,$L$25)</f>
        <v>0</v>
      </c>
      <c r="M27" s="62">
        <f>COUNTIFS('reductions data'!G:G,'reasons for reduction division'!B27,'reductions data'!A:A,$M$25)</f>
        <v>0</v>
      </c>
      <c r="N27" s="62">
        <f>COUNTIFS('reductions data'!G:G,'reasons for reduction division'!B27,'reductions data'!A:A,$N$25)</f>
        <v>0</v>
      </c>
      <c r="O27" s="105">
        <f>COUNTIF('reductions data'!G:G,'reasons for reduction division'!B27)</f>
        <v>0</v>
      </c>
    </row>
    <row r="28" spans="2:15" x14ac:dyDescent="0.15">
      <c r="B28" s="113" t="s">
        <v>843</v>
      </c>
      <c r="C28" s="62">
        <f>COUNTIFS('reductions data'!G:G,'reasons for reduction division'!B28,'reductions data'!A:A,$C$25)</f>
        <v>0</v>
      </c>
      <c r="D28" s="62">
        <f>COUNTIFS('reductions data'!G:G,'reasons for reduction division'!B28,'reductions data'!A:A,$D$25)</f>
        <v>0</v>
      </c>
      <c r="E28" s="62">
        <f>COUNTIFS('reductions data'!G:G,'reasons for reduction division'!B28,'reductions data'!A:A,$E$25)</f>
        <v>0</v>
      </c>
      <c r="F28" s="62">
        <f>COUNTIFS('reductions data'!G:G,'reasons for reduction division'!B28,'reductions data'!A:A,$F$25)</f>
        <v>0</v>
      </c>
      <c r="G28" s="62">
        <f>COUNTIFS('reductions data'!G:G,'reasons for reduction division'!B28,'reductions data'!A:A,$G$25)</f>
        <v>0</v>
      </c>
      <c r="H28" s="62">
        <f>COUNTIFS('reductions data'!G:G,'reasons for reduction division'!B28,'reductions data'!A:A,$H$25)</f>
        <v>0</v>
      </c>
      <c r="I28" s="62">
        <f>COUNTIFS('reductions data'!G:G,'reasons for reduction division'!B28,'reductions data'!A:A,$I$25)</f>
        <v>0</v>
      </c>
      <c r="J28" s="62">
        <f>COUNTIFS('reductions data'!G:G,'reasons for reduction division'!B28,'reductions data'!A:A,$J$25)</f>
        <v>0</v>
      </c>
      <c r="K28" s="62">
        <f>COUNTIFS('reductions data'!G:G,'reasons for reduction division'!B28,'reductions data'!A:A,$K$25)</f>
        <v>0</v>
      </c>
      <c r="L28" s="62">
        <f>COUNTIFS('reductions data'!G:G,'reasons for reduction division'!B28,'reductions data'!A:A,$L$25)</f>
        <v>0</v>
      </c>
      <c r="M28" s="62">
        <f>COUNTIFS('reductions data'!G:G,'reasons for reduction division'!B28,'reductions data'!A:A,$M$25)</f>
        <v>0</v>
      </c>
      <c r="N28" s="62">
        <f>COUNTIFS('reductions data'!G:G,'reasons for reduction division'!B28,'reductions data'!A:A,$N$25)</f>
        <v>0</v>
      </c>
      <c r="O28" s="105">
        <f>COUNTIF('reductions data'!G:G,'reasons for reduction division'!B28)</f>
        <v>0</v>
      </c>
    </row>
    <row r="29" spans="2:15" x14ac:dyDescent="0.15">
      <c r="B29" s="113" t="s">
        <v>845</v>
      </c>
      <c r="C29" s="62">
        <f>COUNTIFS('reductions data'!G:G,'reasons for reduction division'!B29,'reductions data'!A:A,$C$25)</f>
        <v>0</v>
      </c>
      <c r="D29" s="62">
        <f>COUNTIFS('reductions data'!G:G,'reasons for reduction division'!B29,'reductions data'!A:A,$D$25)</f>
        <v>0</v>
      </c>
      <c r="E29" s="62">
        <f>COUNTIFS('reductions data'!G:G,'reasons for reduction division'!B29,'reductions data'!A:A,$E$25)</f>
        <v>0</v>
      </c>
      <c r="F29" s="62">
        <f>COUNTIFS('reductions data'!G:G,'reasons for reduction division'!B29,'reductions data'!A:A,$F$25)</f>
        <v>0</v>
      </c>
      <c r="G29" s="62">
        <f>COUNTIFS('reductions data'!G:G,'reasons for reduction division'!B29,'reductions data'!A:A,$G$25)</f>
        <v>0</v>
      </c>
      <c r="H29" s="62">
        <f>COUNTIFS('reductions data'!G:G,'reasons for reduction division'!B29,'reductions data'!A:A,$H$25)</f>
        <v>0</v>
      </c>
      <c r="I29" s="62">
        <f>COUNTIFS('reductions data'!G:G,'reasons for reduction division'!B29,'reductions data'!A:A,$I$25)</f>
        <v>0</v>
      </c>
      <c r="J29" s="62">
        <f>COUNTIFS('reductions data'!G:G,'reasons for reduction division'!B29,'reductions data'!A:A,$J$25)</f>
        <v>0</v>
      </c>
      <c r="K29" s="62">
        <f>COUNTIFS('reductions data'!G:G,'reasons for reduction division'!B29,'reductions data'!A:A,$K$25)</f>
        <v>0</v>
      </c>
      <c r="L29" s="62">
        <f>COUNTIFS('reductions data'!G:G,'reasons for reduction division'!B29,'reductions data'!A:A,$L$25)</f>
        <v>0</v>
      </c>
      <c r="M29" s="62">
        <f>COUNTIFS('reductions data'!G:G,'reasons for reduction division'!B29,'reductions data'!A:A,$M$25)</f>
        <v>0</v>
      </c>
      <c r="N29" s="62">
        <f>COUNTIFS('reductions data'!G:G,'reasons for reduction division'!B29,'reductions data'!A:A,$N$25)</f>
        <v>0</v>
      </c>
      <c r="O29" s="105">
        <f>COUNTIF('reductions data'!G:G,'reasons for reduction division'!B29)</f>
        <v>0</v>
      </c>
    </row>
    <row r="30" spans="2:15" x14ac:dyDescent="0.15">
      <c r="B30" s="113" t="s">
        <v>846</v>
      </c>
      <c r="C30" s="62">
        <f>COUNTIFS('reductions data'!G:G,'reasons for reduction division'!B30,'reductions data'!A:A,$C$25)</f>
        <v>0</v>
      </c>
      <c r="D30" s="62">
        <f>COUNTIFS('reductions data'!G:G,'reasons for reduction division'!B30,'reductions data'!A:A,$D$25)</f>
        <v>0</v>
      </c>
      <c r="E30" s="62">
        <f>COUNTIFS('reductions data'!G:G,'reasons for reduction division'!B30,'reductions data'!A:A,$E$25)</f>
        <v>0</v>
      </c>
      <c r="F30" s="62">
        <f>COUNTIFS('reductions data'!G:G,'reasons for reduction division'!B30,'reductions data'!A:A,$F$25)</f>
        <v>0</v>
      </c>
      <c r="G30" s="62">
        <f>COUNTIFS('reductions data'!G:G,'reasons for reduction division'!B30,'reductions data'!A:A,$G$25)</f>
        <v>0</v>
      </c>
      <c r="H30" s="62">
        <f>COUNTIFS('reductions data'!G:G,'reasons for reduction division'!B30,'reductions data'!A:A,$H$25)</f>
        <v>0</v>
      </c>
      <c r="I30" s="62">
        <f>COUNTIFS('reductions data'!G:G,'reasons for reduction division'!B30,'reductions data'!A:A,$I$25)</f>
        <v>0</v>
      </c>
      <c r="J30" s="62">
        <f>COUNTIFS('reductions data'!G:G,'reasons for reduction division'!B30,'reductions data'!A:A,$J$25)</f>
        <v>0</v>
      </c>
      <c r="K30" s="62">
        <f>COUNTIFS('reductions data'!G:G,'reasons for reduction division'!B30,'reductions data'!A:A,$K$25)</f>
        <v>0</v>
      </c>
      <c r="L30" s="62">
        <f>COUNTIFS('reductions data'!G:G,'reasons for reduction division'!B30,'reductions data'!A:A,$L$25)</f>
        <v>0</v>
      </c>
      <c r="M30" s="62">
        <f>COUNTIFS('reductions data'!G:G,'reasons for reduction division'!B30,'reductions data'!A:A,$M$25)</f>
        <v>0</v>
      </c>
      <c r="N30" s="62">
        <f>COUNTIFS('reductions data'!G:G,'reasons for reduction division'!B30,'reductions data'!A:A,$N$25)</f>
        <v>0</v>
      </c>
      <c r="O30" s="105">
        <f>COUNTIF('reductions data'!G:G,'reasons for reduction division'!B30)</f>
        <v>0</v>
      </c>
    </row>
    <row r="31" spans="2:15" ht="15" customHeight="1" x14ac:dyDescent="0.15">
      <c r="B31" s="113" t="s">
        <v>847</v>
      </c>
      <c r="C31" s="62">
        <f>COUNTIFS('reductions data'!G:G,'reasons for reduction division'!B31,'reductions data'!A:A,$C$25)</f>
        <v>0</v>
      </c>
      <c r="D31" s="62">
        <f>COUNTIFS('reductions data'!G:G,'reasons for reduction division'!B31,'reductions data'!A:A,$D$25)</f>
        <v>0</v>
      </c>
      <c r="E31" s="62">
        <f>COUNTIFS('reductions data'!G:G,'reasons for reduction division'!B31,'reductions data'!A:A,$E$25)</f>
        <v>0</v>
      </c>
      <c r="F31" s="62">
        <f>COUNTIFS('reductions data'!G:G,'reasons for reduction division'!B31,'reductions data'!A:A,$F$25)</f>
        <v>0</v>
      </c>
      <c r="G31" s="62">
        <f>COUNTIFS('reductions data'!G:G,'reasons for reduction division'!B31,'reductions data'!A:A,$G$25)</f>
        <v>0</v>
      </c>
      <c r="H31" s="62">
        <f>COUNTIFS('reductions data'!G:G,'reasons for reduction division'!B31,'reductions data'!A:A,$H$25)</f>
        <v>0</v>
      </c>
      <c r="I31" s="62">
        <f>COUNTIFS('reductions data'!G:G,'reasons for reduction division'!B31,'reductions data'!A:A,$I$25)</f>
        <v>0</v>
      </c>
      <c r="J31" s="62">
        <f>COUNTIFS('reductions data'!G:G,'reasons for reduction division'!B31,'reductions data'!A:A,$J$25)</f>
        <v>0</v>
      </c>
      <c r="K31" s="62">
        <f>COUNTIFS('reductions data'!G:G,'reasons for reduction division'!B31,'reductions data'!A:A,$K$25)</f>
        <v>0</v>
      </c>
      <c r="L31" s="62">
        <f>COUNTIFS('reductions data'!G:G,'reasons for reduction division'!B31,'reductions data'!A:A,$L$25)</f>
        <v>0</v>
      </c>
      <c r="M31" s="62">
        <f>COUNTIFS('reductions data'!G:G,'reasons for reduction division'!B31,'reductions data'!A:A,$M$25)</f>
        <v>0</v>
      </c>
      <c r="N31" s="62">
        <f>COUNTIFS('reductions data'!G:G,'reasons for reduction division'!B31,'reductions data'!A:A,$N$25)</f>
        <v>0</v>
      </c>
      <c r="O31" s="105">
        <f>COUNTIF('reductions data'!G:G,'reasons for reduction division'!B31)</f>
        <v>0</v>
      </c>
    </row>
    <row r="32" spans="2:15" ht="15" customHeight="1" x14ac:dyDescent="0.15">
      <c r="B32" s="113" t="s">
        <v>848</v>
      </c>
      <c r="C32" s="62">
        <f>COUNTIFS('reductions data'!G:G,'reasons for reduction division'!B32,'reductions data'!A:A,$C$25)</f>
        <v>0</v>
      </c>
      <c r="D32" s="62">
        <f>COUNTIFS('reductions data'!G:G,'reasons for reduction division'!B32,'reductions data'!A:A,$D$25)</f>
        <v>0</v>
      </c>
      <c r="E32" s="62">
        <f>COUNTIFS('reductions data'!G:G,'reasons for reduction division'!B32,'reductions data'!A:A,$E$25)</f>
        <v>0</v>
      </c>
      <c r="F32" s="62">
        <f>COUNTIFS('reductions data'!G:G,'reasons for reduction division'!B32,'reductions data'!A:A,$F$25)</f>
        <v>0</v>
      </c>
      <c r="G32" s="62">
        <f>COUNTIFS('reductions data'!G:G,'reasons for reduction division'!B32,'reductions data'!A:A,$G$25)</f>
        <v>0</v>
      </c>
      <c r="H32" s="62">
        <f>COUNTIFS('reductions data'!G:G,'reasons for reduction division'!B32,'reductions data'!A:A,$H$25)</f>
        <v>0</v>
      </c>
      <c r="I32" s="62">
        <f>COUNTIFS('reductions data'!G:G,'reasons for reduction division'!B32,'reductions data'!A:A,$I$25)</f>
        <v>0</v>
      </c>
      <c r="J32" s="62">
        <f>COUNTIFS('reductions data'!G:G,'reasons for reduction division'!B32,'reductions data'!A:A,$J$25)</f>
        <v>0</v>
      </c>
      <c r="K32" s="62">
        <f>COUNTIFS('reductions data'!G:G,'reasons for reduction division'!B32,'reductions data'!A:A,$K$25)</f>
        <v>0</v>
      </c>
      <c r="L32" s="62">
        <f>COUNTIFS('reductions data'!G:G,'reasons for reduction division'!B32,'reductions data'!A:A,$L$25)</f>
        <v>0</v>
      </c>
      <c r="M32" s="62">
        <f>COUNTIFS('reductions data'!G:G,'reasons for reduction division'!B32,'reductions data'!A:A,$M$25)</f>
        <v>0</v>
      </c>
      <c r="N32" s="62">
        <f>COUNTIFS('reductions data'!G:G,'reasons for reduction division'!B32,'reductions data'!A:A,$N$25)</f>
        <v>0</v>
      </c>
      <c r="O32" s="105">
        <f>COUNTIF('reductions data'!G:G,'reasons for reduction division'!B32)</f>
        <v>0</v>
      </c>
    </row>
    <row r="33" spans="2:15" x14ac:dyDescent="0.15">
      <c r="B33" s="113" t="s">
        <v>1204</v>
      </c>
      <c r="C33" s="62">
        <f>COUNTIFS('reductions data'!G:G,'reasons for reduction division'!B34,'reductions data'!A:A,$C$25)</f>
        <v>0</v>
      </c>
      <c r="D33" s="62">
        <f>COUNTIFS('reductions data'!G:G,'reasons for reduction division'!B34,'reductions data'!A:A,$D$25)</f>
        <v>0</v>
      </c>
      <c r="E33" s="62">
        <f>COUNTIFS('reductions data'!G:G,'reasons for reduction division'!B34,'reductions data'!A:A,$E$25)</f>
        <v>0</v>
      </c>
      <c r="F33" s="62">
        <f>COUNTIFS('reductions data'!G:G,'reasons for reduction division'!B33,'reductions data'!A:A,$F$25)</f>
        <v>0</v>
      </c>
      <c r="G33" s="62">
        <f>COUNTIFS('reductions data'!G:G,'reasons for reduction division'!B33,'reductions data'!A:A,$G$25)</f>
        <v>0</v>
      </c>
      <c r="H33" s="62">
        <f>COUNTIFS('reductions data'!G:G,'reasons for reduction division'!B33,'reductions data'!A:A,$H$25)</f>
        <v>0</v>
      </c>
      <c r="I33" s="62">
        <f>COUNTIFS('reductions data'!G:G,'reasons for reduction division'!B33,'reductions data'!A:A,$I$25)</f>
        <v>0</v>
      </c>
      <c r="J33" s="62">
        <f>COUNTIFS('reductions data'!G:G,'reasons for reduction division'!B33,'reductions data'!A:A,$J$25)</f>
        <v>0</v>
      </c>
      <c r="K33" s="62">
        <f>COUNTIFS('reductions data'!G:G,'reasons for reduction division'!B33,'reductions data'!A:A,$K$25)</f>
        <v>0</v>
      </c>
      <c r="L33" s="62">
        <f>COUNTIFS('reductions data'!G:G,'reasons for reduction division'!B33,'reductions data'!A:A,$L$25)</f>
        <v>0</v>
      </c>
      <c r="M33" s="62">
        <f>COUNTIFS('reductions data'!G:G,'reasons for reduction division'!B33,'reductions data'!A:A,$M$25)</f>
        <v>0</v>
      </c>
      <c r="N33" s="62">
        <f>COUNTIFS('reductions data'!G:G,'reasons for reduction division'!B33,'reductions data'!A:A,$N$25)</f>
        <v>0</v>
      </c>
      <c r="O33" s="105">
        <f>COUNTIF('reductions data'!G:G,'reasons for reduction division'!B33)</f>
        <v>0</v>
      </c>
    </row>
    <row r="34" spans="2:15" x14ac:dyDescent="0.15">
      <c r="B34" s="113" t="s">
        <v>849</v>
      </c>
      <c r="C34" s="62">
        <f>COUNTIFS('reductions data'!G:G,'reasons for reduction division'!B33,'reductions data'!A:A,$C$25)</f>
        <v>0</v>
      </c>
      <c r="D34" s="62">
        <f>COUNTIFS('reductions data'!G:G,'reasons for reduction division'!B33,'reductions data'!A:A,$D$25)</f>
        <v>0</v>
      </c>
      <c r="E34" s="62">
        <f>COUNTIFS('reductions data'!G:G,'reasons for reduction division'!B33,'reductions data'!A:A,$E$25)</f>
        <v>0</v>
      </c>
      <c r="F34" s="62">
        <f>COUNTIFS('reductions data'!G:G,'reasons for reduction division'!B34,'reductions data'!A:A,$F$25)</f>
        <v>0</v>
      </c>
      <c r="G34" s="62">
        <f>COUNTIFS('reductions data'!G:G,'reasons for reduction division'!B34,'reductions data'!A:A,$G$25)</f>
        <v>0</v>
      </c>
      <c r="H34" s="62">
        <f>COUNTIFS('reductions data'!G:G,'reasons for reduction division'!B34,'reductions data'!A:A,$H$25)</f>
        <v>0</v>
      </c>
      <c r="I34" s="62">
        <f>COUNTIFS('reductions data'!G:G,'reasons for reduction division'!B34,'reductions data'!A:A,$I$25)</f>
        <v>0</v>
      </c>
      <c r="J34" s="62">
        <f>COUNTIFS('reductions data'!G:G,'reasons for reduction division'!B34,'reductions data'!A:A,$J$25)</f>
        <v>0</v>
      </c>
      <c r="K34" s="62">
        <f>COUNTIFS('reductions data'!G:G,'reasons for reduction division'!B34,'reductions data'!A:A,$K$25)</f>
        <v>0</v>
      </c>
      <c r="L34" s="62">
        <f>COUNTIFS('reductions data'!G:G,'reasons for reduction division'!B34,'reductions data'!A:A,$L$25)</f>
        <v>0</v>
      </c>
      <c r="M34" s="62">
        <f>COUNTIFS('reductions data'!G:G,'reasons for reduction division'!B34,'reductions data'!A:A,$M$25)</f>
        <v>0</v>
      </c>
      <c r="N34" s="62">
        <f>COUNTIFS('reductions data'!G:G,'reasons for reduction division'!B34,'reductions data'!A:A,$N$25)</f>
        <v>0</v>
      </c>
      <c r="O34" s="105">
        <f>COUNTIF('reductions data'!G:G,'reasons for reduction division'!B34)</f>
        <v>0</v>
      </c>
    </row>
    <row r="35" spans="2:15" x14ac:dyDescent="0.15">
      <c r="B35" s="113" t="s">
        <v>850</v>
      </c>
      <c r="C35" s="62">
        <f>COUNTIFS('reductions data'!G:G,'reasons for reduction division'!B35,'reductions data'!A:A,$C$25)</f>
        <v>0</v>
      </c>
      <c r="D35" s="62">
        <f>COUNTIFS('reductions data'!G:G,'reasons for reduction division'!B35,'reductions data'!A:A,$D$25)</f>
        <v>0</v>
      </c>
      <c r="E35" s="62">
        <f>COUNTIFS('reductions data'!G:G,'reasons for reduction division'!B35,'reductions data'!A:A,$E$25)</f>
        <v>0</v>
      </c>
      <c r="F35" s="62">
        <f>COUNTIFS('reductions data'!G:G,'reasons for reduction division'!B35,'reductions data'!A:A,$F$25)</f>
        <v>0</v>
      </c>
      <c r="G35" s="62">
        <f>COUNTIFS('reductions data'!G:G,'reasons for reduction division'!B35,'reductions data'!A:A,$G$25)</f>
        <v>0</v>
      </c>
      <c r="H35" s="62">
        <f>COUNTIFS('reductions data'!G:G,'reasons for reduction division'!B35,'reductions data'!A:A,$H$25)</f>
        <v>0</v>
      </c>
      <c r="I35" s="62">
        <f>COUNTIFS('reductions data'!G:G,'reasons for reduction division'!B35,'reductions data'!A:A,$I$25)</f>
        <v>0</v>
      </c>
      <c r="J35" s="62">
        <f>COUNTIFS('reductions data'!G:G,'reasons for reduction division'!B35,'reductions data'!A:A,$J$25)</f>
        <v>0</v>
      </c>
      <c r="K35" s="62">
        <f>COUNTIFS('reductions data'!G:G,'reasons for reduction division'!B35,'reductions data'!A:A,$K$25)</f>
        <v>0</v>
      </c>
      <c r="L35" s="62">
        <f>COUNTIFS('reductions data'!G:G,'reasons for reduction division'!B35,'reductions data'!A:A,$L$25)</f>
        <v>0</v>
      </c>
      <c r="M35" s="62">
        <f>COUNTIFS('reductions data'!G:G,'reasons for reduction division'!B35,'reductions data'!A:A,$M$25)</f>
        <v>0</v>
      </c>
      <c r="N35" s="62">
        <f>COUNTIFS('reductions data'!G:G,'reasons for reduction division'!B35,'reductions data'!A:A,$N$25)</f>
        <v>0</v>
      </c>
      <c r="O35" s="105">
        <f>COUNTIF('reductions data'!G:G,'reasons for reduction division'!B35)</f>
        <v>0</v>
      </c>
    </row>
    <row r="36" spans="2:15" x14ac:dyDescent="0.15">
      <c r="B36" s="113" t="s">
        <v>851</v>
      </c>
      <c r="C36" s="62">
        <f>COUNTIFS('reductions data'!G:G,'reasons for reduction division'!B36,'reductions data'!A:A,$C$25)</f>
        <v>0</v>
      </c>
      <c r="D36" s="62">
        <f>COUNTIFS('reductions data'!G:G,'reasons for reduction division'!B36,'reductions data'!A:A,$D$25)</f>
        <v>0</v>
      </c>
      <c r="E36" s="62">
        <f>COUNTIFS('reductions data'!G:G,'reasons for reduction division'!B36,'reductions data'!A:A,$E$25)</f>
        <v>0</v>
      </c>
      <c r="F36" s="62">
        <f>COUNTIFS('reductions data'!G:G,'reasons for reduction division'!B36,'reductions data'!A:A,$F$25)</f>
        <v>0</v>
      </c>
      <c r="G36" s="62">
        <f>COUNTIFS('reductions data'!G:G,'reasons for reduction division'!B36,'reductions data'!A:A,$G$25)</f>
        <v>0</v>
      </c>
      <c r="H36" s="62">
        <f>COUNTIFS('reductions data'!G:G,'reasons for reduction division'!B36,'reductions data'!A:A,$H$25)</f>
        <v>0</v>
      </c>
      <c r="I36" s="62">
        <f>COUNTIFS('reductions data'!G:G,'reasons for reduction division'!B36,'reductions data'!A:A,$I$25)</f>
        <v>0</v>
      </c>
      <c r="J36" s="62">
        <f>COUNTIFS('reductions data'!G:G,'reasons for reduction division'!B36,'reductions data'!A:A,$J$25)</f>
        <v>0</v>
      </c>
      <c r="K36" s="62">
        <f>COUNTIFS('reductions data'!G:G,'reasons for reduction division'!B36,'reductions data'!A:A,$K$25)</f>
        <v>0</v>
      </c>
      <c r="L36" s="62">
        <f>COUNTIFS('reductions data'!G:G,'reasons for reduction division'!B36,'reductions data'!A:A,$L$25)</f>
        <v>0</v>
      </c>
      <c r="M36" s="62">
        <f>COUNTIFS('reductions data'!G:G,'reasons for reduction division'!B36,'reductions data'!A:A,$M$25)</f>
        <v>0</v>
      </c>
      <c r="N36" s="62">
        <f>COUNTIFS('reductions data'!G:G,'reasons for reduction division'!B36,'reductions data'!A:A,$N$25)</f>
        <v>0</v>
      </c>
      <c r="O36" s="105">
        <f>COUNTIF('reductions data'!G:G,'reasons for reduction division'!B36)</f>
        <v>0</v>
      </c>
    </row>
    <row r="37" spans="2:15" x14ac:dyDescent="0.15">
      <c r="B37" s="113" t="s">
        <v>852</v>
      </c>
      <c r="C37" s="62">
        <f>COUNTIFS('reductions data'!G:G,'reasons for reduction division'!B37,'reductions data'!A:A,$C$25)</f>
        <v>0</v>
      </c>
      <c r="D37" s="62">
        <f>COUNTIFS('reductions data'!G:G,'reasons for reduction division'!B37,'reductions data'!A:A,$D$25)</f>
        <v>0</v>
      </c>
      <c r="E37" s="62">
        <f>COUNTIFS('reductions data'!G:G,'reasons for reduction division'!B37,'reductions data'!A:A,$E$25)</f>
        <v>0</v>
      </c>
      <c r="F37" s="62">
        <f>COUNTIFS('reductions data'!G:G,'reasons for reduction division'!B37,'reductions data'!A:A,$F$25)</f>
        <v>0</v>
      </c>
      <c r="G37" s="62">
        <f>COUNTIFS('reductions data'!G:G,'reasons for reduction division'!B37,'reductions data'!A:A,$G$25)</f>
        <v>0</v>
      </c>
      <c r="H37" s="62">
        <f>COUNTIFS('reductions data'!G:G,'reasons for reduction division'!B37,'reductions data'!A:A,$H$25)</f>
        <v>0</v>
      </c>
      <c r="I37" s="62">
        <f>COUNTIFS('reductions data'!G:G,'reasons for reduction division'!B37,'reductions data'!A:A,$I$25)</f>
        <v>0</v>
      </c>
      <c r="J37" s="62">
        <f>COUNTIFS('reductions data'!G:G,'reasons for reduction division'!B37,'reductions data'!A:A,$J$25)</f>
        <v>0</v>
      </c>
      <c r="K37" s="62">
        <f>COUNTIFS('reductions data'!G:G,'reasons for reduction division'!B37,'reductions data'!A:A,$K$25)</f>
        <v>0</v>
      </c>
      <c r="L37" s="62">
        <f>COUNTIFS('reductions data'!G:G,'reasons for reduction division'!B37,'reductions data'!A:A,$L$25)</f>
        <v>0</v>
      </c>
      <c r="M37" s="62">
        <f>COUNTIFS('reductions data'!G:G,'reasons for reduction division'!B37,'reductions data'!A:A,$M$25)</f>
        <v>0</v>
      </c>
      <c r="N37" s="62">
        <f>COUNTIFS('reductions data'!G:G,'reasons for reduction division'!B37,'reductions data'!A:A,$N$25)</f>
        <v>0</v>
      </c>
      <c r="O37" s="105">
        <f>COUNTIF('reductions data'!G:G,'reasons for reduction division'!B37)</f>
        <v>0</v>
      </c>
    </row>
    <row r="38" spans="2:15" x14ac:dyDescent="0.15">
      <c r="B38" s="113" t="s">
        <v>853</v>
      </c>
      <c r="C38" s="62">
        <f>COUNTIFS('reductions data'!G:G,'reasons for reduction division'!B38,'reductions data'!A:A,$C$25)</f>
        <v>0</v>
      </c>
      <c r="D38" s="62">
        <f>COUNTIFS('reductions data'!G:G,'reasons for reduction division'!B38,'reductions data'!A:A,$D$25)</f>
        <v>0</v>
      </c>
      <c r="E38" s="62">
        <f>COUNTIFS('reductions data'!G:G,'reasons for reduction division'!B38,'reductions data'!A:A,$E$25)</f>
        <v>0</v>
      </c>
      <c r="F38" s="62">
        <f>COUNTIFS('reductions data'!G:G,'reasons for reduction division'!B38,'reductions data'!A:A,$F$25)</f>
        <v>0</v>
      </c>
      <c r="G38" s="62">
        <f>COUNTIFS('reductions data'!G:G,'reasons for reduction division'!B38,'reductions data'!A:A,$G$25)</f>
        <v>0</v>
      </c>
      <c r="H38" s="62">
        <f>COUNTIFS('reductions data'!G:G,'reasons for reduction division'!B38,'reductions data'!A:A,$H$25)</f>
        <v>0</v>
      </c>
      <c r="I38" s="62">
        <f>COUNTIFS('reductions data'!G:G,'reasons for reduction division'!B38,'reductions data'!A:A,$I$25)</f>
        <v>0</v>
      </c>
      <c r="J38" s="62">
        <f>COUNTIFS('reductions data'!G:G,'reasons for reduction division'!B38,'reductions data'!A:A,$J$25)</f>
        <v>0</v>
      </c>
      <c r="K38" s="62">
        <f>COUNTIFS('reductions data'!G:G,'reasons for reduction division'!B38,'reductions data'!A:A,$K$25)</f>
        <v>0</v>
      </c>
      <c r="L38" s="62">
        <f>COUNTIFS('reductions data'!G:G,'reasons for reduction division'!B38,'reductions data'!A:A,$L$25)</f>
        <v>0</v>
      </c>
      <c r="M38" s="62">
        <f>COUNTIFS('reductions data'!G:G,'reasons for reduction division'!B38,'reductions data'!A:A,$M$25)</f>
        <v>0</v>
      </c>
      <c r="N38" s="62">
        <f>COUNTIFS('reductions data'!G:G,'reasons for reduction division'!B38,'reductions data'!A:A,$N$25)</f>
        <v>0</v>
      </c>
      <c r="O38" s="105">
        <f>COUNTIF('reductions data'!G:G,'reasons for reduction division'!B38)</f>
        <v>0</v>
      </c>
    </row>
    <row r="39" spans="2:15" x14ac:dyDescent="0.15">
      <c r="B39" s="113" t="s">
        <v>855</v>
      </c>
      <c r="C39" s="62">
        <f>COUNTIFS('reductions data'!G:G,'reasons for reduction division'!B39,'reductions data'!A:A,$C$25)</f>
        <v>0</v>
      </c>
      <c r="D39" s="62">
        <f>COUNTIFS('reductions data'!G:G,'reasons for reduction division'!B39,'reductions data'!A:A,$D$25)</f>
        <v>0</v>
      </c>
      <c r="E39" s="62">
        <f>COUNTIFS('reductions data'!G:G,'reasons for reduction division'!B39,'reductions data'!A:A,$E$25)</f>
        <v>0</v>
      </c>
      <c r="F39" s="62">
        <f>COUNTIFS('reductions data'!G:G,'reasons for reduction division'!B39,'reductions data'!A:A,$F$25)</f>
        <v>0</v>
      </c>
      <c r="G39" s="62">
        <f>COUNTIFS('reductions data'!G:G,'reasons for reduction division'!B39,'reductions data'!A:A,$G$25)</f>
        <v>0</v>
      </c>
      <c r="H39" s="62">
        <f>COUNTIFS('reductions data'!G:G,'reasons for reduction division'!B39,'reductions data'!A:A,$H$25)</f>
        <v>0</v>
      </c>
      <c r="I39" s="62">
        <f>COUNTIFS('reductions data'!G:G,'reasons for reduction division'!B39,'reductions data'!A:A,$I$25)</f>
        <v>0</v>
      </c>
      <c r="J39" s="62">
        <f>COUNTIFS('reductions data'!G:G,'reasons for reduction division'!B39,'reductions data'!A:A,$J$25)</f>
        <v>0</v>
      </c>
      <c r="K39" s="62">
        <f>COUNTIFS('reductions data'!G:G,'reasons for reduction division'!B39,'reductions data'!A:A,$K$25)</f>
        <v>0</v>
      </c>
      <c r="L39" s="62">
        <f>COUNTIFS('reductions data'!G:G,'reasons for reduction division'!B39,'reductions data'!A:A,$L$25)</f>
        <v>0</v>
      </c>
      <c r="M39" s="62">
        <f>COUNTIFS('reductions data'!G:G,'reasons for reduction division'!B39,'reductions data'!A:A,$M$25)</f>
        <v>0</v>
      </c>
      <c r="N39" s="62">
        <f>COUNTIFS('reductions data'!G:G,'reasons for reduction division'!B39,'reductions data'!A:A,$N$25)</f>
        <v>0</v>
      </c>
      <c r="O39" s="105">
        <f>COUNTIF('reductions data'!G:G,'reasons for reduction division'!B39)</f>
        <v>0</v>
      </c>
    </row>
    <row r="40" spans="2:15" x14ac:dyDescent="0.15">
      <c r="B40" s="113" t="s">
        <v>858</v>
      </c>
      <c r="C40" s="62">
        <f>COUNTIFS('reductions data'!G:G,'reasons for reduction division'!B40,'reductions data'!A:A,$C$25)</f>
        <v>0</v>
      </c>
      <c r="D40" s="62">
        <f>COUNTIFS('reductions data'!G:G,'reasons for reduction division'!B40,'reductions data'!A:A,$D$25)</f>
        <v>0</v>
      </c>
      <c r="E40" s="62">
        <f>COUNTIFS('reductions data'!G:G,'reasons for reduction division'!B40,'reductions data'!A:A,$E$25)</f>
        <v>0</v>
      </c>
      <c r="F40" s="62">
        <f>COUNTIFS('reductions data'!G:G,'reasons for reduction division'!B40,'reductions data'!A:A,$F$25)</f>
        <v>0</v>
      </c>
      <c r="G40" s="62">
        <f>COUNTIFS('reductions data'!G:G,'reasons for reduction division'!B40,'reductions data'!A:A,$G$25)</f>
        <v>0</v>
      </c>
      <c r="H40" s="62">
        <f>COUNTIFS('reductions data'!G:G,'reasons for reduction division'!B40,'reductions data'!A:A,$H$25)</f>
        <v>0</v>
      </c>
      <c r="I40" s="62">
        <f>COUNTIFS('reductions data'!G:G,'reasons for reduction division'!B40,'reductions data'!A:A,$I$25)</f>
        <v>0</v>
      </c>
      <c r="J40" s="62">
        <f>COUNTIFS('reductions data'!G:G,'reasons for reduction division'!B40,'reductions data'!A:A,$J$25)</f>
        <v>0</v>
      </c>
      <c r="K40" s="62">
        <f>COUNTIFS('reductions data'!G:G,'reasons for reduction division'!B40,'reductions data'!A:A,$K$25)</f>
        <v>0</v>
      </c>
      <c r="L40" s="62">
        <f>COUNTIFS('reductions data'!G:G,'reasons for reduction division'!B40,'reductions data'!A:A,$L$25)</f>
        <v>0</v>
      </c>
      <c r="M40" s="62">
        <f>COUNTIFS('reductions data'!G:G,'reasons for reduction division'!B40,'reductions data'!A:A,$M$25)</f>
        <v>0</v>
      </c>
      <c r="N40" s="62">
        <f>COUNTIFS('reductions data'!G:G,'reasons for reduction division'!B40,'reductions data'!A:A,$N$25)</f>
        <v>0</v>
      </c>
      <c r="O40" s="105">
        <f>COUNTIF('reductions data'!G:G,'reasons for reduction division'!B40)</f>
        <v>0</v>
      </c>
    </row>
    <row r="41" spans="2:15" x14ac:dyDescent="0.15">
      <c r="B41" s="113" t="s">
        <v>854</v>
      </c>
      <c r="C41" s="62">
        <f>COUNTIFS('reductions data'!G:G,'reasons for reduction division'!B41,'reductions data'!A:A,$C$25)</f>
        <v>0</v>
      </c>
      <c r="D41" s="62">
        <f>COUNTIFS('reductions data'!G:G,'reasons for reduction division'!B41,'reductions data'!A:A,$D$25)</f>
        <v>0</v>
      </c>
      <c r="E41" s="62">
        <f>COUNTIFS('reductions data'!G:G,'reasons for reduction division'!B41,'reductions data'!A:A,$E$25)</f>
        <v>0</v>
      </c>
      <c r="F41" s="62">
        <f>COUNTIFS('reductions data'!G:G,'reasons for reduction division'!B41,'reductions data'!A:A,$F$25)</f>
        <v>0</v>
      </c>
      <c r="G41" s="62">
        <f>COUNTIFS('reductions data'!G:G,'reasons for reduction division'!B41,'reductions data'!A:A,$G$25)</f>
        <v>0</v>
      </c>
      <c r="H41" s="62">
        <f>COUNTIFS('reductions data'!G:G,'reasons for reduction division'!B41,'reductions data'!A:A,$H$25)</f>
        <v>0</v>
      </c>
      <c r="I41" s="62">
        <f>COUNTIFS('reductions data'!G:G,'reasons for reduction division'!B41,'reductions data'!A:A,$I$25)</f>
        <v>0</v>
      </c>
      <c r="J41" s="62">
        <f>COUNTIFS('reductions data'!G:G,'reasons for reduction division'!B41,'reductions data'!A:A,$J$25)</f>
        <v>0</v>
      </c>
      <c r="K41" s="62">
        <f>COUNTIFS('reductions data'!G:G,'reasons for reduction division'!B41,'reductions data'!A:A,$K$25)</f>
        <v>0</v>
      </c>
      <c r="L41" s="62">
        <f>COUNTIFS('reductions data'!G:G,'reasons for reduction division'!B41,'reductions data'!A:A,$L$25)</f>
        <v>0</v>
      </c>
      <c r="M41" s="62">
        <f>COUNTIFS('reductions data'!G:G,'reasons for reduction division'!B41,'reductions data'!A:A,$M$25)</f>
        <v>0</v>
      </c>
      <c r="N41" s="62">
        <f>COUNTIFS('reductions data'!G:G,'reasons for reduction division'!B41,'reductions data'!A:A,$N$25)</f>
        <v>0</v>
      </c>
      <c r="O41" s="105">
        <f>COUNTIF('reductions data'!G:G,'reasons for reduction division'!B41)</f>
        <v>0</v>
      </c>
    </row>
    <row r="42" spans="2:15" x14ac:dyDescent="0.15">
      <c r="B42" s="113" t="s">
        <v>939</v>
      </c>
      <c r="C42" s="62">
        <f>COUNTIFS('reductions data'!G:G,'reasons for reduction division'!B42,'reductions data'!A:A,$C$25)</f>
        <v>0</v>
      </c>
      <c r="D42" s="62">
        <f>COUNTIFS('reductions data'!G:G,'reasons for reduction division'!B42,'reductions data'!A:A,$D$25)</f>
        <v>0</v>
      </c>
      <c r="E42" s="62">
        <f>COUNTIFS('reductions data'!G:G,'reasons for reduction division'!B42,'reductions data'!A:A,$E$25)</f>
        <v>0</v>
      </c>
      <c r="F42" s="62">
        <f>COUNTIFS('reductions data'!G:G,'reasons for reduction division'!B42,'reductions data'!A:A,$F$25)</f>
        <v>0</v>
      </c>
      <c r="G42" s="62">
        <f>COUNTIFS('reductions data'!G:G,'reasons for reduction division'!B42,'reductions data'!A:A,$G$25)</f>
        <v>0</v>
      </c>
      <c r="H42" s="62">
        <f>COUNTIFS('reductions data'!G:G,'reasons for reduction division'!B42,'reductions data'!A:A,$H$25)</f>
        <v>0</v>
      </c>
      <c r="I42" s="62">
        <f>COUNTIFS('reductions data'!G:G,'reasons for reduction division'!B42,'reductions data'!A:A,$I$25)</f>
        <v>0</v>
      </c>
      <c r="J42" s="62">
        <f>COUNTIFS('reductions data'!G:G,'reasons for reduction division'!B42,'reductions data'!A:A,$J$25)</f>
        <v>0</v>
      </c>
      <c r="K42" s="62">
        <f>COUNTIFS('reductions data'!G:G,'reasons for reduction division'!B42,'reductions data'!A:A,$K$25)</f>
        <v>0</v>
      </c>
      <c r="L42" s="62">
        <f>COUNTIFS('reductions data'!G:G,'reasons for reduction division'!B42,'reductions data'!A:A,$L$25)</f>
        <v>0</v>
      </c>
      <c r="M42" s="62">
        <f>COUNTIFS('reductions data'!G:G,'reasons for reduction division'!B42,'reductions data'!A:A,$M$25)</f>
        <v>0</v>
      </c>
      <c r="N42" s="62">
        <f>COUNTIFS('reductions data'!G:G,'reasons for reduction division'!B42,'reductions data'!A:A,$N$25)</f>
        <v>0</v>
      </c>
      <c r="O42" s="105">
        <f>COUNTIF('reductions data'!G:G,'reasons for reduction division'!B42)</f>
        <v>0</v>
      </c>
    </row>
    <row r="43" spans="2:15" x14ac:dyDescent="0.15">
      <c r="B43" s="113" t="s">
        <v>859</v>
      </c>
      <c r="C43" s="62">
        <f>COUNTIFS('reductions data'!G:G,'reasons for reduction division'!B43,'reductions data'!A:A,$C$25)</f>
        <v>0</v>
      </c>
      <c r="D43" s="62">
        <f>COUNTIFS('reductions data'!G:G,'reasons for reduction division'!B43,'reductions data'!A:A,$D$25)</f>
        <v>0</v>
      </c>
      <c r="E43" s="62">
        <f>COUNTIFS('reductions data'!G:G,'reasons for reduction division'!B43,'reductions data'!A:A,$E$25)</f>
        <v>0</v>
      </c>
      <c r="F43" s="62">
        <f>COUNTIFS('reductions data'!G:G,'reasons for reduction division'!B43,'reductions data'!A:A,$F$25)</f>
        <v>0</v>
      </c>
      <c r="G43" s="62">
        <f>COUNTIFS('reductions data'!G:G,'reasons for reduction division'!B43,'reductions data'!A:A,$G$25)</f>
        <v>0</v>
      </c>
      <c r="H43" s="62">
        <f>COUNTIFS('reductions data'!G:G,'reasons for reduction division'!B43,'reductions data'!A:A,$H$25)</f>
        <v>0</v>
      </c>
      <c r="I43" s="62">
        <f>COUNTIFS('reductions data'!G:G,'reasons for reduction division'!B43,'reductions data'!A:A,$I$25)</f>
        <v>0</v>
      </c>
      <c r="J43" s="62">
        <f>COUNTIFS('reductions data'!G:G,'reasons for reduction division'!B43,'reductions data'!A:A,$J$25)</f>
        <v>0</v>
      </c>
      <c r="K43" s="62">
        <f>COUNTIFS('reductions data'!G:G,'reasons for reduction division'!B43,'reductions data'!A:A,$K$25)</f>
        <v>0</v>
      </c>
      <c r="L43" s="62">
        <f>COUNTIFS('reductions data'!G:G,'reasons for reduction division'!B43,'reductions data'!A:A,$L$25)</f>
        <v>0</v>
      </c>
      <c r="M43" s="62">
        <f>COUNTIFS('reductions data'!G:G,'reasons for reduction division'!B43,'reductions data'!A:A,$M$25)</f>
        <v>0</v>
      </c>
      <c r="N43" s="62">
        <f>COUNTIFS('reductions data'!G:G,'reasons for reduction division'!B43,'reductions data'!A:A,$N$25)</f>
        <v>0</v>
      </c>
      <c r="O43" s="105">
        <f>COUNTIF('reductions data'!G:G,'reasons for reduction division'!B43)</f>
        <v>0</v>
      </c>
    </row>
    <row r="44" spans="2:15" x14ac:dyDescent="0.15">
      <c r="B44" s="113" t="s">
        <v>860</v>
      </c>
      <c r="C44" s="62">
        <f>COUNTIFS('reductions data'!G:G,'reasons for reduction division'!B44,'reductions data'!A:A,$C$25)</f>
        <v>0</v>
      </c>
      <c r="D44" s="62">
        <f>COUNTIFS('reductions data'!G:G,'reasons for reduction division'!B44,'reductions data'!A:A,$D$25)</f>
        <v>0</v>
      </c>
      <c r="E44" s="62">
        <f>COUNTIFS('reductions data'!G:G,'reasons for reduction division'!B44,'reductions data'!A:A,$E$25)</f>
        <v>0</v>
      </c>
      <c r="F44" s="62">
        <f>COUNTIFS('reductions data'!G:G,'reasons for reduction division'!B44,'reductions data'!A:A,$F$25)</f>
        <v>0</v>
      </c>
      <c r="G44" s="62">
        <f>COUNTIFS('reductions data'!G:G,'reasons for reduction division'!B44,'reductions data'!A:A,$G$25)</f>
        <v>0</v>
      </c>
      <c r="H44" s="62">
        <f>COUNTIFS('reductions data'!G:G,'reasons for reduction division'!B44,'reductions data'!A:A,$H$25)</f>
        <v>0</v>
      </c>
      <c r="I44" s="62">
        <f>COUNTIFS('reductions data'!G:G,'reasons for reduction division'!B44,'reductions data'!A:A,$I$25)</f>
        <v>0</v>
      </c>
      <c r="J44" s="62">
        <f>COUNTIFS('reductions data'!G:G,'reasons for reduction division'!B44,'reductions data'!A:A,$J$25)</f>
        <v>0</v>
      </c>
      <c r="K44" s="62">
        <f>COUNTIFS('reductions data'!G:G,'reasons for reduction division'!B44,'reductions data'!A:A,$K$25)</f>
        <v>0</v>
      </c>
      <c r="L44" s="62">
        <f>COUNTIFS('reductions data'!G:G,'reasons for reduction division'!B44,'reductions data'!A:A,$L$25)</f>
        <v>0</v>
      </c>
      <c r="M44" s="62">
        <f>COUNTIFS('reductions data'!G:G,'reasons for reduction division'!B44,'reductions data'!A:A,$M$25)</f>
        <v>0</v>
      </c>
      <c r="N44" s="62">
        <f>COUNTIFS('reductions data'!G:G,'reasons for reduction division'!B44,'reductions data'!A:A,$N$25)</f>
        <v>0</v>
      </c>
      <c r="O44" s="105">
        <f>COUNTIF('reductions data'!G:G,'reasons for reduction division'!B44)</f>
        <v>0</v>
      </c>
    </row>
    <row r="45" spans="2:15" x14ac:dyDescent="0.15">
      <c r="B45" s="113" t="s">
        <v>861</v>
      </c>
      <c r="C45" s="62">
        <f>COUNTIFS('reductions data'!G:G,'reasons for reduction division'!B45,'reductions data'!A:A,$C$25)</f>
        <v>0</v>
      </c>
      <c r="D45" s="62">
        <f>COUNTIFS('reductions data'!G:G,'reasons for reduction division'!B45,'reductions data'!A:A,$D$25)</f>
        <v>0</v>
      </c>
      <c r="E45" s="62">
        <f>COUNTIFS('reductions data'!G:G,'reasons for reduction division'!B45,'reductions data'!A:A,$E$25)</f>
        <v>0</v>
      </c>
      <c r="F45" s="62">
        <f>COUNTIFS('reductions data'!G:G,'reasons for reduction division'!B45,'reductions data'!A:A,$F$25)</f>
        <v>0</v>
      </c>
      <c r="G45" s="62">
        <f>COUNTIFS('reductions data'!G:G,'reasons for reduction division'!B45,'reductions data'!A:A,$G$25)</f>
        <v>0</v>
      </c>
      <c r="H45" s="62">
        <f>COUNTIFS('reductions data'!G:G,'reasons for reduction division'!B45,'reductions data'!A:A,$H$25)</f>
        <v>0</v>
      </c>
      <c r="I45" s="62">
        <f>COUNTIFS('reductions data'!G:G,'reasons for reduction division'!B45,'reductions data'!A:A,$I$25)</f>
        <v>0</v>
      </c>
      <c r="J45" s="62">
        <f>COUNTIFS('reductions data'!G:G,'reasons for reduction division'!B45,'reductions data'!A:A,$J$25)</f>
        <v>0</v>
      </c>
      <c r="K45" s="62">
        <f>COUNTIFS('reductions data'!G:G,'reasons for reduction division'!B45,'reductions data'!A:A,$K$25)</f>
        <v>0</v>
      </c>
      <c r="L45" s="62">
        <f>COUNTIFS('reductions data'!G:G,'reasons for reduction division'!B45,'reductions data'!A:A,$L$25)</f>
        <v>0</v>
      </c>
      <c r="M45" s="62">
        <f>COUNTIFS('reductions data'!G:G,'reasons for reduction division'!B45,'reductions data'!A:A,$M$25)</f>
        <v>0</v>
      </c>
      <c r="N45" s="62">
        <f>COUNTIFS('reductions data'!G:G,'reasons for reduction division'!B45,'reductions data'!A:A,$N$25)</f>
        <v>0</v>
      </c>
      <c r="O45" s="105">
        <f>COUNTIF('reductions data'!G:G,'reasons for reduction division'!B45)</f>
        <v>0</v>
      </c>
    </row>
    <row r="46" spans="2:15" x14ac:dyDescent="0.15">
      <c r="B46" s="113" t="s">
        <v>862</v>
      </c>
      <c r="C46" s="62">
        <f>COUNTIFS('reductions data'!G:G,'reasons for reduction division'!B46,'reductions data'!A:A,$C$25)</f>
        <v>0</v>
      </c>
      <c r="D46" s="62">
        <f>COUNTIFS('reductions data'!G:G,'reasons for reduction division'!B46,'reductions data'!A:A,$D$25)</f>
        <v>0</v>
      </c>
      <c r="E46" s="62">
        <f>COUNTIFS('reductions data'!G:G,'reasons for reduction division'!B46,'reductions data'!A:A,$E$25)</f>
        <v>0</v>
      </c>
      <c r="F46" s="62">
        <f>COUNTIFS('reductions data'!G:G,'reasons for reduction division'!B46,'reductions data'!A:A,$F$25)</f>
        <v>0</v>
      </c>
      <c r="G46" s="62">
        <f>COUNTIFS('reductions data'!G:G,'reasons for reduction division'!B46,'reductions data'!A:A,$G$25)</f>
        <v>0</v>
      </c>
      <c r="H46" s="62">
        <f>COUNTIFS('reductions data'!G:G,'reasons for reduction division'!B46,'reductions data'!A:A,$H$25)</f>
        <v>0</v>
      </c>
      <c r="I46" s="62">
        <f>COUNTIFS('reductions data'!G:G,'reasons for reduction division'!B46,'reductions data'!A:A,$I$25)</f>
        <v>0</v>
      </c>
      <c r="J46" s="62">
        <f>COUNTIFS('reductions data'!G:G,'reasons for reduction division'!B46,'reductions data'!A:A,$J$25)</f>
        <v>0</v>
      </c>
      <c r="K46" s="62">
        <f>COUNTIFS('reductions data'!G:G,'reasons for reduction division'!B46,'reductions data'!A:A,$K$25)</f>
        <v>0</v>
      </c>
      <c r="L46" s="62">
        <f>COUNTIFS('reductions data'!G:G,'reasons for reduction division'!B46,'reductions data'!A:A,$L$25)</f>
        <v>0</v>
      </c>
      <c r="M46" s="62">
        <f>COUNTIFS('reductions data'!G:G,'reasons for reduction division'!B46,'reductions data'!A:A,$M$25)</f>
        <v>0</v>
      </c>
      <c r="N46" s="62">
        <f>COUNTIFS('reductions data'!G:G,'reasons for reduction division'!B46,'reductions data'!A:A,$N$25)</f>
        <v>0</v>
      </c>
      <c r="O46" s="105">
        <f>COUNTIF('reductions data'!G:G,'reasons for reduction division'!B46)</f>
        <v>0</v>
      </c>
    </row>
    <row r="47" spans="2:15" x14ac:dyDescent="0.15">
      <c r="B47" s="113" t="s">
        <v>863</v>
      </c>
      <c r="C47" s="62">
        <f>COUNTIFS('reductions data'!G:G,'reasons for reduction division'!B47,'reductions data'!A:A,$C$25)</f>
        <v>0</v>
      </c>
      <c r="D47" s="62">
        <f>COUNTIFS('reductions data'!G:G,'reasons for reduction division'!B47,'reductions data'!A:A,$D$25)</f>
        <v>0</v>
      </c>
      <c r="E47" s="62">
        <f>COUNTIFS('reductions data'!G:G,'reasons for reduction division'!B47,'reductions data'!A:A,$E$25)</f>
        <v>0</v>
      </c>
      <c r="F47" s="62">
        <f>COUNTIFS('reductions data'!G:G,'reasons for reduction division'!B47,'reductions data'!A:A,$F$25)</f>
        <v>0</v>
      </c>
      <c r="G47" s="62">
        <f>COUNTIFS('reductions data'!G:G,'reasons for reduction division'!B47,'reductions data'!A:A,$G$25)</f>
        <v>0</v>
      </c>
      <c r="H47" s="62">
        <f>COUNTIFS('reductions data'!G:G,'reasons for reduction division'!B47,'reductions data'!A:A,$H$25)</f>
        <v>0</v>
      </c>
      <c r="I47" s="62">
        <f>COUNTIFS('reductions data'!G:G,'reasons for reduction division'!B47,'reductions data'!A:A,$I$25)</f>
        <v>0</v>
      </c>
      <c r="J47" s="62">
        <f>COUNTIFS('reductions data'!G:G,'reasons for reduction division'!B47,'reductions data'!A:A,$J$25)</f>
        <v>0</v>
      </c>
      <c r="K47" s="62">
        <f>COUNTIFS('reductions data'!G:G,'reasons for reduction division'!B47,'reductions data'!A:A,$K$25)</f>
        <v>0</v>
      </c>
      <c r="L47" s="62">
        <f>COUNTIFS('reductions data'!G:G,'reasons for reduction division'!B47,'reductions data'!A:A,$L$25)</f>
        <v>0</v>
      </c>
      <c r="M47" s="62">
        <f>COUNTIFS('reductions data'!G:G,'reasons for reduction division'!B47,'reductions data'!A:A,$M$25)</f>
        <v>0</v>
      </c>
      <c r="N47" s="62">
        <f>COUNTIFS('reductions data'!G:G,'reasons for reduction division'!B47,'reductions data'!A:A,$N$25)</f>
        <v>0</v>
      </c>
      <c r="O47" s="105">
        <f>COUNTIF('reductions data'!G:G,'reasons for reduction division'!B47)</f>
        <v>0</v>
      </c>
    </row>
    <row r="48" spans="2:15" x14ac:dyDescent="0.15">
      <c r="B48" s="113" t="s">
        <v>864</v>
      </c>
      <c r="C48" s="62">
        <f>COUNTIFS('reductions data'!G:G,'reasons for reduction division'!B48,'reductions data'!A:A,$C$25)</f>
        <v>0</v>
      </c>
      <c r="D48" s="62">
        <f>COUNTIFS('reductions data'!G:G,'reasons for reduction division'!B48,'reductions data'!A:A,$D$25)</f>
        <v>0</v>
      </c>
      <c r="E48" s="62">
        <f>COUNTIFS('reductions data'!G:G,'reasons for reduction division'!B48,'reductions data'!A:A,$E$25)</f>
        <v>0</v>
      </c>
      <c r="F48" s="62">
        <f>COUNTIFS('reductions data'!G:G,'reasons for reduction division'!B48,'reductions data'!A:A,$F$25)</f>
        <v>0</v>
      </c>
      <c r="G48" s="62">
        <f>COUNTIFS('reductions data'!G:G,'reasons for reduction division'!B48,'reductions data'!A:A,$G$25)</f>
        <v>0</v>
      </c>
      <c r="H48" s="62">
        <f>COUNTIFS('reductions data'!G:G,'reasons for reduction division'!B48,'reductions data'!A:A,$H$25)</f>
        <v>0</v>
      </c>
      <c r="I48" s="62">
        <f>COUNTIFS('reductions data'!G:G,'reasons for reduction division'!B48,'reductions data'!A:A,$I$25)</f>
        <v>0</v>
      </c>
      <c r="J48" s="62">
        <f>COUNTIFS('reductions data'!G:G,'reasons for reduction division'!B48,'reductions data'!A:A,$J$25)</f>
        <v>0</v>
      </c>
      <c r="K48" s="62">
        <f>COUNTIFS('reductions data'!G:G,'reasons for reduction division'!B48,'reductions data'!A:A,$K$25)</f>
        <v>0</v>
      </c>
      <c r="L48" s="62">
        <f>COUNTIFS('reductions data'!G:G,'reasons for reduction division'!B48,'reductions data'!A:A,$L$25)</f>
        <v>0</v>
      </c>
      <c r="M48" s="62">
        <f>COUNTIFS('reductions data'!G:G,'reasons for reduction division'!B48,'reductions data'!A:A,$M$25)</f>
        <v>0</v>
      </c>
      <c r="N48" s="62">
        <f>COUNTIFS('reductions data'!G:G,'reasons for reduction division'!B48,'reductions data'!A:A,$N$25)</f>
        <v>0</v>
      </c>
      <c r="O48" s="105">
        <f>COUNTIF('reductions data'!G:G,'reasons for reduction division'!B48)</f>
        <v>0</v>
      </c>
    </row>
    <row r="49" spans="2:15" x14ac:dyDescent="0.15">
      <c r="B49" s="113" t="s">
        <v>865</v>
      </c>
      <c r="C49" s="62">
        <f>COUNTIFS('reductions data'!G:G,'reasons for reduction division'!B49,'reductions data'!A:A,$C$25)</f>
        <v>0</v>
      </c>
      <c r="D49" s="62">
        <f>COUNTIFS('reductions data'!G:G,'reasons for reduction division'!B49,'reductions data'!A:A,$D$25)</f>
        <v>0</v>
      </c>
      <c r="E49" s="62">
        <f>COUNTIFS('reductions data'!G:G,'reasons for reduction division'!B49,'reductions data'!A:A,$E$25)</f>
        <v>0</v>
      </c>
      <c r="F49" s="62">
        <f>COUNTIFS('reductions data'!G:G,'reasons for reduction division'!B49,'reductions data'!A:A,$F$25)</f>
        <v>0</v>
      </c>
      <c r="G49" s="62">
        <f>COUNTIFS('reductions data'!G:G,'reasons for reduction division'!B49,'reductions data'!A:A,$G$25)</f>
        <v>0</v>
      </c>
      <c r="H49" s="62">
        <f>COUNTIFS('reductions data'!G:G,'reasons for reduction division'!B49,'reductions data'!A:A,$H$25)</f>
        <v>0</v>
      </c>
      <c r="I49" s="62">
        <f>COUNTIFS('reductions data'!G:G,'reasons for reduction division'!B49,'reductions data'!A:A,$I$25)</f>
        <v>0</v>
      </c>
      <c r="J49" s="62">
        <f>COUNTIFS('reductions data'!G:G,'reasons for reduction division'!B49,'reductions data'!A:A,$J$25)</f>
        <v>0</v>
      </c>
      <c r="K49" s="62">
        <f>COUNTIFS('reductions data'!G:G,'reasons for reduction division'!B49,'reductions data'!A:A,$K$25)</f>
        <v>0</v>
      </c>
      <c r="L49" s="62">
        <f>COUNTIFS('reductions data'!G:G,'reasons for reduction division'!B49,'reductions data'!A:A,$L$25)</f>
        <v>0</v>
      </c>
      <c r="M49" s="62">
        <f>COUNTIFS('reductions data'!G:G,'reasons for reduction division'!B49,'reductions data'!A:A,$M$25)</f>
        <v>0</v>
      </c>
      <c r="N49" s="62">
        <f>COUNTIFS('reductions data'!G:G,'reasons for reduction division'!B49,'reductions data'!A:A,$N$25)</f>
        <v>0</v>
      </c>
      <c r="O49" s="105">
        <f>COUNTIF('reductions data'!G:G,'reasons for reduction division'!B49)</f>
        <v>0</v>
      </c>
    </row>
    <row r="50" spans="2:15" x14ac:dyDescent="0.15">
      <c r="B50" s="113" t="s">
        <v>1197</v>
      </c>
      <c r="C50" s="62">
        <f>COUNTIFS('reductions data'!G:G,'reasons for reduction division'!B50,'reductions data'!A:A,$C$25)</f>
        <v>0</v>
      </c>
      <c r="D50" s="62">
        <f>COUNTIFS('reductions data'!G:G,'reasons for reduction division'!B50,'reductions data'!A:A,$D$25)</f>
        <v>0</v>
      </c>
      <c r="E50" s="62">
        <f>COUNTIFS('reductions data'!G:G,'reasons for reduction division'!B50,'reductions data'!A:A,$E$25)</f>
        <v>0</v>
      </c>
      <c r="F50" s="62">
        <f>COUNTIFS('reductions data'!G:G,'reasons for reduction division'!B50,'reductions data'!A:A,$F$25)</f>
        <v>0</v>
      </c>
      <c r="G50" s="62">
        <f>COUNTIFS('reductions data'!G:G,'reasons for reduction division'!B50,'reductions data'!A:A,$G$25)</f>
        <v>0</v>
      </c>
      <c r="H50" s="62">
        <f>COUNTIFS('reductions data'!G:G,'reasons for reduction division'!B50,'reductions data'!A:A,$H$25)</f>
        <v>0</v>
      </c>
      <c r="I50" s="62">
        <f>COUNTIFS('reductions data'!G:G,'reasons for reduction division'!B50,'reductions data'!A:A,$I$25)</f>
        <v>0</v>
      </c>
      <c r="J50" s="62">
        <f>COUNTIFS('reductions data'!G:G,'reasons for reduction division'!B50,'reductions data'!A:A,$J$25)</f>
        <v>0</v>
      </c>
      <c r="K50" s="62">
        <f>COUNTIFS('reductions data'!G:G,'reasons for reduction division'!B50,'reductions data'!A:A,$K$25)</f>
        <v>0</v>
      </c>
      <c r="L50" s="62">
        <f>COUNTIFS('reductions data'!G:G,'reasons for reduction division'!B50,'reductions data'!A:A,$L$25)</f>
        <v>0</v>
      </c>
      <c r="M50" s="62">
        <f>COUNTIFS('reductions data'!G:G,'reasons for reduction division'!B50,'reductions data'!A:A,$M$25)</f>
        <v>0</v>
      </c>
      <c r="N50" s="62">
        <f>COUNTIFS('reductions data'!G:G,'reasons for reduction division'!B50,'reductions data'!A:A,$N$25)</f>
        <v>0</v>
      </c>
      <c r="O50" s="105">
        <f>COUNTIF('reductions data'!G:G,'reasons for reduction division'!B50)</f>
        <v>0</v>
      </c>
    </row>
    <row r="51" spans="2:15" x14ac:dyDescent="0.15">
      <c r="B51" s="113" t="s">
        <v>1198</v>
      </c>
      <c r="C51" s="62">
        <f>COUNTIFS('reductions data'!G:G,'reasons for reduction division'!B51,'reductions data'!A:A,$C$25)</f>
        <v>0</v>
      </c>
      <c r="D51" s="62">
        <f>COUNTIFS('reductions data'!G:G,'reasons for reduction division'!B51,'reductions data'!A:A,$D$25)</f>
        <v>0</v>
      </c>
      <c r="E51" s="62">
        <f>COUNTIFS('reductions data'!G:G,'reasons for reduction division'!B51,'reductions data'!A:A,$E$25)</f>
        <v>0</v>
      </c>
      <c r="F51" s="62">
        <f>COUNTIFS('reductions data'!G:G,'reasons for reduction division'!B51,'reductions data'!A:A,$F$25)</f>
        <v>0</v>
      </c>
      <c r="G51" s="62">
        <f>COUNTIFS('reductions data'!G:G,'reasons for reduction division'!B51,'reductions data'!A:A,$G$25)</f>
        <v>0</v>
      </c>
      <c r="H51" s="62">
        <f>COUNTIFS('reductions data'!G:G,'reasons for reduction division'!B51,'reductions data'!A:A,$H$25)</f>
        <v>0</v>
      </c>
      <c r="I51" s="62">
        <f>COUNTIFS('reductions data'!G:G,'reasons for reduction division'!B51,'reductions data'!A:A,$I$25)</f>
        <v>0</v>
      </c>
      <c r="J51" s="62">
        <f>COUNTIFS('reductions data'!G:G,'reasons for reduction division'!B51,'reductions data'!A:A,$J$25)</f>
        <v>0</v>
      </c>
      <c r="K51" s="62">
        <f>COUNTIFS('reductions data'!G:G,'reasons for reduction division'!B51,'reductions data'!A:A,$K$25)</f>
        <v>0</v>
      </c>
      <c r="L51" s="62">
        <f>COUNTIFS('reductions data'!G:G,'reasons for reduction division'!B51,'reductions data'!A:A,$L$25)</f>
        <v>0</v>
      </c>
      <c r="M51" s="62">
        <f>COUNTIFS('reductions data'!G:G,'reasons for reduction division'!B51,'reductions data'!A:A,$M$25)</f>
        <v>0</v>
      </c>
      <c r="N51" s="62">
        <f>COUNTIFS('reductions data'!G:G,'reasons for reduction division'!B51,'reductions data'!A:A,$N$25)</f>
        <v>0</v>
      </c>
      <c r="O51" s="105">
        <f>COUNTIF('reductions data'!G:G,'reasons for reduction division'!B51)</f>
        <v>0</v>
      </c>
    </row>
    <row r="52" spans="2:15" x14ac:dyDescent="0.15">
      <c r="B52" s="320" t="s">
        <v>1195</v>
      </c>
      <c r="C52" s="62">
        <f>COUNTIFS('reductions data'!G:G,'reasons for reduction division'!B52,'reductions data'!A:A,$C$25)</f>
        <v>0</v>
      </c>
      <c r="D52" s="62">
        <f>COUNTIFS('reductions data'!G:G,'reasons for reduction division'!B52,'reductions data'!A:A,$D$25)</f>
        <v>0</v>
      </c>
      <c r="E52" s="62">
        <f>COUNTIFS('reductions data'!G:G,'reasons for reduction division'!B52,'reductions data'!A:A,$E$25)</f>
        <v>0</v>
      </c>
      <c r="F52" s="62">
        <f>COUNTIFS('reductions data'!G:G,'reasons for reduction division'!B52,'reductions data'!A:A,$F$25)</f>
        <v>0</v>
      </c>
      <c r="G52" s="62">
        <f>COUNTIFS('reductions data'!G:G,'reasons for reduction division'!B52,'reductions data'!A:A,$G$25)</f>
        <v>0</v>
      </c>
      <c r="H52" s="62">
        <f>COUNTIFS('reductions data'!G:G,'reasons for reduction division'!B52,'reductions data'!A:A,$H$25)</f>
        <v>0</v>
      </c>
      <c r="I52" s="62">
        <f>COUNTIFS('reductions data'!G:G,'reasons for reduction division'!B52,'reductions data'!A:A,$I$25)</f>
        <v>0</v>
      </c>
      <c r="J52" s="62">
        <f>COUNTIFS('reductions data'!G:G,'reasons for reduction division'!B52,'reductions data'!A:A,$J$25)</f>
        <v>0</v>
      </c>
      <c r="K52" s="62">
        <f>COUNTIFS('reductions data'!G:G,'reasons for reduction division'!B52,'reductions data'!A:A,$K$25)</f>
        <v>0</v>
      </c>
      <c r="L52" s="62">
        <f>COUNTIFS('reductions data'!G:G,'reasons for reduction division'!B52,'reductions data'!A:A,$L$25)</f>
        <v>0</v>
      </c>
      <c r="M52" s="62">
        <f>COUNTIFS('reductions data'!G:G,'reasons for reduction division'!B52,'reductions data'!A:A,$M$25)</f>
        <v>0</v>
      </c>
      <c r="N52" s="62">
        <f>COUNTIFS('reductions data'!G:G,'reasons for reduction division'!B52,'reductions data'!A:A,$N$25)</f>
        <v>0</v>
      </c>
      <c r="O52" s="105">
        <f>COUNTIF('reductions data'!G:G,'reasons for reduction division'!B52)</f>
        <v>0</v>
      </c>
    </row>
    <row r="53" spans="2:15" x14ac:dyDescent="0.15">
      <c r="B53" s="320" t="s">
        <v>1196</v>
      </c>
      <c r="C53" s="62">
        <f>COUNTIFS('reductions data'!G:G,'reasons for reduction division'!B53,'reductions data'!A:A,$C$25)</f>
        <v>0</v>
      </c>
      <c r="D53" s="62">
        <f>COUNTIFS('reductions data'!G:G,'reasons for reduction division'!B53,'reductions data'!A:A,$D$25)</f>
        <v>0</v>
      </c>
      <c r="E53" s="62">
        <f>COUNTIFS('reductions data'!G:G,'reasons for reduction division'!B53,'reductions data'!A:A,$E$25)</f>
        <v>0</v>
      </c>
      <c r="F53" s="62">
        <f>COUNTIFS('reductions data'!G:G,'reasons for reduction division'!B53,'reductions data'!A:A,$F$25)</f>
        <v>0</v>
      </c>
      <c r="G53" s="62">
        <f>COUNTIFS('reductions data'!G:G,'reasons for reduction division'!B53,'reductions data'!A:A,$G$25)</f>
        <v>0</v>
      </c>
      <c r="H53" s="62">
        <f>COUNTIFS('reductions data'!G:G,'reasons for reduction division'!B53,'reductions data'!A:A,$H$25)</f>
        <v>0</v>
      </c>
      <c r="I53" s="62">
        <f>COUNTIFS('reductions data'!G:G,'reasons for reduction division'!B53,'reductions data'!A:A,$I$25)</f>
        <v>0</v>
      </c>
      <c r="J53" s="62">
        <f>COUNTIFS('reductions data'!G:G,'reasons for reduction division'!B53,'reductions data'!A:A,$J$25)</f>
        <v>0</v>
      </c>
      <c r="K53" s="62">
        <f>COUNTIFS('reductions data'!G:G,'reasons for reduction division'!B53,'reductions data'!A:A,$K$25)</f>
        <v>0</v>
      </c>
      <c r="L53" s="62">
        <f>COUNTIFS('reductions data'!G:G,'reasons for reduction division'!B53,'reductions data'!A:A,$L$25)</f>
        <v>0</v>
      </c>
      <c r="M53" s="62">
        <f>COUNTIFS('reductions data'!G:G,'reasons for reduction division'!B53,'reductions data'!A:A,$M$25)</f>
        <v>0</v>
      </c>
      <c r="N53" s="62">
        <f>COUNTIFS('reductions data'!G:G,'reasons for reduction division'!B53,'reductions data'!A:A,$N$25)</f>
        <v>0</v>
      </c>
      <c r="O53" s="105">
        <f>COUNTIF('reductions data'!G:G,'reasons for reduction division'!B53)</f>
        <v>0</v>
      </c>
    </row>
    <row r="54" spans="2:15" x14ac:dyDescent="0.15">
      <c r="B54" s="320" t="s">
        <v>1205</v>
      </c>
      <c r="C54" s="62">
        <f>COUNTIFS('reductions data'!G:G,'reasons for reduction division'!B54,'reductions data'!A:A,$C$25)</f>
        <v>0</v>
      </c>
      <c r="D54" s="62">
        <f>COUNTIFS('reductions data'!G:G,'reasons for reduction division'!B54,'reductions data'!A:A,$D$25)</f>
        <v>0</v>
      </c>
      <c r="E54" s="62">
        <f>COUNTIFS('reductions data'!G:G,'reasons for reduction division'!B54,'reductions data'!A:A,$E$25)</f>
        <v>0</v>
      </c>
      <c r="F54" s="62">
        <f>COUNTIFS('reductions data'!G:G,'reasons for reduction division'!B54,'reductions data'!A:A,$F$25)</f>
        <v>0</v>
      </c>
      <c r="G54" s="62">
        <f>COUNTIFS('reductions data'!G:G,'reasons for reduction division'!B54,'reductions data'!A:A,$G$25)</f>
        <v>0</v>
      </c>
      <c r="H54" s="62">
        <f>COUNTIFS('reductions data'!G:G,'reasons for reduction division'!B54,'reductions data'!A:A,$H$25)</f>
        <v>0</v>
      </c>
      <c r="I54" s="62">
        <f>COUNTIFS('reductions data'!G:G,'reasons for reduction division'!B54,'reductions data'!A:A,$I$25)</f>
        <v>0</v>
      </c>
      <c r="J54" s="62">
        <f>COUNTIFS('reductions data'!G:G,'reasons for reduction division'!B54,'reductions data'!A:A,$J$25)</f>
        <v>0</v>
      </c>
      <c r="K54" s="62">
        <f>COUNTIFS('reductions data'!G:G,'reasons for reduction division'!B54,'reductions data'!A:A,$K$25)</f>
        <v>0</v>
      </c>
      <c r="L54" s="62">
        <f>COUNTIFS('reductions data'!G:G,'reasons for reduction division'!B54,'reductions data'!A:A,$L$25)</f>
        <v>0</v>
      </c>
      <c r="M54" s="62">
        <f>COUNTIFS('reductions data'!G:G,'reasons for reduction division'!B54,'reductions data'!A:A,$M$25)</f>
        <v>0</v>
      </c>
      <c r="N54" s="62">
        <f>COUNTIFS('reductions data'!G:G,'reasons for reduction division'!B54,'reductions data'!A:A,$N$25)</f>
        <v>0</v>
      </c>
      <c r="O54" s="105">
        <f>COUNTIF('reductions data'!G:G,'reasons for reduction division'!B54)</f>
        <v>0</v>
      </c>
    </row>
    <row r="55" spans="2:15" x14ac:dyDescent="0.15">
      <c r="B55" s="112" t="s">
        <v>1199</v>
      </c>
      <c r="C55" s="62">
        <f>COUNTIFS('reductions data'!G:G,'reasons for reduction division'!B55,'reductions data'!A:A,$C$25)</f>
        <v>0</v>
      </c>
      <c r="D55" s="62">
        <f>COUNTIFS('reductions data'!G:G,'reasons for reduction division'!B55,'reductions data'!A:A,$D$25)</f>
        <v>0</v>
      </c>
      <c r="E55" s="62">
        <f>COUNTIFS('reductions data'!G:G,'reasons for reduction division'!B55,'reductions data'!A:A,$E$25)</f>
        <v>0</v>
      </c>
      <c r="F55" s="62">
        <f>COUNTIFS('reductions data'!G:G,'reasons for reduction division'!B55,'reductions data'!A:A,$F$25)</f>
        <v>0</v>
      </c>
      <c r="G55" s="62">
        <f>COUNTIFS('reductions data'!G:G,'reasons for reduction division'!B55,'reductions data'!A:A,$G$25)</f>
        <v>0</v>
      </c>
      <c r="H55" s="62">
        <f>COUNTIFS('reductions data'!G:G,'reasons for reduction division'!B55,'reductions data'!A:A,$H$25)</f>
        <v>0</v>
      </c>
      <c r="I55" s="62">
        <f>COUNTIFS('reductions data'!G:G,'reasons for reduction division'!B55,'reductions data'!A:A,$I$25)</f>
        <v>0</v>
      </c>
      <c r="J55" s="62">
        <f>COUNTIFS('reductions data'!G:G,'reasons for reduction division'!B55,'reductions data'!A:A,$J$25)</f>
        <v>0</v>
      </c>
      <c r="K55" s="62">
        <f>COUNTIFS('reductions data'!G:G,'reasons for reduction division'!B55,'reductions data'!A:A,$K$25)</f>
        <v>0</v>
      </c>
      <c r="L55" s="62">
        <f>COUNTIFS('reductions data'!G:G,'reasons for reduction division'!B55,'reductions data'!A:A,$L$25)</f>
        <v>0</v>
      </c>
      <c r="M55" s="62">
        <f>COUNTIFS('reductions data'!G:G,'reasons for reduction division'!B55,'reductions data'!A:A,$M$25)</f>
        <v>0</v>
      </c>
      <c r="N55" s="62">
        <f>COUNTIFS('reductions data'!G:G,'reasons for reduction division'!B55,'reductions data'!A:A,$N$25)</f>
        <v>0</v>
      </c>
      <c r="O55" s="105">
        <f>COUNTIF('reductions data'!G:G,'reasons for reduction division'!B55)</f>
        <v>0</v>
      </c>
    </row>
    <row r="56" spans="2:15" x14ac:dyDescent="0.15">
      <c r="B56" s="113" t="s">
        <v>1200</v>
      </c>
      <c r="C56" s="62">
        <f>COUNTIFS('reductions data'!G:G,'reasons for reduction division'!B56,'reductions data'!A:A,$C$25)</f>
        <v>0</v>
      </c>
      <c r="D56" s="62">
        <f>COUNTIFS('reductions data'!G:G,'reasons for reduction division'!B56,'reductions data'!A:A,$D$25)</f>
        <v>0</v>
      </c>
      <c r="E56" s="62">
        <f>COUNTIFS('reductions data'!G:G,'reasons for reduction division'!B56,'reductions data'!A:A,$E$25)</f>
        <v>0</v>
      </c>
      <c r="F56" s="62">
        <f>COUNTIFS('reductions data'!G:G,'reasons for reduction division'!B56,'reductions data'!A:A,$F$25)</f>
        <v>0</v>
      </c>
      <c r="G56" s="62">
        <f>COUNTIFS('reductions data'!G:G,'reasons for reduction division'!B56,'reductions data'!A:A,$G$25)</f>
        <v>0</v>
      </c>
      <c r="H56" s="62">
        <f>COUNTIFS('reductions data'!G:G,'reasons for reduction division'!B56,'reductions data'!A:A,$H$25)</f>
        <v>0</v>
      </c>
      <c r="I56" s="62">
        <f>COUNTIFS('reductions data'!G:G,'reasons for reduction division'!B56,'reductions data'!A:A,$I$25)</f>
        <v>0</v>
      </c>
      <c r="J56" s="62">
        <f>COUNTIFS('reductions data'!G:G,'reasons for reduction division'!B56,'reductions data'!A:A,$J$25)</f>
        <v>0</v>
      </c>
      <c r="K56" s="62">
        <f>COUNTIFS('reductions data'!G:G,'reasons for reduction division'!B56,'reductions data'!A:A,$K$25)</f>
        <v>0</v>
      </c>
      <c r="L56" s="62">
        <f>COUNTIFS('reductions data'!G:G,'reasons for reduction division'!B56,'reductions data'!A:A,$L$25)</f>
        <v>0</v>
      </c>
      <c r="M56" s="62">
        <f>COUNTIFS('reductions data'!G:G,'reasons for reduction division'!B56,'reductions data'!A:A,$M$25)</f>
        <v>0</v>
      </c>
      <c r="N56" s="62">
        <f>COUNTIFS('reductions data'!G:G,'reasons for reduction division'!B56,'reductions data'!A:A,$N$25)</f>
        <v>0</v>
      </c>
      <c r="O56" s="105">
        <f>COUNTIF('reductions data'!G:G,'reasons for reduction division'!B56)</f>
        <v>0</v>
      </c>
    </row>
    <row r="57" spans="2:15" x14ac:dyDescent="0.15">
      <c r="B57" s="113" t="s">
        <v>867</v>
      </c>
      <c r="C57" s="62">
        <f>COUNTIFS('reductions data'!G:G,'reasons for reduction division'!B57,'reductions data'!A:A,$C$25)</f>
        <v>0</v>
      </c>
      <c r="D57" s="62">
        <f>COUNTIFS('reductions data'!G:G,'reasons for reduction division'!B57,'reductions data'!A:A,$D$25)</f>
        <v>0</v>
      </c>
      <c r="E57" s="62">
        <f>COUNTIFS('reductions data'!G:G,'reasons for reduction division'!B57,'reductions data'!A:A,$E$25)</f>
        <v>0</v>
      </c>
      <c r="F57" s="62">
        <f>COUNTIFS('reductions data'!G:G,'reasons for reduction division'!B57,'reductions data'!A:A,$F$25)</f>
        <v>0</v>
      </c>
      <c r="G57" s="62">
        <f>COUNTIFS('reductions data'!G:G,'reasons for reduction division'!B57,'reductions data'!A:A,$G$25)</f>
        <v>0</v>
      </c>
      <c r="H57" s="62">
        <f>COUNTIFS('reductions data'!G:G,'reasons for reduction division'!B57,'reductions data'!A:A,$H$25)</f>
        <v>0</v>
      </c>
      <c r="I57" s="62">
        <f>COUNTIFS('reductions data'!G:G,'reasons for reduction division'!B57,'reductions data'!A:A,$I$25)</f>
        <v>0</v>
      </c>
      <c r="J57" s="62">
        <f>COUNTIFS('reductions data'!G:G,'reasons for reduction division'!B57,'reductions data'!A:A,$J$25)</f>
        <v>0</v>
      </c>
      <c r="K57" s="62">
        <f>COUNTIFS('reductions data'!G:G,'reasons for reduction division'!B57,'reductions data'!A:A,$K$25)</f>
        <v>0</v>
      </c>
      <c r="L57" s="62">
        <f>COUNTIFS('reductions data'!G:G,'reasons for reduction division'!B57,'reductions data'!A:A,$L$25)</f>
        <v>0</v>
      </c>
      <c r="M57" s="62">
        <f>COUNTIFS('reductions data'!G:G,'reasons for reduction division'!B57,'reductions data'!A:A,$M$25)</f>
        <v>0</v>
      </c>
      <c r="N57" s="62">
        <f>COUNTIFS('reductions data'!G:G,'reasons for reduction division'!B57,'reductions data'!A:A,$N$25)</f>
        <v>0</v>
      </c>
      <c r="O57" s="105">
        <f>COUNTIF('reductions data'!G:G,'reasons for reduction division'!B57)</f>
        <v>0</v>
      </c>
    </row>
    <row r="58" spans="2:15" x14ac:dyDescent="0.15">
      <c r="B58" s="113" t="s">
        <v>868</v>
      </c>
      <c r="C58" s="62">
        <f>COUNTIFS('reductions data'!G:G,'reasons for reduction division'!B58,'reductions data'!A:A,$C$25)</f>
        <v>0</v>
      </c>
      <c r="D58" s="62">
        <f>COUNTIFS('reductions data'!G:G,'reasons for reduction division'!B58,'reductions data'!A:A,$D$25)</f>
        <v>0</v>
      </c>
      <c r="E58" s="62">
        <f>COUNTIFS('reductions data'!G:G,'reasons for reduction division'!B58,'reductions data'!A:A,$E$25)</f>
        <v>0</v>
      </c>
      <c r="F58" s="62">
        <f>COUNTIFS('reductions data'!G:G,'reasons for reduction division'!B58,'reductions data'!A:A,$F$25)</f>
        <v>0</v>
      </c>
      <c r="G58" s="62">
        <f>COUNTIFS('reductions data'!G:G,'reasons for reduction division'!B58,'reductions data'!A:A,$G$25)</f>
        <v>0</v>
      </c>
      <c r="H58" s="62">
        <f>COUNTIFS('reductions data'!G:G,'reasons for reduction division'!B58,'reductions data'!A:A,$H$25)</f>
        <v>0</v>
      </c>
      <c r="I58" s="62">
        <f>COUNTIFS('reductions data'!G:G,'reasons for reduction division'!B58,'reductions data'!A:A,$I$25)</f>
        <v>0</v>
      </c>
      <c r="J58" s="62">
        <f>COUNTIFS('reductions data'!G:G,'reasons for reduction division'!B58,'reductions data'!A:A,$J$25)</f>
        <v>0</v>
      </c>
      <c r="K58" s="62">
        <f>COUNTIFS('reductions data'!G:G,'reasons for reduction division'!B58,'reductions data'!A:A,$K$25)</f>
        <v>0</v>
      </c>
      <c r="L58" s="62">
        <f>COUNTIFS('reductions data'!G:G,'reasons for reduction division'!B58,'reductions data'!A:A,$L$25)</f>
        <v>0</v>
      </c>
      <c r="M58" s="62">
        <f>COUNTIFS('reductions data'!G:G,'reasons for reduction division'!B58,'reductions data'!A:A,$M$25)</f>
        <v>0</v>
      </c>
      <c r="N58" s="62">
        <f>COUNTIFS('reductions data'!G:G,'reasons for reduction division'!B58,'reductions data'!A:A,$N$25)</f>
        <v>0</v>
      </c>
      <c r="O58" s="105">
        <f>COUNTIF('reductions data'!G:G,'reasons for reduction division'!B58)</f>
        <v>0</v>
      </c>
    </row>
    <row r="59" spans="2:15" x14ac:dyDescent="0.15">
      <c r="B59" s="113" t="s">
        <v>869</v>
      </c>
      <c r="C59" s="62">
        <f>COUNTIFS('reductions data'!G:G,'reasons for reduction division'!B59,'reductions data'!A:A,$C$25)</f>
        <v>0</v>
      </c>
      <c r="D59" s="62">
        <f>COUNTIFS('reductions data'!G:G,'reasons for reduction division'!B59,'reductions data'!A:A,$D$25)</f>
        <v>0</v>
      </c>
      <c r="E59" s="62">
        <f>COUNTIFS('reductions data'!G:G,'reasons for reduction division'!B59,'reductions data'!A:A,$E$25)</f>
        <v>0</v>
      </c>
      <c r="F59" s="62">
        <f>COUNTIFS('reductions data'!G:G,'reasons for reduction division'!B59,'reductions data'!A:A,$F$25)</f>
        <v>0</v>
      </c>
      <c r="G59" s="62">
        <f>COUNTIFS('reductions data'!G:G,'reasons for reduction division'!B59,'reductions data'!A:A,$G$25)</f>
        <v>0</v>
      </c>
      <c r="H59" s="62">
        <f>COUNTIFS('reductions data'!G:G,'reasons for reduction division'!B59,'reductions data'!A:A,$H$25)</f>
        <v>0</v>
      </c>
      <c r="I59" s="62">
        <f>COUNTIFS('reductions data'!G:G,'reasons for reduction division'!B59,'reductions data'!A:A,$I$25)</f>
        <v>0</v>
      </c>
      <c r="J59" s="62">
        <f>COUNTIFS('reductions data'!G:G,'reasons for reduction division'!B59,'reductions data'!A:A,$J$25)</f>
        <v>0</v>
      </c>
      <c r="K59" s="62">
        <f>COUNTIFS('reductions data'!G:G,'reasons for reduction division'!B59,'reductions data'!A:A,$K$25)</f>
        <v>0</v>
      </c>
      <c r="L59" s="62">
        <f>COUNTIFS('reductions data'!G:G,'reasons for reduction division'!B59,'reductions data'!A:A,$L$25)</f>
        <v>0</v>
      </c>
      <c r="M59" s="62">
        <f>COUNTIFS('reductions data'!G:G,'reasons for reduction division'!B59,'reductions data'!A:A,$M$25)</f>
        <v>0</v>
      </c>
      <c r="N59" s="62">
        <f>COUNTIFS('reductions data'!G:G,'reasons for reduction division'!B59,'reductions data'!A:A,$N$25)</f>
        <v>0</v>
      </c>
      <c r="O59" s="105">
        <f>COUNTIF('reductions data'!G:G,'reasons for reduction division'!B59)</f>
        <v>0</v>
      </c>
    </row>
    <row r="60" spans="2:15" x14ac:dyDescent="0.15">
      <c r="B60" s="320" t="s">
        <v>1201</v>
      </c>
      <c r="C60" s="62">
        <f>COUNTIFS('reductions data'!G:G,'reasons for reduction division'!B60,'reductions data'!A:A,$C$25)</f>
        <v>0</v>
      </c>
      <c r="D60" s="62">
        <f>COUNTIFS('reductions data'!G:G,'reasons for reduction division'!B60,'reductions data'!A:A,$D$25)</f>
        <v>0</v>
      </c>
      <c r="E60" s="62">
        <f>COUNTIFS('reductions data'!G:G,'reasons for reduction division'!B60,'reductions data'!A:A,$E$25)</f>
        <v>0</v>
      </c>
      <c r="F60" s="62">
        <f>COUNTIFS('reductions data'!G:G,'reasons for reduction division'!B60,'reductions data'!A:A,$F$25)</f>
        <v>0</v>
      </c>
      <c r="G60" s="62">
        <f>COUNTIFS('reductions data'!G:G,'reasons for reduction division'!B60,'reductions data'!A:A,$G$25)</f>
        <v>0</v>
      </c>
      <c r="H60" s="62">
        <f>COUNTIFS('reductions data'!G:G,'reasons for reduction division'!B60,'reductions data'!A:A,$H$25)</f>
        <v>0</v>
      </c>
      <c r="I60" s="62">
        <f>COUNTIFS('reductions data'!G:G,'reasons for reduction division'!B60,'reductions data'!A:A,$I$25)</f>
        <v>0</v>
      </c>
      <c r="J60" s="62">
        <f>COUNTIFS('reductions data'!G:G,'reasons for reduction division'!B60,'reductions data'!A:A,$J$25)</f>
        <v>0</v>
      </c>
      <c r="K60" s="62">
        <f>COUNTIFS('reductions data'!G:G,'reasons for reduction division'!B60,'reductions data'!A:A,$K$25)</f>
        <v>0</v>
      </c>
      <c r="L60" s="62">
        <f>COUNTIFS('reductions data'!G:G,'reasons for reduction division'!B60,'reductions data'!A:A,$L$25)</f>
        <v>0</v>
      </c>
      <c r="M60" s="62">
        <f>COUNTIFS('reductions data'!G:G,'reasons for reduction division'!B60,'reductions data'!A:A,$M$25)</f>
        <v>0</v>
      </c>
      <c r="N60" s="62">
        <f>COUNTIFS('reductions data'!G:G,'reasons for reduction division'!B60,'reductions data'!A:A,$N$25)</f>
        <v>0</v>
      </c>
      <c r="O60" s="105">
        <f>COUNTIF('reductions data'!G:G,'reasons for reduction division'!B60)</f>
        <v>0</v>
      </c>
    </row>
    <row r="61" spans="2:15" x14ac:dyDescent="0.15">
      <c r="B61" s="320" t="s">
        <v>1202</v>
      </c>
      <c r="C61" s="62">
        <f>COUNTIFS('reductions data'!G:G,'reasons for reduction division'!B61,'reductions data'!A:A,$C$25)</f>
        <v>0</v>
      </c>
      <c r="D61" s="62">
        <f>COUNTIFS('reductions data'!G:G,'reasons for reduction division'!B61,'reductions data'!A:A,$D$25)</f>
        <v>0</v>
      </c>
      <c r="E61" s="62">
        <f>COUNTIFS('reductions data'!G:G,'reasons for reduction division'!B61,'reductions data'!A:A,$E$25)</f>
        <v>0</v>
      </c>
      <c r="F61" s="62">
        <f>COUNTIFS('reductions data'!G:G,'reasons for reduction division'!B61,'reductions data'!A:A,$F$25)</f>
        <v>0</v>
      </c>
      <c r="G61" s="62">
        <f>COUNTIFS('reductions data'!G:G,'reasons for reduction division'!B61,'reductions data'!A:A,$G$25)</f>
        <v>0</v>
      </c>
      <c r="H61" s="62">
        <f>COUNTIFS('reductions data'!G:G,'reasons for reduction division'!B61,'reductions data'!A:A,$H$25)</f>
        <v>0</v>
      </c>
      <c r="I61" s="62">
        <f>COUNTIFS('reductions data'!G:G,'reasons for reduction division'!B61,'reductions data'!A:A,$I$25)</f>
        <v>0</v>
      </c>
      <c r="J61" s="62">
        <f>COUNTIFS('reductions data'!G:G,'reasons for reduction division'!B61,'reductions data'!A:A,$J$25)</f>
        <v>0</v>
      </c>
      <c r="K61" s="62">
        <f>COUNTIFS('reductions data'!G:G,'reasons for reduction division'!B61,'reductions data'!A:A,$K$25)</f>
        <v>0</v>
      </c>
      <c r="L61" s="62">
        <f>COUNTIFS('reductions data'!G:G,'reasons for reduction division'!B61,'reductions data'!A:A,$L$25)</f>
        <v>0</v>
      </c>
      <c r="M61" s="62">
        <f>COUNTIFS('reductions data'!G:G,'reasons for reduction division'!B61,'reductions data'!A:A,$M$25)</f>
        <v>0</v>
      </c>
      <c r="N61" s="62">
        <f>COUNTIFS('reductions data'!G:G,'reasons for reduction division'!B61,'reductions data'!A:A,$N$25)</f>
        <v>0</v>
      </c>
      <c r="O61" s="105">
        <f>COUNTIF('reductions data'!G:G,'reasons for reduction division'!B61)</f>
        <v>0</v>
      </c>
    </row>
    <row r="62" spans="2:15" x14ac:dyDescent="0.15">
      <c r="B62" s="320" t="s">
        <v>1206</v>
      </c>
      <c r="C62" s="62">
        <f>COUNTIFS('reductions data'!G:G,'reasons for reduction division'!B62,'reductions data'!A:A,$C$25)</f>
        <v>0</v>
      </c>
      <c r="D62" s="62">
        <f>COUNTIFS('reductions data'!G:G,'reasons for reduction division'!B62,'reductions data'!A:A,$D$25)</f>
        <v>0</v>
      </c>
      <c r="E62" s="62">
        <f>COUNTIFS('reductions data'!G:G,'reasons for reduction division'!B62,'reductions data'!A:A,$E$25)</f>
        <v>0</v>
      </c>
      <c r="F62" s="62">
        <f>COUNTIFS('reductions data'!G:G,'reasons for reduction division'!B62,'reductions data'!A:A,$F$25)</f>
        <v>0</v>
      </c>
      <c r="G62" s="62">
        <f>COUNTIFS('reductions data'!G:G,'reasons for reduction division'!B62,'reductions data'!A:A,$G$25)</f>
        <v>0</v>
      </c>
      <c r="H62" s="62">
        <f>COUNTIFS('reductions data'!G:G,'reasons for reduction division'!B62,'reductions data'!A:A,$H$25)</f>
        <v>0</v>
      </c>
      <c r="I62" s="62">
        <f>COUNTIFS('reductions data'!G:G,'reasons for reduction division'!B62,'reductions data'!A:A,$I$25)</f>
        <v>0</v>
      </c>
      <c r="J62" s="62">
        <f>COUNTIFS('reductions data'!G:G,'reasons for reduction division'!B62,'reductions data'!A:A,$J$25)</f>
        <v>0</v>
      </c>
      <c r="K62" s="62">
        <f>COUNTIFS('reductions data'!G:G,'reasons for reduction division'!B62,'reductions data'!A:A,$K$25)</f>
        <v>0</v>
      </c>
      <c r="L62" s="62">
        <f>COUNTIFS('reductions data'!G:G,'reasons for reduction division'!B62,'reductions data'!A:A,$L$25)</f>
        <v>0</v>
      </c>
      <c r="M62" s="62">
        <f>COUNTIFS('reductions data'!G:G,'reasons for reduction division'!B62,'reductions data'!A:A,$M$25)</f>
        <v>0</v>
      </c>
      <c r="N62" s="62">
        <f>COUNTIFS('reductions data'!G:G,'reasons for reduction division'!B62,'reductions data'!A:A,$N$25)</f>
        <v>0</v>
      </c>
      <c r="O62" s="105">
        <f>COUNTIF('reductions data'!G:G,'reasons for reduction division'!B62)</f>
        <v>0</v>
      </c>
    </row>
    <row r="63" spans="2:15" x14ac:dyDescent="0.15">
      <c r="B63" s="113" t="s">
        <v>870</v>
      </c>
      <c r="C63" s="62">
        <f>COUNTIFS('reductions data'!G:G,'reasons for reduction division'!B63,'reductions data'!A:A,$C$25)</f>
        <v>0</v>
      </c>
      <c r="D63" s="62">
        <f>COUNTIFS('reductions data'!G:G,'reasons for reduction division'!B63,'reductions data'!A:A,$D$25)</f>
        <v>0</v>
      </c>
      <c r="E63" s="62">
        <f>COUNTIFS('reductions data'!G:G,'reasons for reduction division'!B63,'reductions data'!A:A,$E$25)</f>
        <v>0</v>
      </c>
      <c r="F63" s="62">
        <f>COUNTIFS('reductions data'!G:G,'reasons for reduction division'!B63,'reductions data'!A:A,$F$25)</f>
        <v>0</v>
      </c>
      <c r="G63" s="62">
        <f>COUNTIFS('reductions data'!G:G,'reasons for reduction division'!B63,'reductions data'!A:A,$G$25)</f>
        <v>0</v>
      </c>
      <c r="H63" s="62">
        <f>COUNTIFS('reductions data'!G:G,'reasons for reduction division'!B63,'reductions data'!A:A,$H$25)</f>
        <v>0</v>
      </c>
      <c r="I63" s="62">
        <f>COUNTIFS('reductions data'!G:G,'reasons for reduction division'!B63,'reductions data'!A:A,$I$25)</f>
        <v>0</v>
      </c>
      <c r="J63" s="62">
        <f>COUNTIFS('reductions data'!G:G,'reasons for reduction division'!B63,'reductions data'!A:A,$J$25)</f>
        <v>0</v>
      </c>
      <c r="K63" s="62">
        <f>COUNTIFS('reductions data'!G:G,'reasons for reduction division'!B63,'reductions data'!A:A,$K$25)</f>
        <v>0</v>
      </c>
      <c r="L63" s="62">
        <f>COUNTIFS('reductions data'!G:G,'reasons for reduction division'!B63,'reductions data'!A:A,$L$25)</f>
        <v>0</v>
      </c>
      <c r="M63" s="62">
        <f>COUNTIFS('reductions data'!G:G,'reasons for reduction division'!B63,'reductions data'!A:A,$M$25)</f>
        <v>0</v>
      </c>
      <c r="N63" s="62">
        <f>COUNTIFS('reductions data'!G:G,'reasons for reduction division'!B63,'reductions data'!A:A,$N$25)</f>
        <v>0</v>
      </c>
      <c r="O63" s="105">
        <f>COUNTIF('reductions data'!G:G,'reasons for reduction division'!B63)</f>
        <v>0</v>
      </c>
    </row>
    <row r="64" spans="2:15" x14ac:dyDescent="0.15">
      <c r="B64" s="113" t="s">
        <v>871</v>
      </c>
      <c r="C64" s="62">
        <f>COUNTIFS('reductions data'!G:G,'reasons for reduction division'!B64,'reductions data'!A:A,$C$25)</f>
        <v>0</v>
      </c>
      <c r="D64" s="62">
        <f>COUNTIFS('reductions data'!G:G,'reasons for reduction division'!B64,'reductions data'!A:A,$D$25)</f>
        <v>0</v>
      </c>
      <c r="E64" s="62">
        <f>COUNTIFS('reductions data'!G:G,'reasons for reduction division'!B64,'reductions data'!A:A,$E$25)</f>
        <v>0</v>
      </c>
      <c r="F64" s="62">
        <f>COUNTIFS('reductions data'!G:G,'reasons for reduction division'!B64,'reductions data'!A:A,$F$25)</f>
        <v>0</v>
      </c>
      <c r="G64" s="62">
        <f>COUNTIFS('reductions data'!G:G,'reasons for reduction division'!B64,'reductions data'!A:A,$G$25)</f>
        <v>0</v>
      </c>
      <c r="H64" s="62">
        <f>COUNTIFS('reductions data'!G:G,'reasons for reduction division'!B64,'reductions data'!A:A,$H$25)</f>
        <v>0</v>
      </c>
      <c r="I64" s="62">
        <f>COUNTIFS('reductions data'!G:G,'reasons for reduction division'!B64,'reductions data'!A:A,$I$25)</f>
        <v>0</v>
      </c>
      <c r="J64" s="62">
        <f>COUNTIFS('reductions data'!G:G,'reasons for reduction division'!B64,'reductions data'!A:A,$J$25)</f>
        <v>0</v>
      </c>
      <c r="K64" s="62">
        <f>COUNTIFS('reductions data'!G:G,'reasons for reduction division'!B64,'reductions data'!A:A,$K$25)</f>
        <v>0</v>
      </c>
      <c r="L64" s="62">
        <f>COUNTIFS('reductions data'!G:G,'reasons for reduction division'!B64,'reductions data'!A:A,$L$25)</f>
        <v>0</v>
      </c>
      <c r="M64" s="62">
        <f>COUNTIFS('reductions data'!G:G,'reasons for reduction division'!B64,'reductions data'!A:A,$M$25)</f>
        <v>0</v>
      </c>
      <c r="N64" s="62">
        <f>COUNTIFS('reductions data'!G:G,'reasons for reduction division'!B64,'reductions data'!A:A,$N$25)</f>
        <v>0</v>
      </c>
      <c r="O64" s="105">
        <f>COUNTIF('reductions data'!G:G,'reasons for reduction division'!B64)</f>
        <v>0</v>
      </c>
    </row>
    <row r="65" spans="2:15" x14ac:dyDescent="0.15">
      <c r="B65" s="113" t="s">
        <v>872</v>
      </c>
      <c r="C65" s="62">
        <f>COUNTIFS('reductions data'!G:G,'reasons for reduction division'!B65,'reductions data'!A:A,$C$25)</f>
        <v>0</v>
      </c>
      <c r="D65" s="62">
        <f>COUNTIFS('reductions data'!G:G,'reasons for reduction division'!B65,'reductions data'!A:A,$D$25)</f>
        <v>0</v>
      </c>
      <c r="E65" s="62">
        <f>COUNTIFS('reductions data'!G:G,'reasons for reduction division'!B65,'reductions data'!A:A,$E$25)</f>
        <v>0</v>
      </c>
      <c r="F65" s="62">
        <f>COUNTIFS('reductions data'!G:G,'reasons for reduction division'!B65,'reductions data'!A:A,$F$25)</f>
        <v>0</v>
      </c>
      <c r="G65" s="62">
        <f>COUNTIFS('reductions data'!G:G,'reasons for reduction division'!B65,'reductions data'!A:A,$G$25)</f>
        <v>0</v>
      </c>
      <c r="H65" s="62">
        <f>COUNTIFS('reductions data'!G:G,'reasons for reduction division'!B65,'reductions data'!A:A,$H$25)</f>
        <v>0</v>
      </c>
      <c r="I65" s="62">
        <f>COUNTIFS('reductions data'!G:G,'reasons for reduction division'!B65,'reductions data'!A:A,$I$25)</f>
        <v>0</v>
      </c>
      <c r="J65" s="62">
        <f>COUNTIFS('reductions data'!G:G,'reasons for reduction division'!B65,'reductions data'!A:A,$J$25)</f>
        <v>0</v>
      </c>
      <c r="K65" s="62">
        <f>COUNTIFS('reductions data'!G:G,'reasons for reduction division'!B65,'reductions data'!A:A,$K$25)</f>
        <v>0</v>
      </c>
      <c r="L65" s="62">
        <f>COUNTIFS('reductions data'!G:G,'reasons for reduction division'!B65,'reductions data'!A:A,$L$25)</f>
        <v>0</v>
      </c>
      <c r="M65" s="62">
        <f>COUNTIFS('reductions data'!G:G,'reasons for reduction division'!B65,'reductions data'!A:A,$M$25)</f>
        <v>0</v>
      </c>
      <c r="N65" s="62">
        <f>COUNTIFS('reductions data'!G:G,'reasons for reduction division'!B65,'reductions data'!A:A,$N$25)</f>
        <v>0</v>
      </c>
      <c r="O65" s="105">
        <f>COUNTIF('reductions data'!G:G,'reasons for reduction division'!B65)</f>
        <v>0</v>
      </c>
    </row>
    <row r="66" spans="2:15" x14ac:dyDescent="0.15">
      <c r="B66" s="113" t="s">
        <v>866</v>
      </c>
      <c r="C66" s="62">
        <f>COUNTIFS('reductions data'!G:G,'reasons for reduction division'!B66,'reductions data'!A:A,$C$25)</f>
        <v>0</v>
      </c>
      <c r="D66" s="62">
        <f>COUNTIFS('reductions data'!G:G,'reasons for reduction division'!B66,'reductions data'!A:A,$D$25)</f>
        <v>0</v>
      </c>
      <c r="E66" s="62">
        <f>COUNTIFS('reductions data'!G:G,'reasons for reduction division'!B66,'reductions data'!A:A,$E$25)</f>
        <v>0</v>
      </c>
      <c r="F66" s="62">
        <f>COUNTIFS('reductions data'!G:G,'reasons for reduction division'!B66,'reductions data'!A:A,$F$25)</f>
        <v>0</v>
      </c>
      <c r="G66" s="62">
        <f>COUNTIFS('reductions data'!G:G,'reasons for reduction division'!B66,'reductions data'!A:A,$G$25)</f>
        <v>0</v>
      </c>
      <c r="H66" s="62">
        <f>COUNTIFS('reductions data'!G:G,'reasons for reduction division'!B66,'reductions data'!A:A,$H$25)</f>
        <v>0</v>
      </c>
      <c r="I66" s="62">
        <f>COUNTIFS('reductions data'!G:G,'reasons for reduction division'!B66,'reductions data'!A:A,$I$25)</f>
        <v>0</v>
      </c>
      <c r="J66" s="62">
        <f>COUNTIFS('reductions data'!G:G,'reasons for reduction division'!B66,'reductions data'!A:A,$J$25)</f>
        <v>0</v>
      </c>
      <c r="K66" s="62">
        <f>COUNTIFS('reductions data'!G:G,'reasons for reduction division'!B66,'reductions data'!A:A,$K$25)</f>
        <v>0</v>
      </c>
      <c r="L66" s="62">
        <f>COUNTIFS('reductions data'!G:G,'reasons for reduction division'!B66,'reductions data'!A:A,$L$25)</f>
        <v>0</v>
      </c>
      <c r="M66" s="62">
        <f>COUNTIFS('reductions data'!G:G,'reasons for reduction division'!B66,'reductions data'!A:A,$M$25)</f>
        <v>0</v>
      </c>
      <c r="N66" s="62">
        <f>COUNTIFS('reductions data'!G:G,'reasons for reduction division'!B66,'reductions data'!A:A,$N$25)</f>
        <v>0</v>
      </c>
      <c r="O66" s="105">
        <f>COUNTIF('reductions data'!G:G,'reasons for reduction division'!B66)</f>
        <v>0</v>
      </c>
    </row>
    <row r="67" spans="2:15" x14ac:dyDescent="0.15">
      <c r="B67" s="113" t="s">
        <v>873</v>
      </c>
      <c r="C67" s="62">
        <f>COUNTIFS('reductions data'!G:G,'reasons for reduction division'!B67,'reductions data'!A:A,$C$25)</f>
        <v>0</v>
      </c>
      <c r="D67" s="62">
        <f>COUNTIFS('reductions data'!G:G,'reasons for reduction division'!B67,'reductions data'!A:A,$D$25)</f>
        <v>0</v>
      </c>
      <c r="E67" s="62">
        <f>COUNTIFS('reductions data'!G:G,'reasons for reduction division'!B67,'reductions data'!A:A,$E$25)</f>
        <v>0</v>
      </c>
      <c r="F67" s="62">
        <f>COUNTIFS('reductions data'!G:G,'reasons for reduction division'!B67,'reductions data'!A:A,$F$25)</f>
        <v>0</v>
      </c>
      <c r="G67" s="62">
        <f>COUNTIFS('reductions data'!G:G,'reasons for reduction division'!B67,'reductions data'!A:A,$G$25)</f>
        <v>0</v>
      </c>
      <c r="H67" s="62">
        <f>COUNTIFS('reductions data'!G:G,'reasons for reduction division'!B67,'reductions data'!A:A,$H$25)</f>
        <v>0</v>
      </c>
      <c r="I67" s="62">
        <f>COUNTIFS('reductions data'!G:G,'reasons for reduction division'!B67,'reductions data'!A:A,$I$25)</f>
        <v>0</v>
      </c>
      <c r="J67" s="62">
        <f>COUNTIFS('reductions data'!G:G,'reasons for reduction division'!B67,'reductions data'!A:A,$J$25)</f>
        <v>0</v>
      </c>
      <c r="K67" s="62">
        <f>COUNTIFS('reductions data'!G:G,'reasons for reduction division'!B67,'reductions data'!A:A,$K$25)</f>
        <v>0</v>
      </c>
      <c r="L67" s="62">
        <f>COUNTIFS('reductions data'!G:G,'reasons for reduction division'!B67,'reductions data'!A:A,$L$25)</f>
        <v>0</v>
      </c>
      <c r="M67" s="62">
        <f>COUNTIFS('reductions data'!G:G,'reasons for reduction division'!B67,'reductions data'!A:A,$M$25)</f>
        <v>0</v>
      </c>
      <c r="N67" s="62">
        <f>COUNTIFS('reductions data'!G:G,'reasons for reduction division'!B67,'reductions data'!A:A,$N$25)</f>
        <v>0</v>
      </c>
      <c r="O67" s="105">
        <f>COUNTIF('reductions data'!G:G,'reasons for reduction division'!B67)</f>
        <v>0</v>
      </c>
    </row>
    <row r="68" spans="2:15" x14ac:dyDescent="0.15">
      <c r="B68" s="112" t="s">
        <v>874</v>
      </c>
      <c r="C68" s="62">
        <f>COUNTIFS('reductions data'!G:G,'reasons for reduction division'!B68,'reductions data'!A:A,$C$25)</f>
        <v>0</v>
      </c>
      <c r="D68" s="62">
        <f>COUNTIFS('reductions data'!G:G,'reasons for reduction division'!B68,'reductions data'!A:A,$D$25)</f>
        <v>0</v>
      </c>
      <c r="E68" s="62">
        <f>COUNTIFS('reductions data'!G:G,'reasons for reduction division'!B68,'reductions data'!A:A,$E$25)</f>
        <v>0</v>
      </c>
      <c r="F68" s="62">
        <f>COUNTIFS('reductions data'!G:G,'reasons for reduction division'!B68,'reductions data'!A:A,$F$25)</f>
        <v>0</v>
      </c>
      <c r="G68" s="62">
        <f>COUNTIFS('reductions data'!G:G,'reasons for reduction division'!B68,'reductions data'!A:A,$G$25)</f>
        <v>0</v>
      </c>
      <c r="H68" s="62">
        <f>COUNTIFS('reductions data'!G:G,'reasons for reduction division'!B68,'reductions data'!A:A,$H$25)</f>
        <v>0</v>
      </c>
      <c r="I68" s="62">
        <f>COUNTIFS('reductions data'!G:G,'reasons for reduction division'!B68,'reductions data'!A:A,$I$25)</f>
        <v>0</v>
      </c>
      <c r="J68" s="62">
        <f>COUNTIFS('reductions data'!G:G,'reasons for reduction division'!B68,'reductions data'!A:A,$J$25)</f>
        <v>0</v>
      </c>
      <c r="K68" s="62">
        <f>COUNTIFS('reductions data'!G:G,'reasons for reduction division'!B68,'reductions data'!A:A,$K$25)</f>
        <v>0</v>
      </c>
      <c r="L68" s="62">
        <f>COUNTIFS('reductions data'!G:G,'reasons for reduction division'!B68,'reductions data'!A:A,$L$25)</f>
        <v>0</v>
      </c>
      <c r="M68" s="62">
        <f>COUNTIFS('reductions data'!G:G,'reasons for reduction division'!B68,'reductions data'!A:A,$M$25)</f>
        <v>0</v>
      </c>
      <c r="N68" s="62">
        <f>COUNTIFS('reductions data'!G:G,'reasons for reduction division'!B68,'reductions data'!A:A,$N$25)</f>
        <v>0</v>
      </c>
      <c r="O68" s="105">
        <f>COUNTIF('reductions data'!G:G,'reasons for reduction division'!B68)</f>
        <v>0</v>
      </c>
    </row>
    <row r="69" spans="2:15" x14ac:dyDescent="0.15">
      <c r="B69" s="113" t="s">
        <v>875</v>
      </c>
      <c r="C69" s="62">
        <f>COUNTIFS('reductions data'!G:G,'reasons for reduction division'!B69,'reductions data'!A:A,$C$25)</f>
        <v>0</v>
      </c>
      <c r="D69" s="62">
        <f>COUNTIFS('reductions data'!G:G,'reasons for reduction division'!B69,'reductions data'!A:A,$D$25)</f>
        <v>0</v>
      </c>
      <c r="E69" s="62">
        <f>COUNTIFS('reductions data'!G:G,'reasons for reduction division'!B69,'reductions data'!A:A,$E$25)</f>
        <v>0</v>
      </c>
      <c r="F69" s="62">
        <f>COUNTIFS('reductions data'!G:G,'reasons for reduction division'!B69,'reductions data'!A:A,$F$25)</f>
        <v>0</v>
      </c>
      <c r="G69" s="62">
        <f>COUNTIFS('reductions data'!G:G,'reasons for reduction division'!B69,'reductions data'!A:A,$G$25)</f>
        <v>0</v>
      </c>
      <c r="H69" s="62">
        <f>COUNTIFS('reductions data'!G:G,'reasons for reduction division'!B69,'reductions data'!A:A,$H$25)</f>
        <v>0</v>
      </c>
      <c r="I69" s="62">
        <f>COUNTIFS('reductions data'!G:G,'reasons for reduction division'!B69,'reductions data'!A:A,$I$25)</f>
        <v>0</v>
      </c>
      <c r="J69" s="62">
        <f>COUNTIFS('reductions data'!G:G,'reasons for reduction division'!B69,'reductions data'!A:A,$J$25)</f>
        <v>0</v>
      </c>
      <c r="K69" s="62">
        <f>COUNTIFS('reductions data'!G:G,'reasons for reduction division'!B69,'reductions data'!A:A,$K$25)</f>
        <v>0</v>
      </c>
      <c r="L69" s="62">
        <f>COUNTIFS('reductions data'!G:G,'reasons for reduction division'!B69,'reductions data'!A:A,$L$25)</f>
        <v>0</v>
      </c>
      <c r="M69" s="62">
        <f>COUNTIFS('reductions data'!G:G,'reasons for reduction division'!B69,'reductions data'!A:A,$M$25)</f>
        <v>0</v>
      </c>
      <c r="N69" s="62">
        <f>COUNTIFS('reductions data'!G:G,'reasons for reduction division'!B69,'reductions data'!A:A,$N$25)</f>
        <v>0</v>
      </c>
      <c r="O69" s="105">
        <f>COUNTIF('reductions data'!G:G,'reasons for reduction division'!B69)</f>
        <v>0</v>
      </c>
    </row>
    <row r="70" spans="2:15" x14ac:dyDescent="0.15">
      <c r="B70" s="113" t="s">
        <v>876</v>
      </c>
      <c r="C70" s="62">
        <f>COUNTIFS('reductions data'!G:G,'reasons for reduction division'!B70,'reductions data'!A:A,$C$25)</f>
        <v>0</v>
      </c>
      <c r="D70" s="62">
        <f>COUNTIFS('reductions data'!G:G,'reasons for reduction division'!B70,'reductions data'!A:A,$D$25)</f>
        <v>0</v>
      </c>
      <c r="E70" s="62">
        <f>COUNTIFS('reductions data'!G:G,'reasons for reduction division'!B70,'reductions data'!A:A,$E$25)</f>
        <v>0</v>
      </c>
      <c r="F70" s="62">
        <f>COUNTIFS('reductions data'!G:G,'reasons for reduction division'!B70,'reductions data'!A:A,$F$25)</f>
        <v>0</v>
      </c>
      <c r="G70" s="62">
        <f>COUNTIFS('reductions data'!G:G,'reasons for reduction division'!B70,'reductions data'!A:A,$G$25)</f>
        <v>0</v>
      </c>
      <c r="H70" s="62">
        <f>COUNTIFS('reductions data'!G:G,'reasons for reduction division'!B70,'reductions data'!A:A,$H$25)</f>
        <v>0</v>
      </c>
      <c r="I70" s="62">
        <f>COUNTIFS('reductions data'!G:G,'reasons for reduction division'!B70,'reductions data'!A:A,$I$25)</f>
        <v>0</v>
      </c>
      <c r="J70" s="62">
        <f>COUNTIFS('reductions data'!G:G,'reasons for reduction division'!B70,'reductions data'!A:A,$J$25)</f>
        <v>0</v>
      </c>
      <c r="K70" s="62">
        <f>COUNTIFS('reductions data'!G:G,'reasons for reduction division'!B70,'reductions data'!A:A,$K$25)</f>
        <v>0</v>
      </c>
      <c r="L70" s="62">
        <f>COUNTIFS('reductions data'!G:G,'reasons for reduction division'!B70,'reductions data'!A:A,$L$25)</f>
        <v>0</v>
      </c>
      <c r="M70" s="62">
        <f>COUNTIFS('reductions data'!G:G,'reasons for reduction division'!B70,'reductions data'!A:A,$M$25)</f>
        <v>0</v>
      </c>
      <c r="N70" s="62">
        <f>COUNTIFS('reductions data'!G:G,'reasons for reduction division'!B70,'reductions data'!A:A,$N$25)</f>
        <v>0</v>
      </c>
      <c r="O70" s="105">
        <f>COUNTIF('reductions data'!G:G,'reasons for reduction division'!B70)</f>
        <v>0</v>
      </c>
    </row>
    <row r="71" spans="2:15" x14ac:dyDescent="0.15">
      <c r="B71" s="113" t="s">
        <v>877</v>
      </c>
      <c r="C71" s="62">
        <f>COUNTIFS('reductions data'!G:G,'reasons for reduction division'!B71,'reductions data'!A:A,$C$25)</f>
        <v>0</v>
      </c>
      <c r="D71" s="62">
        <f>COUNTIFS('reductions data'!G:G,'reasons for reduction division'!B71,'reductions data'!A:A,$D$25)</f>
        <v>0</v>
      </c>
      <c r="E71" s="62">
        <f>COUNTIFS('reductions data'!G:G,'reasons for reduction division'!B71,'reductions data'!A:A,$E$25)</f>
        <v>0</v>
      </c>
      <c r="F71" s="62">
        <f>COUNTIFS('reductions data'!G:G,'reasons for reduction division'!B71,'reductions data'!A:A,$F$25)</f>
        <v>0</v>
      </c>
      <c r="G71" s="62">
        <f>COUNTIFS('reductions data'!G:G,'reasons for reduction division'!B71,'reductions data'!A:A,$G$25)</f>
        <v>0</v>
      </c>
      <c r="H71" s="62">
        <f>COUNTIFS('reductions data'!G:G,'reasons for reduction division'!B71,'reductions data'!A:A,$H$25)</f>
        <v>0</v>
      </c>
      <c r="I71" s="62">
        <f>COUNTIFS('reductions data'!G:G,'reasons for reduction division'!B71,'reductions data'!A:A,$I$25)</f>
        <v>0</v>
      </c>
      <c r="J71" s="62">
        <f>COUNTIFS('reductions data'!G:G,'reasons for reduction division'!B71,'reductions data'!A:A,$J$25)</f>
        <v>0</v>
      </c>
      <c r="K71" s="62">
        <f>COUNTIFS('reductions data'!G:G,'reasons for reduction division'!B71,'reductions data'!A:A,$K$25)</f>
        <v>0</v>
      </c>
      <c r="L71" s="62">
        <f>COUNTIFS('reductions data'!G:G,'reasons for reduction division'!B71,'reductions data'!A:A,$L$25)</f>
        <v>0</v>
      </c>
      <c r="M71" s="62">
        <f>COUNTIFS('reductions data'!G:G,'reasons for reduction division'!B71,'reductions data'!A:A,$M$25)</f>
        <v>0</v>
      </c>
      <c r="N71" s="62">
        <f>COUNTIFS('reductions data'!G:G,'reasons for reduction division'!B71,'reductions data'!A:A,$N$25)</f>
        <v>0</v>
      </c>
      <c r="O71" s="105">
        <f>COUNTIF('reductions data'!G:G,'reasons for reduction division'!B71)</f>
        <v>0</v>
      </c>
    </row>
    <row r="72" spans="2:15" x14ac:dyDescent="0.15">
      <c r="B72" s="113" t="s">
        <v>878</v>
      </c>
      <c r="C72" s="62">
        <f>COUNTIFS('reductions data'!G:G,'reasons for reduction division'!B72,'reductions data'!A:A,$C$25)</f>
        <v>0</v>
      </c>
      <c r="D72" s="62">
        <f>COUNTIFS('reductions data'!G:G,'reasons for reduction division'!B72,'reductions data'!A:A,$D$25)</f>
        <v>0</v>
      </c>
      <c r="E72" s="62">
        <f>COUNTIFS('reductions data'!G:G,'reasons for reduction division'!B72,'reductions data'!A:A,$E$25)</f>
        <v>0</v>
      </c>
      <c r="F72" s="62">
        <f>COUNTIFS('reductions data'!G:G,'reasons for reduction division'!B72,'reductions data'!A:A,$F$25)</f>
        <v>0</v>
      </c>
      <c r="G72" s="62">
        <f>COUNTIFS('reductions data'!G:G,'reasons for reduction division'!B72,'reductions data'!A:A,$G$25)</f>
        <v>0</v>
      </c>
      <c r="H72" s="62">
        <f>COUNTIFS('reductions data'!G:G,'reasons for reduction division'!B72,'reductions data'!A:A,$H$25)</f>
        <v>0</v>
      </c>
      <c r="I72" s="62">
        <f>COUNTIFS('reductions data'!G:G,'reasons for reduction division'!B72,'reductions data'!A:A,$I$25)</f>
        <v>0</v>
      </c>
      <c r="J72" s="62">
        <f>COUNTIFS('reductions data'!G:G,'reasons for reduction division'!B72,'reductions data'!A:A,$J$25)</f>
        <v>0</v>
      </c>
      <c r="K72" s="62">
        <f>COUNTIFS('reductions data'!G:G,'reasons for reduction division'!B72,'reductions data'!A:A,$K$25)</f>
        <v>0</v>
      </c>
      <c r="L72" s="62">
        <f>COUNTIFS('reductions data'!G:G,'reasons for reduction division'!B72,'reductions data'!A:A,$L$25)</f>
        <v>0</v>
      </c>
      <c r="M72" s="62">
        <f>COUNTIFS('reductions data'!G:G,'reasons for reduction division'!B72,'reductions data'!A:A,$M$25)</f>
        <v>0</v>
      </c>
      <c r="N72" s="62">
        <f>COUNTIFS('reductions data'!G:G,'reasons for reduction division'!B72,'reductions data'!A:A,$N$25)</f>
        <v>0</v>
      </c>
      <c r="O72" s="105">
        <f>COUNTIF('reductions data'!G:G,'reasons for reduction division'!B72)</f>
        <v>0</v>
      </c>
    </row>
    <row r="73" spans="2:15" x14ac:dyDescent="0.15">
      <c r="B73" s="113" t="s">
        <v>879</v>
      </c>
      <c r="C73" s="62">
        <f>COUNTIFS('reductions data'!G:G,'reasons for reduction division'!B73,'reductions data'!A:A,$C$25)</f>
        <v>0</v>
      </c>
      <c r="D73" s="62">
        <f>COUNTIFS('reductions data'!G:G,'reasons for reduction division'!B73,'reductions data'!A:A,$D$25)</f>
        <v>0</v>
      </c>
      <c r="E73" s="62">
        <f>COUNTIFS('reductions data'!G:G,'reasons for reduction division'!B73,'reductions data'!A:A,$E$25)</f>
        <v>0</v>
      </c>
      <c r="F73" s="62">
        <f>COUNTIFS('reductions data'!G:G,'reasons for reduction division'!B73,'reductions data'!A:A,$F$25)</f>
        <v>0</v>
      </c>
      <c r="G73" s="62">
        <f>COUNTIFS('reductions data'!G:G,'reasons for reduction division'!B73,'reductions data'!A:A,$G$25)</f>
        <v>0</v>
      </c>
      <c r="H73" s="62">
        <f>COUNTIFS('reductions data'!G:G,'reasons for reduction division'!B73,'reductions data'!A:A,$H$25)</f>
        <v>0</v>
      </c>
      <c r="I73" s="62">
        <f>COUNTIFS('reductions data'!G:G,'reasons for reduction division'!B73,'reductions data'!A:A,$I$25)</f>
        <v>0</v>
      </c>
      <c r="J73" s="62">
        <f>COUNTIFS('reductions data'!G:G,'reasons for reduction division'!B73,'reductions data'!A:A,$J$25)</f>
        <v>0</v>
      </c>
      <c r="K73" s="62">
        <f>COUNTIFS('reductions data'!G:G,'reasons for reduction division'!B73,'reductions data'!A:A,$K$25)</f>
        <v>0</v>
      </c>
      <c r="L73" s="62">
        <f>COUNTIFS('reductions data'!G:G,'reasons for reduction division'!B73,'reductions data'!A:A,$L$25)</f>
        <v>0</v>
      </c>
      <c r="M73" s="62">
        <f>COUNTIFS('reductions data'!G:G,'reasons for reduction division'!B73,'reductions data'!A:A,$M$25)</f>
        <v>0</v>
      </c>
      <c r="N73" s="62">
        <f>COUNTIFS('reductions data'!G:G,'reasons for reduction division'!B73,'reductions data'!A:A,$N$25)</f>
        <v>0</v>
      </c>
      <c r="O73" s="105">
        <f>COUNTIF('reductions data'!G:G,'reasons for reduction division'!B73)</f>
        <v>0</v>
      </c>
    </row>
    <row r="74" spans="2:15" x14ac:dyDescent="0.15">
      <c r="B74" s="113" t="s">
        <v>880</v>
      </c>
      <c r="C74" s="62">
        <f>COUNTIFS('reductions data'!G:G,'reasons for reduction division'!B74,'reductions data'!A:A,$C$25)</f>
        <v>0</v>
      </c>
      <c r="D74" s="62">
        <f>COUNTIFS('reductions data'!G:G,'reasons for reduction division'!B74,'reductions data'!A:A,$D$25)</f>
        <v>0</v>
      </c>
      <c r="E74" s="62">
        <f>COUNTIFS('reductions data'!G:G,'reasons for reduction division'!B74,'reductions data'!A:A,$E$25)</f>
        <v>0</v>
      </c>
      <c r="F74" s="62">
        <f>COUNTIFS('reductions data'!G:G,'reasons for reduction division'!B74,'reductions data'!A:A,$F$25)</f>
        <v>0</v>
      </c>
      <c r="G74" s="62">
        <f>COUNTIFS('reductions data'!G:G,'reasons for reduction division'!B74,'reductions data'!A:A,$G$25)</f>
        <v>0</v>
      </c>
      <c r="H74" s="62">
        <f>COUNTIFS('reductions data'!G:G,'reasons for reduction division'!B74,'reductions data'!A:A,$H$25)</f>
        <v>0</v>
      </c>
      <c r="I74" s="62">
        <f>COUNTIFS('reductions data'!G:G,'reasons for reduction division'!B74,'reductions data'!A:A,$I$25)</f>
        <v>0</v>
      </c>
      <c r="J74" s="62">
        <f>COUNTIFS('reductions data'!G:G,'reasons for reduction division'!B74,'reductions data'!A:A,$J$25)</f>
        <v>0</v>
      </c>
      <c r="K74" s="62">
        <f>COUNTIFS('reductions data'!G:G,'reasons for reduction division'!B74,'reductions data'!A:A,$K$25)</f>
        <v>0</v>
      </c>
      <c r="L74" s="62">
        <f>COUNTIFS('reductions data'!G:G,'reasons for reduction division'!B74,'reductions data'!A:A,$L$25)</f>
        <v>0</v>
      </c>
      <c r="M74" s="62">
        <f>COUNTIFS('reductions data'!G:G,'reasons for reduction division'!B74,'reductions data'!A:A,$M$25)</f>
        <v>0</v>
      </c>
      <c r="N74" s="62">
        <f>COUNTIFS('reductions data'!G:G,'reasons for reduction division'!B74,'reductions data'!A:A,$N$25)</f>
        <v>0</v>
      </c>
      <c r="O74" s="105">
        <f>COUNTIF('reductions data'!G:G,'reasons for reduction division'!B74)</f>
        <v>0</v>
      </c>
    </row>
    <row r="75" spans="2:15" x14ac:dyDescent="0.15">
      <c r="B75" s="181" t="s">
        <v>909</v>
      </c>
      <c r="C75" s="182">
        <f>COUNTIF('reductions data'!A:A,$C$25)</f>
        <v>0</v>
      </c>
      <c r="D75" s="182">
        <f>COUNTIF('reductions data'!A:A,$D$25)</f>
        <v>0</v>
      </c>
      <c r="E75" s="182">
        <f>COUNTIF('reductions data'!A:A,$E$25)</f>
        <v>0</v>
      </c>
      <c r="F75" s="182">
        <f>COUNTIF('reductions data'!A:A,$F$25)</f>
        <v>0</v>
      </c>
      <c r="G75" s="182">
        <f>COUNTIF('reductions data'!A:A,$G$25)</f>
        <v>0</v>
      </c>
      <c r="H75" s="182">
        <f>COUNTIF('reductions data'!A:A,$H$25)</f>
        <v>0</v>
      </c>
      <c r="I75" s="182">
        <f>COUNTIF('reductions data'!A:A,$I$25)</f>
        <v>0</v>
      </c>
      <c r="J75" s="182">
        <f>COUNTIF('reductions data'!A:A,$J$25)</f>
        <v>0</v>
      </c>
      <c r="K75" s="182">
        <f>COUNTIF('reductions data'!A:A,$K$25)</f>
        <v>0</v>
      </c>
      <c r="L75" s="182">
        <f>COUNTIF('reductions data'!A:A,$L$25)</f>
        <v>0</v>
      </c>
      <c r="M75" s="182">
        <f>COUNTIF('reductions data'!A:A,$M$25)</f>
        <v>0</v>
      </c>
      <c r="N75" s="182">
        <f>COUNTIF('reductions data'!$A:$A,N$25)</f>
        <v>0</v>
      </c>
      <c r="O75" s="105">
        <f>COUNTIF('reductions data'!K:K,"ACTIVE")</f>
        <v>0</v>
      </c>
    </row>
    <row r="76" spans="2:15" x14ac:dyDescent="0.15">
      <c r="B76" s="326"/>
    </row>
    <row r="78" spans="2:15" ht="20" x14ac:dyDescent="0.2">
      <c r="C78" s="604" t="s">
        <v>1128</v>
      </c>
      <c r="D78" s="604"/>
      <c r="E78" s="604"/>
      <c r="F78" s="604"/>
      <c r="G78" s="604"/>
      <c r="H78" s="604"/>
      <c r="I78" s="604"/>
      <c r="J78" s="604"/>
      <c r="K78" s="604"/>
      <c r="L78" s="604"/>
      <c r="M78" s="604"/>
      <c r="N78" s="604"/>
      <c r="O78" s="604"/>
    </row>
    <row r="79" spans="2:15" ht="34.5" customHeight="1" x14ac:dyDescent="0.15">
      <c r="B79" s="76" t="s">
        <v>839</v>
      </c>
      <c r="C79" s="76" t="s">
        <v>17</v>
      </c>
      <c r="D79" s="76" t="s">
        <v>18</v>
      </c>
      <c r="E79" s="76" t="s">
        <v>19</v>
      </c>
      <c r="F79" s="76" t="s">
        <v>20</v>
      </c>
      <c r="G79" s="76" t="s">
        <v>21</v>
      </c>
      <c r="H79" s="76" t="s">
        <v>22</v>
      </c>
      <c r="I79" s="76" t="s">
        <v>23</v>
      </c>
      <c r="J79" s="76" t="s">
        <v>24</v>
      </c>
      <c r="K79" s="76" t="s">
        <v>25</v>
      </c>
      <c r="L79" s="76" t="s">
        <v>26</v>
      </c>
      <c r="M79" s="76" t="s">
        <v>27</v>
      </c>
      <c r="N79" s="76" t="s">
        <v>28</v>
      </c>
      <c r="O79" s="76" t="s">
        <v>1127</v>
      </c>
    </row>
    <row r="80" spans="2:15" x14ac:dyDescent="0.15">
      <c r="B80" s="112" t="s">
        <v>842</v>
      </c>
      <c r="C80" s="62">
        <f>SUMIFS('reductions data'!H:H,'reductions data'!G:G,'reasons for reduction division'!B80,'reductions data'!A:A,$C$79)</f>
        <v>0</v>
      </c>
      <c r="D80" s="62">
        <f>SUMIFS('reductions data'!H:H,'reductions data'!G:G,'reasons for reduction division'!B80,'reductions data'!A:A,$D$79)</f>
        <v>0</v>
      </c>
      <c r="E80" s="62">
        <f>SUMIFS('reductions data'!H:H,'reductions data'!G:G,'reasons for reduction division'!B80,'reductions data'!A:A,$E$79)</f>
        <v>0</v>
      </c>
      <c r="F80" s="62">
        <f>SUMIFS('reductions data'!H:H,'reductions data'!G:G,'reasons for reduction division'!B80,'reductions data'!A:A,$F$79)</f>
        <v>0</v>
      </c>
      <c r="G80" s="62">
        <f>SUMIFS('reductions data'!H:H,'reductions data'!G:G,'reasons for reduction division'!B80,'reductions data'!A:A,$G$79)</f>
        <v>0</v>
      </c>
      <c r="H80" s="62">
        <f>SUMIFS('reductions data'!H:H,'reductions data'!G:G,'reasons for reduction division'!B80,'reductions data'!A:A,$H$79)</f>
        <v>0</v>
      </c>
      <c r="I80" s="62">
        <f>SUMIFS('reductions data'!H:H,'reductions data'!G:G,'reasons for reduction division'!B80,'reductions data'!A:A,$I$79)</f>
        <v>0</v>
      </c>
      <c r="J80" s="62">
        <f>SUMIFS('reductions data'!H:H,'reductions data'!G:G,'reasons for reduction division'!B80,'reductions data'!A:A,$J$79)</f>
        <v>0</v>
      </c>
      <c r="K80" s="62">
        <f>SUMIFS('reductions data'!H:H,'reductions data'!G:G,'reasons for reduction division'!B80,'reductions data'!A:A,$K$79)</f>
        <v>0</v>
      </c>
      <c r="L80" s="62">
        <f>SUMIFS('reductions data'!H:H,'reductions data'!G:G,'reasons for reduction division'!B80,'reductions data'!A:A,$L$79)</f>
        <v>0</v>
      </c>
      <c r="M80" s="62">
        <f>SUMIFS('reductions data'!H:H,'reductions data'!G:G,'reasons for reduction division'!B80,'reductions data'!A:A,$M$79)</f>
        <v>0</v>
      </c>
      <c r="N80" s="62">
        <f>SUMIFS('reductions data'!H:H,'reductions data'!G:G,'reasons for reduction division'!B80,'reductions data'!A:A,$N$79)</f>
        <v>0</v>
      </c>
      <c r="O80" s="105">
        <f>SUMIF('reductions data'!G:G,'reasons for reduction division'!B80,'reductions data'!H:H)</f>
        <v>0</v>
      </c>
    </row>
    <row r="81" spans="2:15" x14ac:dyDescent="0.15">
      <c r="B81" s="113" t="s">
        <v>844</v>
      </c>
      <c r="C81" s="62">
        <f>SUMIFS('reductions data'!H:H,'reductions data'!G:G,'reasons for reduction division'!B81,'reductions data'!A:A,$C$79)</f>
        <v>0</v>
      </c>
      <c r="D81" s="62">
        <f>SUMIFS('reductions data'!H:H,'reductions data'!G:G,'reasons for reduction division'!B81,'reductions data'!A:A,$D$79)</f>
        <v>0</v>
      </c>
      <c r="E81" s="62">
        <f>SUMIFS('reductions data'!H:H,'reductions data'!G:G,'reasons for reduction division'!B81,'reductions data'!A:A,$E$79)</f>
        <v>0</v>
      </c>
      <c r="F81" s="62">
        <f>SUMIFS('reductions data'!H:H,'reductions data'!G:G,'reasons for reduction division'!B81,'reductions data'!A:A,$F$79)</f>
        <v>0</v>
      </c>
      <c r="G81" s="62">
        <f>SUMIFS('reductions data'!H:H,'reductions data'!G:G,'reasons for reduction division'!B81,'reductions data'!A:A,$G$79)</f>
        <v>0</v>
      </c>
      <c r="H81" s="62">
        <f>SUMIFS('reductions data'!H:H,'reductions data'!G:G,'reasons for reduction division'!B81,'reductions data'!A:A,$H$79)</f>
        <v>0</v>
      </c>
      <c r="I81" s="62">
        <f>SUMIFS('reductions data'!H:H,'reductions data'!G:G,'reasons for reduction division'!B81,'reductions data'!A:A,$I$79)</f>
        <v>0</v>
      </c>
      <c r="J81" s="62">
        <f>SUMIFS('reductions data'!H:H,'reductions data'!G:G,'reasons for reduction division'!B81,'reductions data'!A:A,$J$79)</f>
        <v>0</v>
      </c>
      <c r="K81" s="62">
        <f>SUMIFS('reductions data'!H:H,'reductions data'!G:G,'reasons for reduction division'!B81,'reductions data'!A:A,$K$79)</f>
        <v>0</v>
      </c>
      <c r="L81" s="62">
        <f>SUMIFS('reductions data'!H:H,'reductions data'!G:G,'reasons for reduction division'!B81,'reductions data'!A:A,$L$79)</f>
        <v>0</v>
      </c>
      <c r="M81" s="62">
        <f>SUMIFS('reductions data'!H:H,'reductions data'!G:G,'reasons for reduction division'!B81,'reductions data'!A:A,$M$79)</f>
        <v>0</v>
      </c>
      <c r="N81" s="62">
        <f>SUMIFS('reductions data'!H:H,'reductions data'!G:G,'reasons for reduction division'!B81,'reductions data'!A:A,$N$79)</f>
        <v>0</v>
      </c>
      <c r="O81" s="105">
        <f>SUMIF('reductions data'!G:G,'reasons for reduction division'!B81,'reductions data'!H:H)</f>
        <v>0</v>
      </c>
    </row>
    <row r="82" spans="2:15" x14ac:dyDescent="0.15">
      <c r="B82" s="113" t="s">
        <v>843</v>
      </c>
      <c r="C82" s="62">
        <f>SUMIFS('reductions data'!H:H,'reductions data'!G:G,'reasons for reduction division'!B82,'reductions data'!A:A,$C$79)</f>
        <v>0</v>
      </c>
      <c r="D82" s="62">
        <f>SUMIFS('reductions data'!H:H,'reductions data'!G:G,'reasons for reduction division'!B82,'reductions data'!A:A,$D$79)</f>
        <v>0</v>
      </c>
      <c r="E82" s="62">
        <f>SUMIFS('reductions data'!H:H,'reductions data'!G:G,'reasons for reduction division'!B82,'reductions data'!A:A,$E$79)</f>
        <v>0</v>
      </c>
      <c r="F82" s="62">
        <f>SUMIFS('reductions data'!H:H,'reductions data'!G:G,'reasons for reduction division'!B82,'reductions data'!A:A,$F$79)</f>
        <v>0</v>
      </c>
      <c r="G82" s="62">
        <f>SUMIFS('reductions data'!H:H,'reductions data'!G:G,'reasons for reduction division'!B82,'reductions data'!A:A,$G$79)</f>
        <v>0</v>
      </c>
      <c r="H82" s="62">
        <f>SUMIFS('reductions data'!H:H,'reductions data'!G:G,'reasons for reduction division'!B82,'reductions data'!A:A,$H$79)</f>
        <v>0</v>
      </c>
      <c r="I82" s="62">
        <f>SUMIFS('reductions data'!H:H,'reductions data'!G:G,'reasons for reduction division'!B82,'reductions data'!A:A,$I$79)</f>
        <v>0</v>
      </c>
      <c r="J82" s="62">
        <f>SUMIFS('reductions data'!H:H,'reductions data'!G:G,'reasons for reduction division'!B82,'reductions data'!A:A,$J$79)</f>
        <v>0</v>
      </c>
      <c r="K82" s="62">
        <f>SUMIFS('reductions data'!H:H,'reductions data'!G:G,'reasons for reduction division'!B82,'reductions data'!A:A,$K$79)</f>
        <v>0</v>
      </c>
      <c r="L82" s="62">
        <f>SUMIFS('reductions data'!H:H,'reductions data'!G:G,'reasons for reduction division'!B82,'reductions data'!A:A,$L$79)</f>
        <v>0</v>
      </c>
      <c r="M82" s="62">
        <f>SUMIFS('reductions data'!H:H,'reductions data'!G:G,'reasons for reduction division'!B82,'reductions data'!A:A,$M$79)</f>
        <v>0</v>
      </c>
      <c r="N82" s="62">
        <f>SUMIFS('reductions data'!H:H,'reductions data'!G:G,'reasons for reduction division'!B82,'reductions data'!A:A,$N$79)</f>
        <v>0</v>
      </c>
      <c r="O82" s="105">
        <f>SUMIF('reductions data'!G:G,'reasons for reduction division'!B82,'reductions data'!H:H)</f>
        <v>0</v>
      </c>
    </row>
    <row r="83" spans="2:15" x14ac:dyDescent="0.15">
      <c r="B83" s="113" t="s">
        <v>845</v>
      </c>
      <c r="C83" s="62">
        <f>SUMIFS('reductions data'!H:H,'reductions data'!G:G,'reasons for reduction division'!B83,'reductions data'!A:A,$C$79)</f>
        <v>0</v>
      </c>
      <c r="D83" s="62">
        <f>SUMIFS('reductions data'!H:H,'reductions data'!G:G,'reasons for reduction division'!B83,'reductions data'!A:A,$D$79)</f>
        <v>0</v>
      </c>
      <c r="E83" s="62">
        <f>SUMIFS('reductions data'!H:H,'reductions data'!G:G,'reasons for reduction division'!B83,'reductions data'!A:A,$E$79)</f>
        <v>0</v>
      </c>
      <c r="F83" s="62">
        <f>SUMIFS('reductions data'!H:H,'reductions data'!G:G,'reasons for reduction division'!B83,'reductions data'!A:A,$F$79)</f>
        <v>0</v>
      </c>
      <c r="G83" s="62">
        <f>SUMIFS('reductions data'!H:H,'reductions data'!G:G,'reasons for reduction division'!B83,'reductions data'!A:A,$G$79)</f>
        <v>0</v>
      </c>
      <c r="H83" s="62">
        <f>SUMIFS('reductions data'!H:H,'reductions data'!G:G,'reasons for reduction division'!B83,'reductions data'!A:A,$H$79)</f>
        <v>0</v>
      </c>
      <c r="I83" s="62">
        <f>SUMIFS('reductions data'!H:H,'reductions data'!G:G,'reasons for reduction division'!B83,'reductions data'!A:A,$I$79)</f>
        <v>0</v>
      </c>
      <c r="J83" s="62">
        <f>SUMIFS('reductions data'!H:H,'reductions data'!G:G,'reasons for reduction division'!B83,'reductions data'!A:A,$J$79)</f>
        <v>0</v>
      </c>
      <c r="K83" s="62">
        <f>SUMIFS('reductions data'!H:H,'reductions data'!G:G,'reasons for reduction division'!B83,'reductions data'!A:A,$K$79)</f>
        <v>0</v>
      </c>
      <c r="L83" s="62">
        <f>SUMIFS('reductions data'!H:H,'reductions data'!G:G,'reasons for reduction division'!B83,'reductions data'!A:A,$L$79)</f>
        <v>0</v>
      </c>
      <c r="M83" s="62">
        <f>SUMIFS('reductions data'!H:H,'reductions data'!G:G,'reasons for reduction division'!B83,'reductions data'!A:A,$M$79)</f>
        <v>0</v>
      </c>
      <c r="N83" s="62">
        <f>SUMIFS('reductions data'!H:H,'reductions data'!G:G,'reasons for reduction division'!B83,'reductions data'!A:A,$N$79)</f>
        <v>0</v>
      </c>
      <c r="O83" s="105">
        <f>SUMIF('reductions data'!G:G,'reasons for reduction division'!B83,'reductions data'!H:H)</f>
        <v>0</v>
      </c>
    </row>
    <row r="84" spans="2:15" x14ac:dyDescent="0.15">
      <c r="B84" s="113" t="s">
        <v>846</v>
      </c>
      <c r="C84" s="62">
        <f>SUMIFS('reductions data'!H:H,'reductions data'!G:G,'reasons for reduction division'!B84,'reductions data'!A:A,$C$79)</f>
        <v>0</v>
      </c>
      <c r="D84" s="62">
        <f>SUMIFS('reductions data'!H:H,'reductions data'!G:G,'reasons for reduction division'!B84,'reductions data'!A:A,$D$79)</f>
        <v>0</v>
      </c>
      <c r="E84" s="62">
        <f>SUMIFS('reductions data'!H:H,'reductions data'!G:G,'reasons for reduction division'!B84,'reductions data'!A:A,$E$79)</f>
        <v>0</v>
      </c>
      <c r="F84" s="62">
        <f>SUMIFS('reductions data'!H:H,'reductions data'!G:G,'reasons for reduction division'!B84,'reductions data'!A:A,$F$79)</f>
        <v>0</v>
      </c>
      <c r="G84" s="62">
        <f>SUMIFS('reductions data'!H:H,'reductions data'!G:G,'reasons for reduction division'!B84,'reductions data'!A:A,$G$79)</f>
        <v>0</v>
      </c>
      <c r="H84" s="62">
        <f>SUMIFS('reductions data'!H:H,'reductions data'!G:G,'reasons for reduction division'!B84,'reductions data'!A:A,$H$79)</f>
        <v>0</v>
      </c>
      <c r="I84" s="62">
        <f>SUMIFS('reductions data'!H:H,'reductions data'!G:G,'reasons for reduction division'!B84,'reductions data'!A:A,$I$79)</f>
        <v>0</v>
      </c>
      <c r="J84" s="62">
        <f>SUMIFS('reductions data'!H:H,'reductions data'!G:G,'reasons for reduction division'!B84,'reductions data'!A:A,$J$79)</f>
        <v>0</v>
      </c>
      <c r="K84" s="62">
        <f>SUMIFS('reductions data'!H:H,'reductions data'!G:G,'reasons for reduction division'!B84,'reductions data'!A:A,$K$79)</f>
        <v>0</v>
      </c>
      <c r="L84" s="62">
        <f>SUMIFS('reductions data'!H:H,'reductions data'!G:G,'reasons for reduction division'!B84,'reductions data'!A:A,$L$79)</f>
        <v>0</v>
      </c>
      <c r="M84" s="62">
        <f>SUMIFS('reductions data'!H:H,'reductions data'!G:G,'reasons for reduction division'!B84,'reductions data'!A:A,$M$79)</f>
        <v>0</v>
      </c>
      <c r="N84" s="62">
        <f>SUMIFS('reductions data'!H:H,'reductions data'!G:G,'reasons for reduction division'!B84,'reductions data'!A:A,$N$79)</f>
        <v>0</v>
      </c>
      <c r="O84" s="105">
        <f>SUMIF('reductions data'!G:G,'reasons for reduction division'!B84,'reductions data'!H:H)</f>
        <v>0</v>
      </c>
    </row>
    <row r="85" spans="2:15" x14ac:dyDescent="0.15">
      <c r="B85" s="113" t="s">
        <v>847</v>
      </c>
      <c r="C85" s="62">
        <f>SUMIFS('reductions data'!H:H,'reductions data'!G:G,'reasons for reduction division'!B85,'reductions data'!A:A,$C$79)</f>
        <v>0</v>
      </c>
      <c r="D85" s="62">
        <f>SUMIFS('reductions data'!H:H,'reductions data'!G:G,'reasons for reduction division'!B85,'reductions data'!A:A,$D$79)</f>
        <v>0</v>
      </c>
      <c r="E85" s="62">
        <f>SUMIFS('reductions data'!H:H,'reductions data'!G:G,'reasons for reduction division'!B85,'reductions data'!A:A,$E$79)</f>
        <v>0</v>
      </c>
      <c r="F85" s="62">
        <f>SUMIFS('reductions data'!H:H,'reductions data'!G:G,'reasons for reduction division'!B85,'reductions data'!A:A,$F$79)</f>
        <v>0</v>
      </c>
      <c r="G85" s="62">
        <f>SUMIFS('reductions data'!H:H,'reductions data'!G:G,'reasons for reduction division'!B85,'reductions data'!A:A,$G$79)</f>
        <v>0</v>
      </c>
      <c r="H85" s="62">
        <f>SUMIFS('reductions data'!H:H,'reductions data'!G:G,'reasons for reduction division'!B85,'reductions data'!A:A,$H$79)</f>
        <v>0</v>
      </c>
      <c r="I85" s="62">
        <f>SUMIFS('reductions data'!H:H,'reductions data'!G:G,'reasons for reduction division'!B85,'reductions data'!A:A,$I$79)</f>
        <v>0</v>
      </c>
      <c r="J85" s="62">
        <f>SUMIFS('reductions data'!H:H,'reductions data'!G:G,'reasons for reduction division'!B85,'reductions data'!A:A,$J$79)</f>
        <v>0</v>
      </c>
      <c r="K85" s="62">
        <f>SUMIFS('reductions data'!H:H,'reductions data'!G:G,'reasons for reduction division'!B85,'reductions data'!A:A,$K$79)</f>
        <v>0</v>
      </c>
      <c r="L85" s="62">
        <f>SUMIFS('reductions data'!H:H,'reductions data'!G:G,'reasons for reduction division'!B85,'reductions data'!A:A,$L$79)</f>
        <v>0</v>
      </c>
      <c r="M85" s="62">
        <f>SUMIFS('reductions data'!H:H,'reductions data'!G:G,'reasons for reduction division'!B85,'reductions data'!A:A,$M$79)</f>
        <v>0</v>
      </c>
      <c r="N85" s="62">
        <f>SUMIFS('reductions data'!H:H,'reductions data'!G:G,'reasons for reduction division'!B85,'reductions data'!A:A,$N$79)</f>
        <v>0</v>
      </c>
      <c r="O85" s="105">
        <f>SUMIF('reductions data'!G:G,'reasons for reduction division'!B85,'reductions data'!H:H)</f>
        <v>0</v>
      </c>
    </row>
    <row r="86" spans="2:15" x14ac:dyDescent="0.15">
      <c r="B86" s="113" t="s">
        <v>848</v>
      </c>
      <c r="C86" s="62">
        <f>SUMIFS('reductions data'!H:H,'reductions data'!G:G,'reasons for reduction division'!B86,'reductions data'!A:A,$C$79)</f>
        <v>0</v>
      </c>
      <c r="D86" s="62">
        <f>SUMIFS('reductions data'!H:H,'reductions data'!G:G,'reasons for reduction division'!B86,'reductions data'!A:A,$D$79)</f>
        <v>0</v>
      </c>
      <c r="E86" s="62">
        <f>SUMIFS('reductions data'!H:H,'reductions data'!G:G,'reasons for reduction division'!B86,'reductions data'!A:A,$E$79)</f>
        <v>0</v>
      </c>
      <c r="F86" s="62">
        <f>SUMIFS('reductions data'!H:H,'reductions data'!G:G,'reasons for reduction division'!B86,'reductions data'!A:A,$F$79)</f>
        <v>0</v>
      </c>
      <c r="G86" s="62">
        <f>SUMIFS('reductions data'!H:H,'reductions data'!G:G,'reasons for reduction division'!B86,'reductions data'!A:A,$G$79)</f>
        <v>0</v>
      </c>
      <c r="H86" s="62">
        <f>SUMIFS('reductions data'!H:H,'reductions data'!G:G,'reasons for reduction division'!B86,'reductions data'!A:A,$H$79)</f>
        <v>0</v>
      </c>
      <c r="I86" s="62">
        <f>SUMIFS('reductions data'!H:H,'reductions data'!G:G,'reasons for reduction division'!B86,'reductions data'!A:A,$I$79)</f>
        <v>0</v>
      </c>
      <c r="J86" s="62">
        <f>SUMIFS('reductions data'!H:H,'reductions data'!G:G,'reasons for reduction division'!B86,'reductions data'!A:A,$J$79)</f>
        <v>0</v>
      </c>
      <c r="K86" s="62">
        <f>SUMIFS('reductions data'!H:H,'reductions data'!G:G,'reasons for reduction division'!B86,'reductions data'!A:A,$K$79)</f>
        <v>0</v>
      </c>
      <c r="L86" s="62">
        <f>SUMIFS('reductions data'!H:H,'reductions data'!G:G,'reasons for reduction division'!B86,'reductions data'!A:A,$L$79)</f>
        <v>0</v>
      </c>
      <c r="M86" s="62">
        <f>SUMIFS('reductions data'!H:H,'reductions data'!G:G,'reasons for reduction division'!B86,'reductions data'!A:A,$M$79)</f>
        <v>0</v>
      </c>
      <c r="N86" s="62">
        <f>SUMIFS('reductions data'!H:H,'reductions data'!G:G,'reasons for reduction division'!B86,'reductions data'!A:A,$N$79)</f>
        <v>0</v>
      </c>
      <c r="O86" s="105">
        <f>SUMIF('reductions data'!G:G,'reasons for reduction division'!B86,'reductions data'!H:H)</f>
        <v>0</v>
      </c>
    </row>
    <row r="87" spans="2:15" x14ac:dyDescent="0.15">
      <c r="B87" s="113" t="s">
        <v>1204</v>
      </c>
      <c r="C87" s="62">
        <f>SUMIFS('reductions data'!H:H,'reductions data'!G:G,'reasons for reduction division'!B87,'reductions data'!A:A,$C$79)</f>
        <v>0</v>
      </c>
      <c r="D87" s="62">
        <f>SUMIFS('reductions data'!H:H,'reductions data'!G:G,'reasons for reduction division'!B87,'reductions data'!A:A,$D$79)</f>
        <v>0</v>
      </c>
      <c r="E87" s="62">
        <f>SUMIFS('reductions data'!H:H,'reductions data'!G:G,'reasons for reduction division'!B87,'reductions data'!A:A,$E$79)</f>
        <v>0</v>
      </c>
      <c r="F87" s="62">
        <f>SUMIFS('reductions data'!H:H,'reductions data'!G:G,'reasons for reduction division'!B87,'reductions data'!A:A,$F$79)</f>
        <v>0</v>
      </c>
      <c r="G87" s="62">
        <f>SUMIFS('reductions data'!H:H,'reductions data'!G:G,'reasons for reduction division'!B87,'reductions data'!A:A,$G$79)</f>
        <v>0</v>
      </c>
      <c r="H87" s="62">
        <f>SUMIFS('reductions data'!H:H,'reductions data'!G:G,'reasons for reduction division'!B87,'reductions data'!A:A,$H$79)</f>
        <v>0</v>
      </c>
      <c r="I87" s="62">
        <f>SUMIFS('reductions data'!H:H,'reductions data'!G:G,'reasons for reduction division'!B87,'reductions data'!A:A,$I$79)</f>
        <v>0</v>
      </c>
      <c r="J87" s="62">
        <f>SUMIFS('reductions data'!H:H,'reductions data'!G:G,'reasons for reduction division'!B87,'reductions data'!A:A,$J$79)</f>
        <v>0</v>
      </c>
      <c r="K87" s="62">
        <f>SUMIFS('reductions data'!H:H,'reductions data'!G:G,'reasons for reduction division'!B87,'reductions data'!A:A,$K$79)</f>
        <v>0</v>
      </c>
      <c r="L87" s="62">
        <f>SUMIFS('reductions data'!H:H,'reductions data'!G:G,'reasons for reduction division'!B87,'reductions data'!A:A,$L$79)</f>
        <v>0</v>
      </c>
      <c r="M87" s="62">
        <f>SUMIFS('reductions data'!H:H,'reductions data'!G:G,'reasons for reduction division'!B87,'reductions data'!A:A,$M$79)</f>
        <v>0</v>
      </c>
      <c r="N87" s="62">
        <f>SUMIFS('reductions data'!H:H,'reductions data'!G:G,'reasons for reduction division'!B87,'reductions data'!A:A,$N$79)</f>
        <v>0</v>
      </c>
      <c r="O87" s="105">
        <f>SUMIF('reductions data'!G:G,'reasons for reduction division'!B87,'reductions data'!H:H)</f>
        <v>0</v>
      </c>
    </row>
    <row r="88" spans="2:15" x14ac:dyDescent="0.15">
      <c r="B88" s="113" t="s">
        <v>849</v>
      </c>
      <c r="C88" s="62">
        <f>SUMIFS('reductions data'!H:H,'reductions data'!G:G,'reasons for reduction division'!B88,'reductions data'!A:A,$C$79)</f>
        <v>0</v>
      </c>
      <c r="D88" s="62">
        <f>SUMIFS('reductions data'!H:H,'reductions data'!G:G,'reasons for reduction division'!B88,'reductions data'!A:A,$D$79)</f>
        <v>0</v>
      </c>
      <c r="E88" s="62">
        <f>SUMIFS('reductions data'!H:H,'reductions data'!G:G,'reasons for reduction division'!B88,'reductions data'!A:A,$E$79)</f>
        <v>0</v>
      </c>
      <c r="F88" s="62">
        <f>SUMIFS('reductions data'!H:H,'reductions data'!G:G,'reasons for reduction division'!B88,'reductions data'!A:A,$F$79)</f>
        <v>0</v>
      </c>
      <c r="G88" s="62">
        <f>SUMIFS('reductions data'!H:H,'reductions data'!G:G,'reasons for reduction division'!B88,'reductions data'!A:A,$G$79)</f>
        <v>0</v>
      </c>
      <c r="H88" s="62">
        <f>SUMIFS('reductions data'!H:H,'reductions data'!G:G,'reasons for reduction division'!B88,'reductions data'!A:A,$H$79)</f>
        <v>0</v>
      </c>
      <c r="I88" s="62">
        <f>SUMIFS('reductions data'!H:H,'reductions data'!G:G,'reasons for reduction division'!B88,'reductions data'!A:A,$I$79)</f>
        <v>0</v>
      </c>
      <c r="J88" s="62">
        <f>SUMIFS('reductions data'!H:H,'reductions data'!G:G,'reasons for reduction division'!B88,'reductions data'!A:A,$J$79)</f>
        <v>0</v>
      </c>
      <c r="K88" s="62">
        <f>SUMIFS('reductions data'!H:H,'reductions data'!G:G,'reasons for reduction division'!B88,'reductions data'!A:A,$K$79)</f>
        <v>0</v>
      </c>
      <c r="L88" s="62">
        <f>SUMIFS('reductions data'!H:H,'reductions data'!G:G,'reasons for reduction division'!B88,'reductions data'!A:A,$L$79)</f>
        <v>0</v>
      </c>
      <c r="M88" s="62">
        <f>SUMIFS('reductions data'!H:H,'reductions data'!G:G,'reasons for reduction division'!B88,'reductions data'!A:A,$M$79)</f>
        <v>0</v>
      </c>
      <c r="N88" s="62">
        <f>SUMIFS('reductions data'!H:H,'reductions data'!G:G,'reasons for reduction division'!B88,'reductions data'!A:A,$N$79)</f>
        <v>0</v>
      </c>
      <c r="O88" s="105">
        <f>SUMIF('reductions data'!G:G,'reasons for reduction division'!B88,'reductions data'!H:H)</f>
        <v>0</v>
      </c>
    </row>
    <row r="89" spans="2:15" x14ac:dyDescent="0.15">
      <c r="B89" s="113" t="s">
        <v>850</v>
      </c>
      <c r="C89" s="62">
        <f>SUMIFS('reductions data'!H:H,'reductions data'!G:G,'reasons for reduction division'!B89,'reductions data'!A:A,$C$79)</f>
        <v>0</v>
      </c>
      <c r="D89" s="62">
        <f>SUMIFS('reductions data'!H:H,'reductions data'!G:G,'reasons for reduction division'!B89,'reductions data'!A:A,$D$79)</f>
        <v>0</v>
      </c>
      <c r="E89" s="62">
        <f>SUMIFS('reductions data'!H:H,'reductions data'!G:G,'reasons for reduction division'!B89,'reductions data'!A:A,$E$79)</f>
        <v>0</v>
      </c>
      <c r="F89" s="62">
        <f>SUMIFS('reductions data'!H:H,'reductions data'!G:G,'reasons for reduction division'!B89,'reductions data'!A:A,$F$79)</f>
        <v>0</v>
      </c>
      <c r="G89" s="62">
        <f>SUMIFS('reductions data'!H:H,'reductions data'!G:G,'reasons for reduction division'!B89,'reductions data'!A:A,$G$79)</f>
        <v>0</v>
      </c>
      <c r="H89" s="62">
        <f>SUMIFS('reductions data'!H:H,'reductions data'!G:G,'reasons for reduction division'!B89,'reductions data'!A:A,$H$79)</f>
        <v>0</v>
      </c>
      <c r="I89" s="62">
        <f>SUMIFS('reductions data'!H:H,'reductions data'!G:G,'reasons for reduction division'!B89,'reductions data'!A:A,$I$79)</f>
        <v>0</v>
      </c>
      <c r="J89" s="62">
        <f>SUMIFS('reductions data'!H:H,'reductions data'!G:G,'reasons for reduction division'!B89,'reductions data'!A:A,$J$79)</f>
        <v>0</v>
      </c>
      <c r="K89" s="62">
        <f>SUMIFS('reductions data'!H:H,'reductions data'!G:G,'reasons for reduction division'!B89,'reductions data'!A:A,$K$79)</f>
        <v>0</v>
      </c>
      <c r="L89" s="62">
        <f>SUMIFS('reductions data'!H:H,'reductions data'!G:G,'reasons for reduction division'!B89,'reductions data'!A:A,$L$79)</f>
        <v>0</v>
      </c>
      <c r="M89" s="62">
        <f>SUMIFS('reductions data'!H:H,'reductions data'!G:G,'reasons for reduction division'!B89,'reductions data'!A:A,$M$79)</f>
        <v>0</v>
      </c>
      <c r="N89" s="62">
        <f>SUMIFS('reductions data'!H:H,'reductions data'!G:G,'reasons for reduction division'!B89,'reductions data'!A:A,$N$79)</f>
        <v>0</v>
      </c>
      <c r="O89" s="105">
        <f>SUMIF('reductions data'!G:G,'reasons for reduction division'!B89,'reductions data'!H:H)</f>
        <v>0</v>
      </c>
    </row>
    <row r="90" spans="2:15" x14ac:dyDescent="0.15">
      <c r="B90" s="113" t="s">
        <v>851</v>
      </c>
      <c r="C90" s="62">
        <f>SUMIFS('reductions data'!H:H,'reductions data'!G:G,'reasons for reduction division'!B90,'reductions data'!A:A,$C$79)</f>
        <v>0</v>
      </c>
      <c r="D90" s="62">
        <f>SUMIFS('reductions data'!H:H,'reductions data'!G:G,'reasons for reduction division'!B90,'reductions data'!A:A,$D$79)</f>
        <v>0</v>
      </c>
      <c r="E90" s="62">
        <f>SUMIFS('reductions data'!H:H,'reductions data'!G:G,'reasons for reduction division'!B90,'reductions data'!A:A,$E$79)</f>
        <v>0</v>
      </c>
      <c r="F90" s="62">
        <f>SUMIFS('reductions data'!H:H,'reductions data'!G:G,'reasons for reduction division'!B90,'reductions data'!A:A,$F$79)</f>
        <v>0</v>
      </c>
      <c r="G90" s="62">
        <f>SUMIFS('reductions data'!H:H,'reductions data'!G:G,'reasons for reduction division'!B90,'reductions data'!A:A,$G$79)</f>
        <v>0</v>
      </c>
      <c r="H90" s="62">
        <f>SUMIFS('reductions data'!H:H,'reductions data'!G:G,'reasons for reduction division'!B90,'reductions data'!A:A,$H$79)</f>
        <v>0</v>
      </c>
      <c r="I90" s="62">
        <f>SUMIFS('reductions data'!H:H,'reductions data'!G:G,'reasons for reduction division'!B90,'reductions data'!A:A,$I$79)</f>
        <v>0</v>
      </c>
      <c r="J90" s="62">
        <f>SUMIFS('reductions data'!H:H,'reductions data'!G:G,'reasons for reduction division'!B90,'reductions data'!A:A,$J$79)</f>
        <v>0</v>
      </c>
      <c r="K90" s="62">
        <f>SUMIFS('reductions data'!H:H,'reductions data'!G:G,'reasons for reduction division'!B90,'reductions data'!A:A,$K$79)</f>
        <v>0</v>
      </c>
      <c r="L90" s="62">
        <f>SUMIFS('reductions data'!H:H,'reductions data'!G:G,'reasons for reduction division'!B90,'reductions data'!A:A,$L$79)</f>
        <v>0</v>
      </c>
      <c r="M90" s="62">
        <f>SUMIFS('reductions data'!H:H,'reductions data'!G:G,'reasons for reduction division'!B90,'reductions data'!A:A,$M$79)</f>
        <v>0</v>
      </c>
      <c r="N90" s="62">
        <f>SUMIFS('reductions data'!H:H,'reductions data'!G:G,'reasons for reduction division'!B90,'reductions data'!A:A,$N$79)</f>
        <v>0</v>
      </c>
      <c r="O90" s="105">
        <f>SUMIF('reductions data'!G:G,'reasons for reduction division'!B90,'reductions data'!H:H)</f>
        <v>0</v>
      </c>
    </row>
    <row r="91" spans="2:15" x14ac:dyDescent="0.15">
      <c r="B91" s="113" t="s">
        <v>852</v>
      </c>
      <c r="C91" s="62">
        <f>SUMIFS('reductions data'!H:H,'reductions data'!G:G,'reasons for reduction division'!B91,'reductions data'!A:A,$C$79)</f>
        <v>0</v>
      </c>
      <c r="D91" s="62">
        <f>SUMIFS('reductions data'!H:H,'reductions data'!G:G,'reasons for reduction division'!B91,'reductions data'!A:A,$D$79)</f>
        <v>0</v>
      </c>
      <c r="E91" s="62">
        <f>SUMIFS('reductions data'!H:H,'reductions data'!G:G,'reasons for reduction division'!B91,'reductions data'!A:A,$E$79)</f>
        <v>0</v>
      </c>
      <c r="F91" s="62">
        <f>SUMIFS('reductions data'!H:H,'reductions data'!G:G,'reasons for reduction division'!B91,'reductions data'!A:A,$F$79)</f>
        <v>0</v>
      </c>
      <c r="G91" s="62">
        <f>SUMIFS('reductions data'!H:H,'reductions data'!G:G,'reasons for reduction division'!B91,'reductions data'!A:A,$G$79)</f>
        <v>0</v>
      </c>
      <c r="H91" s="62">
        <f>SUMIFS('reductions data'!H:H,'reductions data'!G:G,'reasons for reduction division'!B91,'reductions data'!A:A,$H$79)</f>
        <v>0</v>
      </c>
      <c r="I91" s="62">
        <f>SUMIFS('reductions data'!H:H,'reductions data'!G:G,'reasons for reduction division'!B91,'reductions data'!A:A,$I$79)</f>
        <v>0</v>
      </c>
      <c r="J91" s="62">
        <f>SUMIFS('reductions data'!H:H,'reductions data'!G:G,'reasons for reduction division'!B91,'reductions data'!A:A,$J$79)</f>
        <v>0</v>
      </c>
      <c r="K91" s="62">
        <f>SUMIFS('reductions data'!H:H,'reductions data'!G:G,'reasons for reduction division'!B91,'reductions data'!A:A,$K$79)</f>
        <v>0</v>
      </c>
      <c r="L91" s="62">
        <f>SUMIFS('reductions data'!H:H,'reductions data'!G:G,'reasons for reduction division'!B91,'reductions data'!A:A,$L$79)</f>
        <v>0</v>
      </c>
      <c r="M91" s="62">
        <f>SUMIFS('reductions data'!H:H,'reductions data'!G:G,'reasons for reduction division'!B91,'reductions data'!A:A,$M$79)</f>
        <v>0</v>
      </c>
      <c r="N91" s="62">
        <f>SUMIFS('reductions data'!H:H,'reductions data'!G:G,'reasons for reduction division'!B91,'reductions data'!A:A,$N$79)</f>
        <v>0</v>
      </c>
      <c r="O91" s="105">
        <f>SUMIF('reductions data'!G:G,'reasons for reduction division'!B91,'reductions data'!H:H)</f>
        <v>0</v>
      </c>
    </row>
    <row r="92" spans="2:15" x14ac:dyDescent="0.15">
      <c r="B92" s="113" t="s">
        <v>853</v>
      </c>
      <c r="C92" s="62">
        <f>SUMIFS('reductions data'!H:H,'reductions data'!G:G,'reasons for reduction division'!B92,'reductions data'!A:A,$C$79)</f>
        <v>0</v>
      </c>
      <c r="D92" s="62">
        <f>SUMIFS('reductions data'!H:H,'reductions data'!G:G,'reasons for reduction division'!B92,'reductions data'!A:A,$D$79)</f>
        <v>0</v>
      </c>
      <c r="E92" s="62">
        <f>SUMIFS('reductions data'!H:H,'reductions data'!G:G,'reasons for reduction division'!B92,'reductions data'!A:A,$E$79)</f>
        <v>0</v>
      </c>
      <c r="F92" s="62">
        <f>SUMIFS('reductions data'!H:H,'reductions data'!G:G,'reasons for reduction division'!B92,'reductions data'!A:A,$F$79)</f>
        <v>0</v>
      </c>
      <c r="G92" s="62">
        <f>SUMIFS('reductions data'!H:H,'reductions data'!G:G,'reasons for reduction division'!B92,'reductions data'!A:A,$G$79)</f>
        <v>0</v>
      </c>
      <c r="H92" s="62">
        <f>SUMIFS('reductions data'!H:H,'reductions data'!G:G,'reasons for reduction division'!B92,'reductions data'!A:A,$H$79)</f>
        <v>0</v>
      </c>
      <c r="I92" s="62">
        <f>SUMIFS('reductions data'!H:H,'reductions data'!G:G,'reasons for reduction division'!B92,'reductions data'!A:A,$I$79)</f>
        <v>0</v>
      </c>
      <c r="J92" s="62">
        <f>SUMIFS('reductions data'!H:H,'reductions data'!G:G,'reasons for reduction division'!B92,'reductions data'!A:A,$J$79)</f>
        <v>0</v>
      </c>
      <c r="K92" s="62">
        <f>SUMIFS('reductions data'!H:H,'reductions data'!G:G,'reasons for reduction division'!B92,'reductions data'!A:A,$K$79)</f>
        <v>0</v>
      </c>
      <c r="L92" s="62">
        <f>SUMIFS('reductions data'!H:H,'reductions data'!G:G,'reasons for reduction division'!B92,'reductions data'!A:A,$L$79)</f>
        <v>0</v>
      </c>
      <c r="M92" s="62">
        <f>SUMIFS('reductions data'!H:H,'reductions data'!G:G,'reasons for reduction division'!B92,'reductions data'!A:A,$M$79)</f>
        <v>0</v>
      </c>
      <c r="N92" s="62">
        <f>SUMIFS('reductions data'!H:H,'reductions data'!G:G,'reasons for reduction division'!B92,'reductions data'!A:A,$N$79)</f>
        <v>0</v>
      </c>
      <c r="O92" s="105">
        <f>SUMIF('reductions data'!G:G,'reasons for reduction division'!B92,'reductions data'!H:H)</f>
        <v>0</v>
      </c>
    </row>
    <row r="93" spans="2:15" x14ac:dyDescent="0.15">
      <c r="B93" s="113" t="s">
        <v>855</v>
      </c>
      <c r="C93" s="62">
        <f>SUMIFS('reductions data'!H:H,'reductions data'!G:G,'reasons for reduction division'!B93,'reductions data'!A:A,$C$79)</f>
        <v>0</v>
      </c>
      <c r="D93" s="62">
        <f>SUMIFS('reductions data'!H:H,'reductions data'!G:G,'reasons for reduction division'!B93,'reductions data'!A:A,$D$79)</f>
        <v>0</v>
      </c>
      <c r="E93" s="62">
        <f>SUMIFS('reductions data'!H:H,'reductions data'!G:G,'reasons for reduction division'!B93,'reductions data'!A:A,$E$79)</f>
        <v>0</v>
      </c>
      <c r="F93" s="62">
        <f>SUMIFS('reductions data'!H:H,'reductions data'!G:G,'reasons for reduction division'!B93,'reductions data'!A:A,$F$79)</f>
        <v>0</v>
      </c>
      <c r="G93" s="62">
        <f>SUMIFS('reductions data'!H:H,'reductions data'!G:G,'reasons for reduction division'!B93,'reductions data'!A:A,$G$79)</f>
        <v>0</v>
      </c>
      <c r="H93" s="62">
        <f>SUMIFS('reductions data'!H:H,'reductions data'!G:G,'reasons for reduction division'!B93,'reductions data'!A:A,$H$79)</f>
        <v>0</v>
      </c>
      <c r="I93" s="62">
        <f>SUMIFS('reductions data'!H:H,'reductions data'!G:G,'reasons for reduction division'!B93,'reductions data'!A:A,$I$79)</f>
        <v>0</v>
      </c>
      <c r="J93" s="62">
        <f>SUMIFS('reductions data'!H:H,'reductions data'!G:G,'reasons for reduction division'!B93,'reductions data'!A:A,$J$79)</f>
        <v>0</v>
      </c>
      <c r="K93" s="62">
        <f>SUMIFS('reductions data'!H:H,'reductions data'!G:G,'reasons for reduction division'!B93,'reductions data'!A:A,$K$79)</f>
        <v>0</v>
      </c>
      <c r="L93" s="62">
        <f>SUMIFS('reductions data'!H:H,'reductions data'!G:G,'reasons for reduction division'!B93,'reductions data'!A:A,$L$79)</f>
        <v>0</v>
      </c>
      <c r="M93" s="62">
        <f>SUMIFS('reductions data'!H:H,'reductions data'!G:G,'reasons for reduction division'!B93,'reductions data'!A:A,$M$79)</f>
        <v>0</v>
      </c>
      <c r="N93" s="62">
        <f>SUMIFS('reductions data'!H:H,'reductions data'!G:G,'reasons for reduction division'!B93,'reductions data'!A:A,$N$79)</f>
        <v>0</v>
      </c>
      <c r="O93" s="105">
        <f>SUMIF('reductions data'!G:G,'reasons for reduction division'!B93,'reductions data'!H:H)</f>
        <v>0</v>
      </c>
    </row>
    <row r="94" spans="2:15" x14ac:dyDescent="0.15">
      <c r="B94" s="113" t="s">
        <v>858</v>
      </c>
      <c r="C94" s="62">
        <f>SUMIFS('reductions data'!H:H,'reductions data'!G:G,'reasons for reduction division'!B94,'reductions data'!A:A,$C$79)</f>
        <v>0</v>
      </c>
      <c r="D94" s="62">
        <f>SUMIFS('reductions data'!H:H,'reductions data'!G:G,'reasons for reduction division'!B94,'reductions data'!A:A,$D$79)</f>
        <v>0</v>
      </c>
      <c r="E94" s="62">
        <f>SUMIFS('reductions data'!H:H,'reductions data'!G:G,'reasons for reduction division'!B94,'reductions data'!A:A,$E$79)</f>
        <v>0</v>
      </c>
      <c r="F94" s="62">
        <f>SUMIFS('reductions data'!H:H,'reductions data'!G:G,'reasons for reduction division'!B94,'reductions data'!A:A,$F$79)</f>
        <v>0</v>
      </c>
      <c r="G94" s="62">
        <f>SUMIFS('reductions data'!H:H,'reductions data'!G:G,'reasons for reduction division'!B94,'reductions data'!A:A,$G$79)</f>
        <v>0</v>
      </c>
      <c r="H94" s="62">
        <f>SUMIFS('reductions data'!H:H,'reductions data'!G:G,'reasons for reduction division'!B94,'reductions data'!A:A,$H$79)</f>
        <v>0</v>
      </c>
      <c r="I94" s="62">
        <f>SUMIFS('reductions data'!H:H,'reductions data'!G:G,'reasons for reduction division'!B94,'reductions data'!A:A,$I$79)</f>
        <v>0</v>
      </c>
      <c r="J94" s="62">
        <f>SUMIFS('reductions data'!H:H,'reductions data'!G:G,'reasons for reduction division'!B94,'reductions data'!A:A,$J$79)</f>
        <v>0</v>
      </c>
      <c r="K94" s="62">
        <f>SUMIFS('reductions data'!H:H,'reductions data'!G:G,'reasons for reduction division'!B94,'reductions data'!A:A,$K$79)</f>
        <v>0</v>
      </c>
      <c r="L94" s="62">
        <f>SUMIFS('reductions data'!H:H,'reductions data'!G:G,'reasons for reduction division'!B94,'reductions data'!A:A,$L$79)</f>
        <v>0</v>
      </c>
      <c r="M94" s="62">
        <f>SUMIFS('reductions data'!H:H,'reductions data'!G:G,'reasons for reduction division'!B94,'reductions data'!A:A,$M$79)</f>
        <v>0</v>
      </c>
      <c r="N94" s="62">
        <f>SUMIFS('reductions data'!H:H,'reductions data'!G:G,'reasons for reduction division'!B94,'reductions data'!A:A,$N$79)</f>
        <v>0</v>
      </c>
      <c r="O94" s="105">
        <f>SUMIF('reductions data'!G:G,'reasons for reduction division'!B94,'reductions data'!H:H)</f>
        <v>0</v>
      </c>
    </row>
    <row r="95" spans="2:15" x14ac:dyDescent="0.15">
      <c r="B95" s="113" t="s">
        <v>854</v>
      </c>
      <c r="C95" s="62">
        <f>SUMIFS('reductions data'!H:H,'reductions data'!G:G,'reasons for reduction division'!B95,'reductions data'!A:A,$C$79)</f>
        <v>0</v>
      </c>
      <c r="D95" s="62">
        <f>SUMIFS('reductions data'!H:H,'reductions data'!G:G,'reasons for reduction division'!B95,'reductions data'!A:A,$D$79)</f>
        <v>0</v>
      </c>
      <c r="E95" s="62">
        <f>SUMIFS('reductions data'!H:H,'reductions data'!G:G,'reasons for reduction division'!B95,'reductions data'!A:A,$E$79)</f>
        <v>0</v>
      </c>
      <c r="F95" s="62">
        <f>SUMIFS('reductions data'!H:H,'reductions data'!G:G,'reasons for reduction division'!B95,'reductions data'!A:A,$F$79)</f>
        <v>0</v>
      </c>
      <c r="G95" s="62">
        <f>SUMIFS('reductions data'!H:H,'reductions data'!G:G,'reasons for reduction division'!B95,'reductions data'!A:A,$G$79)</f>
        <v>0</v>
      </c>
      <c r="H95" s="62">
        <f>SUMIFS('reductions data'!H:H,'reductions data'!G:G,'reasons for reduction division'!B95,'reductions data'!A:A,$H$79)</f>
        <v>0</v>
      </c>
      <c r="I95" s="62">
        <f>SUMIFS('reductions data'!H:H,'reductions data'!G:G,'reasons for reduction division'!B95,'reductions data'!A:A,$I$79)</f>
        <v>0</v>
      </c>
      <c r="J95" s="62">
        <f>SUMIFS('reductions data'!H:H,'reductions data'!G:G,'reasons for reduction division'!B95,'reductions data'!A:A,$J$79)</f>
        <v>0</v>
      </c>
      <c r="K95" s="62">
        <f>SUMIFS('reductions data'!H:H,'reductions data'!G:G,'reasons for reduction division'!B95,'reductions data'!A:A,$K$79)</f>
        <v>0</v>
      </c>
      <c r="L95" s="62">
        <f>SUMIFS('reductions data'!H:H,'reductions data'!G:G,'reasons for reduction division'!B95,'reductions data'!A:A,$L$79)</f>
        <v>0</v>
      </c>
      <c r="M95" s="62">
        <f>SUMIFS('reductions data'!H:H,'reductions data'!G:G,'reasons for reduction division'!B95,'reductions data'!A:A,$M$79)</f>
        <v>0</v>
      </c>
      <c r="N95" s="62">
        <f>SUMIFS('reductions data'!H:H,'reductions data'!G:G,'reasons for reduction division'!B95,'reductions data'!A:A,$N$79)</f>
        <v>0</v>
      </c>
      <c r="O95" s="105">
        <f>SUMIF('reductions data'!G:G,'reasons for reduction division'!B95,'reductions data'!H:H)</f>
        <v>0</v>
      </c>
    </row>
    <row r="96" spans="2:15" x14ac:dyDescent="0.15">
      <c r="B96" s="113" t="s">
        <v>939</v>
      </c>
      <c r="C96" s="62">
        <f>SUMIFS('reductions data'!H:H,'reductions data'!G:G,'reasons for reduction division'!B96,'reductions data'!A:A,$C$79)</f>
        <v>0</v>
      </c>
      <c r="D96" s="62">
        <f>SUMIFS('reductions data'!H:H,'reductions data'!G:G,'reasons for reduction division'!B96,'reductions data'!A:A,$D$79)</f>
        <v>0</v>
      </c>
      <c r="E96" s="62">
        <f>SUMIFS('reductions data'!H:H,'reductions data'!G:G,'reasons for reduction division'!B96,'reductions data'!A:A,$E$79)</f>
        <v>0</v>
      </c>
      <c r="F96" s="62">
        <f>SUMIFS('reductions data'!H:H,'reductions data'!G:G,'reasons for reduction division'!B96,'reductions data'!A:A,$F$79)</f>
        <v>0</v>
      </c>
      <c r="G96" s="62">
        <f>SUMIFS('reductions data'!H:H,'reductions data'!G:G,'reasons for reduction division'!B96,'reductions data'!A:A,$G$79)</f>
        <v>0</v>
      </c>
      <c r="H96" s="62">
        <f>SUMIFS('reductions data'!H:H,'reductions data'!G:G,'reasons for reduction division'!B96,'reductions data'!A:A,$H$79)</f>
        <v>0</v>
      </c>
      <c r="I96" s="62">
        <f>SUMIFS('reductions data'!H:H,'reductions data'!G:G,'reasons for reduction division'!B96,'reductions data'!A:A,$I$79)</f>
        <v>0</v>
      </c>
      <c r="J96" s="62">
        <f>SUMIFS('reductions data'!H:H,'reductions data'!G:G,'reasons for reduction division'!B96,'reductions data'!A:A,$J$79)</f>
        <v>0</v>
      </c>
      <c r="K96" s="62">
        <f>SUMIFS('reductions data'!H:H,'reductions data'!G:G,'reasons for reduction division'!B96,'reductions data'!A:A,$K$79)</f>
        <v>0</v>
      </c>
      <c r="L96" s="62">
        <f>SUMIFS('reductions data'!H:H,'reductions data'!G:G,'reasons for reduction division'!B96,'reductions data'!A:A,$L$79)</f>
        <v>0</v>
      </c>
      <c r="M96" s="62">
        <f>SUMIFS('reductions data'!H:H,'reductions data'!G:G,'reasons for reduction division'!B96,'reductions data'!A:A,$M$79)</f>
        <v>0</v>
      </c>
      <c r="N96" s="62">
        <f>SUMIFS('reductions data'!H:H,'reductions data'!G:G,'reasons for reduction division'!B96,'reductions data'!A:A,$N$79)</f>
        <v>0</v>
      </c>
      <c r="O96" s="105">
        <f>SUMIF('reductions data'!G:G,'reasons for reduction division'!B96,'reductions data'!H:H)</f>
        <v>0</v>
      </c>
    </row>
    <row r="97" spans="2:15" x14ac:dyDescent="0.15">
      <c r="B97" s="113" t="s">
        <v>859</v>
      </c>
      <c r="C97" s="62">
        <f>SUMIFS('reductions data'!H:H,'reductions data'!G:G,'reasons for reduction division'!B97,'reductions data'!A:A,$C$79)</f>
        <v>0</v>
      </c>
      <c r="D97" s="62">
        <f>SUMIFS('reductions data'!H:H,'reductions data'!G:G,'reasons for reduction division'!B97,'reductions data'!A:A,$D$79)</f>
        <v>0</v>
      </c>
      <c r="E97" s="62">
        <f>SUMIFS('reductions data'!H:H,'reductions data'!G:G,'reasons for reduction division'!B97,'reductions data'!A:A,$E$79)</f>
        <v>0</v>
      </c>
      <c r="F97" s="62">
        <f>SUMIFS('reductions data'!H:H,'reductions data'!G:G,'reasons for reduction division'!B97,'reductions data'!A:A,$F$79)</f>
        <v>0</v>
      </c>
      <c r="G97" s="62">
        <f>SUMIFS('reductions data'!H:H,'reductions data'!G:G,'reasons for reduction division'!B97,'reductions data'!A:A,$G$79)</f>
        <v>0</v>
      </c>
      <c r="H97" s="62">
        <f>SUMIFS('reductions data'!H:H,'reductions data'!G:G,'reasons for reduction division'!B97,'reductions data'!A:A,$H$79)</f>
        <v>0</v>
      </c>
      <c r="I97" s="62">
        <f>SUMIFS('reductions data'!H:H,'reductions data'!G:G,'reasons for reduction division'!B97,'reductions data'!A:A,$I$79)</f>
        <v>0</v>
      </c>
      <c r="J97" s="62">
        <f>SUMIFS('reductions data'!H:H,'reductions data'!G:G,'reasons for reduction division'!B97,'reductions data'!A:A,$J$79)</f>
        <v>0</v>
      </c>
      <c r="K97" s="62">
        <f>SUMIFS('reductions data'!H:H,'reductions data'!G:G,'reasons for reduction division'!B97,'reductions data'!A:A,$K$79)</f>
        <v>0</v>
      </c>
      <c r="L97" s="62">
        <f>SUMIFS('reductions data'!H:H,'reductions data'!G:G,'reasons for reduction division'!B97,'reductions data'!A:A,$L$79)</f>
        <v>0</v>
      </c>
      <c r="M97" s="62">
        <f>SUMIFS('reductions data'!H:H,'reductions data'!G:G,'reasons for reduction division'!B97,'reductions data'!A:A,$M$79)</f>
        <v>0</v>
      </c>
      <c r="N97" s="62">
        <f>SUMIFS('reductions data'!H:H,'reductions data'!G:G,'reasons for reduction division'!B97,'reductions data'!A:A,$N$79)</f>
        <v>0</v>
      </c>
      <c r="O97" s="105">
        <f>SUMIF('reductions data'!G:G,'reasons for reduction division'!B97,'reductions data'!H:H)</f>
        <v>0</v>
      </c>
    </row>
    <row r="98" spans="2:15" x14ac:dyDescent="0.15">
      <c r="B98" s="113" t="s">
        <v>860</v>
      </c>
      <c r="C98" s="62">
        <f>SUMIFS('reductions data'!H:H,'reductions data'!G:G,'reasons for reduction division'!B98,'reductions data'!A:A,$C$79)</f>
        <v>0</v>
      </c>
      <c r="D98" s="62">
        <f>SUMIFS('reductions data'!H:H,'reductions data'!G:G,'reasons for reduction division'!B98,'reductions data'!A:A,$D$79)</f>
        <v>0</v>
      </c>
      <c r="E98" s="62">
        <f>SUMIFS('reductions data'!H:H,'reductions data'!G:G,'reasons for reduction division'!B98,'reductions data'!A:A,$E$79)</f>
        <v>0</v>
      </c>
      <c r="F98" s="62">
        <f>SUMIFS('reductions data'!H:H,'reductions data'!G:G,'reasons for reduction division'!B98,'reductions data'!A:A,$F$79)</f>
        <v>0</v>
      </c>
      <c r="G98" s="62">
        <f>SUMIFS('reductions data'!H:H,'reductions data'!G:G,'reasons for reduction division'!B98,'reductions data'!A:A,$G$79)</f>
        <v>0</v>
      </c>
      <c r="H98" s="62">
        <f>SUMIFS('reductions data'!H:H,'reductions data'!G:G,'reasons for reduction division'!B98,'reductions data'!A:A,$H$79)</f>
        <v>0</v>
      </c>
      <c r="I98" s="62">
        <f>SUMIFS('reductions data'!H:H,'reductions data'!G:G,'reasons for reduction division'!B98,'reductions data'!A:A,$I$79)</f>
        <v>0</v>
      </c>
      <c r="J98" s="62">
        <f>SUMIFS('reductions data'!H:H,'reductions data'!G:G,'reasons for reduction division'!B98,'reductions data'!A:A,$J$79)</f>
        <v>0</v>
      </c>
      <c r="K98" s="62">
        <f>SUMIFS('reductions data'!H:H,'reductions data'!G:G,'reasons for reduction division'!B98,'reductions data'!A:A,$K$79)</f>
        <v>0</v>
      </c>
      <c r="L98" s="62">
        <f>SUMIFS('reductions data'!H:H,'reductions data'!G:G,'reasons for reduction division'!B98,'reductions data'!A:A,$L$79)</f>
        <v>0</v>
      </c>
      <c r="M98" s="62">
        <f>SUMIFS('reductions data'!H:H,'reductions data'!G:G,'reasons for reduction division'!B98,'reductions data'!A:A,$M$79)</f>
        <v>0</v>
      </c>
      <c r="N98" s="62">
        <f>SUMIFS('reductions data'!H:H,'reductions data'!G:G,'reasons for reduction division'!B98,'reductions data'!A:A,$N$79)</f>
        <v>0</v>
      </c>
      <c r="O98" s="105">
        <f>SUMIF('reductions data'!G:G,'reasons for reduction division'!B98,'reductions data'!H:H)</f>
        <v>0</v>
      </c>
    </row>
    <row r="99" spans="2:15" x14ac:dyDescent="0.15">
      <c r="B99" s="113" t="s">
        <v>861</v>
      </c>
      <c r="C99" s="62">
        <f>SUMIFS('reductions data'!H:H,'reductions data'!G:G,'reasons for reduction division'!B99,'reductions data'!A:A,$C$79)</f>
        <v>0</v>
      </c>
      <c r="D99" s="62">
        <f>SUMIFS('reductions data'!H:H,'reductions data'!G:G,'reasons for reduction division'!B99,'reductions data'!A:A,$D$79)</f>
        <v>0</v>
      </c>
      <c r="E99" s="62">
        <f>SUMIFS('reductions data'!H:H,'reductions data'!G:G,'reasons for reduction division'!B99,'reductions data'!A:A,$E$79)</f>
        <v>0</v>
      </c>
      <c r="F99" s="62">
        <f>SUMIFS('reductions data'!H:H,'reductions data'!G:G,'reasons for reduction division'!B99,'reductions data'!A:A,$F$79)</f>
        <v>0</v>
      </c>
      <c r="G99" s="62">
        <f>SUMIFS('reductions data'!H:H,'reductions data'!G:G,'reasons for reduction division'!B99,'reductions data'!A:A,$G$79)</f>
        <v>0</v>
      </c>
      <c r="H99" s="62">
        <f>SUMIFS('reductions data'!H:H,'reductions data'!G:G,'reasons for reduction division'!B99,'reductions data'!A:A,$H$79)</f>
        <v>0</v>
      </c>
      <c r="I99" s="62">
        <f>SUMIFS('reductions data'!H:H,'reductions data'!G:G,'reasons for reduction division'!B99,'reductions data'!A:A,$I$79)</f>
        <v>0</v>
      </c>
      <c r="J99" s="62">
        <f>SUMIFS('reductions data'!H:H,'reductions data'!G:G,'reasons for reduction division'!B99,'reductions data'!A:A,$J$79)</f>
        <v>0</v>
      </c>
      <c r="K99" s="62">
        <f>SUMIFS('reductions data'!H:H,'reductions data'!G:G,'reasons for reduction division'!B99,'reductions data'!A:A,$K$79)</f>
        <v>0</v>
      </c>
      <c r="L99" s="62">
        <f>SUMIFS('reductions data'!H:H,'reductions data'!G:G,'reasons for reduction division'!B99,'reductions data'!A:A,$L$79)</f>
        <v>0</v>
      </c>
      <c r="M99" s="62">
        <f>SUMIFS('reductions data'!H:H,'reductions data'!G:G,'reasons for reduction division'!B99,'reductions data'!A:A,$M$79)</f>
        <v>0</v>
      </c>
      <c r="N99" s="62">
        <f>SUMIFS('reductions data'!H:H,'reductions data'!G:G,'reasons for reduction division'!B99,'reductions data'!A:A,$N$79)</f>
        <v>0</v>
      </c>
      <c r="O99" s="105">
        <f>SUMIF('reductions data'!G:G,'reasons for reduction division'!B99,'reductions data'!H:H)</f>
        <v>0</v>
      </c>
    </row>
    <row r="100" spans="2:15" x14ac:dyDescent="0.15">
      <c r="B100" s="113" t="s">
        <v>862</v>
      </c>
      <c r="C100" s="62">
        <f>SUMIFS('reductions data'!H:H,'reductions data'!G:G,'reasons for reduction division'!B100,'reductions data'!A:A,$C$79)</f>
        <v>0</v>
      </c>
      <c r="D100" s="62">
        <f>SUMIFS('reductions data'!H:H,'reductions data'!G:G,'reasons for reduction division'!B100,'reductions data'!A:A,$D$79)</f>
        <v>0</v>
      </c>
      <c r="E100" s="62">
        <f>SUMIFS('reductions data'!H:H,'reductions data'!G:G,'reasons for reduction division'!B100,'reductions data'!A:A,$E$79)</f>
        <v>0</v>
      </c>
      <c r="F100" s="62">
        <f>SUMIFS('reductions data'!H:H,'reductions data'!G:G,'reasons for reduction division'!B100,'reductions data'!A:A,$F$79)</f>
        <v>0</v>
      </c>
      <c r="G100" s="62">
        <f>SUMIFS('reductions data'!H:H,'reductions data'!G:G,'reasons for reduction division'!B100,'reductions data'!A:A,$G$79)</f>
        <v>0</v>
      </c>
      <c r="H100" s="62">
        <f>SUMIFS('reductions data'!H:H,'reductions data'!G:G,'reasons for reduction division'!B100,'reductions data'!A:A,$H$79)</f>
        <v>0</v>
      </c>
      <c r="I100" s="62">
        <f>SUMIFS('reductions data'!H:H,'reductions data'!G:G,'reasons for reduction division'!B100,'reductions data'!A:A,$I$79)</f>
        <v>0</v>
      </c>
      <c r="J100" s="62">
        <f>SUMIFS('reductions data'!H:H,'reductions data'!G:G,'reasons for reduction division'!B100,'reductions data'!A:A,$J$79)</f>
        <v>0</v>
      </c>
      <c r="K100" s="62">
        <f>SUMIFS('reductions data'!H:H,'reductions data'!G:G,'reasons for reduction division'!B100,'reductions data'!A:A,$K$79)</f>
        <v>0</v>
      </c>
      <c r="L100" s="62">
        <f>SUMIFS('reductions data'!H:H,'reductions data'!G:G,'reasons for reduction division'!B100,'reductions data'!A:A,$L$79)</f>
        <v>0</v>
      </c>
      <c r="M100" s="62">
        <f>SUMIFS('reductions data'!H:H,'reductions data'!G:G,'reasons for reduction division'!B100,'reductions data'!A:A,$M$79)</f>
        <v>0</v>
      </c>
      <c r="N100" s="62">
        <f>SUMIFS('reductions data'!H:H,'reductions data'!G:G,'reasons for reduction division'!B100,'reductions data'!A:A,$N$79)</f>
        <v>0</v>
      </c>
      <c r="O100" s="105">
        <f>SUMIF('reductions data'!G:G,'reasons for reduction division'!B100,'reductions data'!H:H)</f>
        <v>0</v>
      </c>
    </row>
    <row r="101" spans="2:15" x14ac:dyDescent="0.15">
      <c r="B101" s="113" t="s">
        <v>863</v>
      </c>
      <c r="C101" s="62">
        <f>SUMIFS('reductions data'!H:H,'reductions data'!G:G,'reasons for reduction division'!B101,'reductions data'!A:A,$C$79)</f>
        <v>0</v>
      </c>
      <c r="D101" s="62">
        <f>SUMIFS('reductions data'!H:H,'reductions data'!G:G,'reasons for reduction division'!B101,'reductions data'!A:A,$D$79)</f>
        <v>0</v>
      </c>
      <c r="E101" s="62">
        <f>SUMIFS('reductions data'!H:H,'reductions data'!G:G,'reasons for reduction division'!B101,'reductions data'!A:A,$E$79)</f>
        <v>0</v>
      </c>
      <c r="F101" s="62">
        <f>SUMIFS('reductions data'!H:H,'reductions data'!G:G,'reasons for reduction division'!B101,'reductions data'!A:A,$F$79)</f>
        <v>0</v>
      </c>
      <c r="G101" s="62">
        <f>SUMIFS('reductions data'!H:H,'reductions data'!G:G,'reasons for reduction division'!B101,'reductions data'!A:A,$G$79)</f>
        <v>0</v>
      </c>
      <c r="H101" s="62">
        <f>SUMIFS('reductions data'!H:H,'reductions data'!G:G,'reasons for reduction division'!B101,'reductions data'!A:A,$H$79)</f>
        <v>0</v>
      </c>
      <c r="I101" s="62">
        <f>SUMIFS('reductions data'!H:H,'reductions data'!G:G,'reasons for reduction division'!B101,'reductions data'!A:A,$I$79)</f>
        <v>0</v>
      </c>
      <c r="J101" s="62">
        <f>SUMIFS('reductions data'!H:H,'reductions data'!G:G,'reasons for reduction division'!B101,'reductions data'!A:A,$J$79)</f>
        <v>0</v>
      </c>
      <c r="K101" s="62">
        <f>SUMIFS('reductions data'!H:H,'reductions data'!G:G,'reasons for reduction division'!B101,'reductions data'!A:A,$K$79)</f>
        <v>0</v>
      </c>
      <c r="L101" s="62">
        <f>SUMIFS('reductions data'!H:H,'reductions data'!G:G,'reasons for reduction division'!B101,'reductions data'!A:A,$L$79)</f>
        <v>0</v>
      </c>
      <c r="M101" s="62">
        <f>SUMIFS('reductions data'!H:H,'reductions data'!G:G,'reasons for reduction division'!B101,'reductions data'!A:A,$M$79)</f>
        <v>0</v>
      </c>
      <c r="N101" s="62">
        <f>SUMIFS('reductions data'!H:H,'reductions data'!G:G,'reasons for reduction division'!B101,'reductions data'!A:A,$N$79)</f>
        <v>0</v>
      </c>
      <c r="O101" s="105">
        <f>SUMIF('reductions data'!G:G,'reasons for reduction division'!B101,'reductions data'!H:H)</f>
        <v>0</v>
      </c>
    </row>
    <row r="102" spans="2:15" x14ac:dyDescent="0.15">
      <c r="B102" s="113" t="s">
        <v>864</v>
      </c>
      <c r="C102" s="62">
        <f>SUMIFS('reductions data'!H:H,'reductions data'!G:G,'reasons for reduction division'!B102,'reductions data'!A:A,$C$79)</f>
        <v>0</v>
      </c>
      <c r="D102" s="62">
        <f>SUMIFS('reductions data'!H:H,'reductions data'!G:G,'reasons for reduction division'!B102,'reductions data'!A:A,$D$79)</f>
        <v>0</v>
      </c>
      <c r="E102" s="62">
        <f>SUMIFS('reductions data'!H:H,'reductions data'!G:G,'reasons for reduction division'!B102,'reductions data'!A:A,$E$79)</f>
        <v>0</v>
      </c>
      <c r="F102" s="62">
        <f>SUMIFS('reductions data'!H:H,'reductions data'!G:G,'reasons for reduction division'!B102,'reductions data'!A:A,$F$79)</f>
        <v>0</v>
      </c>
      <c r="G102" s="62">
        <f>SUMIFS('reductions data'!H:H,'reductions data'!G:G,'reasons for reduction division'!B102,'reductions data'!A:A,$G$79)</f>
        <v>0</v>
      </c>
      <c r="H102" s="62">
        <f>SUMIFS('reductions data'!H:H,'reductions data'!G:G,'reasons for reduction division'!B102,'reductions data'!A:A,$H$79)</f>
        <v>0</v>
      </c>
      <c r="I102" s="62">
        <f>SUMIFS('reductions data'!H:H,'reductions data'!G:G,'reasons for reduction division'!B102,'reductions data'!A:A,$I$79)</f>
        <v>0</v>
      </c>
      <c r="J102" s="62">
        <f>SUMIFS('reductions data'!H:H,'reductions data'!G:G,'reasons for reduction division'!B102,'reductions data'!A:A,$J$79)</f>
        <v>0</v>
      </c>
      <c r="K102" s="62">
        <f>SUMIFS('reductions data'!H:H,'reductions data'!G:G,'reasons for reduction division'!B102,'reductions data'!A:A,$K$79)</f>
        <v>0</v>
      </c>
      <c r="L102" s="62">
        <f>SUMIFS('reductions data'!H:H,'reductions data'!G:G,'reasons for reduction division'!B102,'reductions data'!A:A,$L$79)</f>
        <v>0</v>
      </c>
      <c r="M102" s="62">
        <f>SUMIFS('reductions data'!H:H,'reductions data'!G:G,'reasons for reduction division'!B102,'reductions data'!A:A,$M$79)</f>
        <v>0</v>
      </c>
      <c r="N102" s="62">
        <f>SUMIFS('reductions data'!H:H,'reductions data'!G:G,'reasons for reduction division'!B102,'reductions data'!A:A,$N$79)</f>
        <v>0</v>
      </c>
      <c r="O102" s="105">
        <f>SUMIF('reductions data'!G:G,'reasons for reduction division'!B102,'reductions data'!H:H)</f>
        <v>0</v>
      </c>
    </row>
    <row r="103" spans="2:15" x14ac:dyDescent="0.15">
      <c r="B103" s="113" t="s">
        <v>865</v>
      </c>
      <c r="C103" s="62">
        <f>SUMIFS('reductions data'!H:H,'reductions data'!G:G,'reasons for reduction division'!B103,'reductions data'!A:A,$C$79)</f>
        <v>0</v>
      </c>
      <c r="D103" s="62">
        <f>SUMIFS('reductions data'!H:H,'reductions data'!G:G,'reasons for reduction division'!B103,'reductions data'!A:A,$D$79)</f>
        <v>0</v>
      </c>
      <c r="E103" s="62">
        <f>SUMIFS('reductions data'!H:H,'reductions data'!G:G,'reasons for reduction division'!B103,'reductions data'!A:A,$E$79)</f>
        <v>0</v>
      </c>
      <c r="F103" s="62">
        <f>SUMIFS('reductions data'!H:H,'reductions data'!G:G,'reasons for reduction division'!B103,'reductions data'!A:A,$F$79)</f>
        <v>0</v>
      </c>
      <c r="G103" s="62">
        <f>SUMIFS('reductions data'!H:H,'reductions data'!G:G,'reasons for reduction division'!B103,'reductions data'!A:A,$G$79)</f>
        <v>0</v>
      </c>
      <c r="H103" s="62">
        <f>SUMIFS('reductions data'!H:H,'reductions data'!G:G,'reasons for reduction division'!B103,'reductions data'!A:A,$H$79)</f>
        <v>0</v>
      </c>
      <c r="I103" s="62">
        <f>SUMIFS('reductions data'!H:H,'reductions data'!G:G,'reasons for reduction division'!B103,'reductions data'!A:A,$I$79)</f>
        <v>0</v>
      </c>
      <c r="J103" s="62">
        <f>SUMIFS('reductions data'!H:H,'reductions data'!G:G,'reasons for reduction division'!B103,'reductions data'!A:A,$J$79)</f>
        <v>0</v>
      </c>
      <c r="K103" s="62">
        <f>SUMIFS('reductions data'!H:H,'reductions data'!G:G,'reasons for reduction division'!B103,'reductions data'!A:A,$K$79)</f>
        <v>0</v>
      </c>
      <c r="L103" s="62">
        <f>SUMIFS('reductions data'!H:H,'reductions data'!G:G,'reasons for reduction division'!B103,'reductions data'!A:A,$L$79)</f>
        <v>0</v>
      </c>
      <c r="M103" s="62">
        <f>SUMIFS('reductions data'!H:H,'reductions data'!G:G,'reasons for reduction division'!B103,'reductions data'!A:A,$M$79)</f>
        <v>0</v>
      </c>
      <c r="N103" s="62">
        <f>SUMIFS('reductions data'!H:H,'reductions data'!G:G,'reasons for reduction division'!B103,'reductions data'!A:A,$N$79)</f>
        <v>0</v>
      </c>
      <c r="O103" s="105">
        <f>SUMIF('reductions data'!G:G,'reasons for reduction division'!B103,'reductions data'!H:H)</f>
        <v>0</v>
      </c>
    </row>
    <row r="104" spans="2:15" x14ac:dyDescent="0.15">
      <c r="B104" s="113" t="s">
        <v>1197</v>
      </c>
      <c r="C104" s="62">
        <f>SUMIFS('reductions data'!H:H,'reductions data'!G:G,'reasons for reduction division'!B104,'reductions data'!A:A,$C$79)</f>
        <v>0</v>
      </c>
      <c r="D104" s="62">
        <f>SUMIFS('reductions data'!H:H,'reductions data'!G:G,'reasons for reduction division'!B104,'reductions data'!A:A,$D$79)</f>
        <v>0</v>
      </c>
      <c r="E104" s="62">
        <f>SUMIFS('reductions data'!H:H,'reductions data'!G:G,'reasons for reduction division'!B104,'reductions data'!A:A,$E$79)</f>
        <v>0</v>
      </c>
      <c r="F104" s="62">
        <f>SUMIFS('reductions data'!H:H,'reductions data'!G:G,'reasons for reduction division'!B104,'reductions data'!A:A,$F$79)</f>
        <v>0</v>
      </c>
      <c r="G104" s="62">
        <f>SUMIFS('reductions data'!H:H,'reductions data'!G:G,'reasons for reduction division'!B104,'reductions data'!A:A,$G$79)</f>
        <v>0</v>
      </c>
      <c r="H104" s="62">
        <f>SUMIFS('reductions data'!H:H,'reductions data'!G:G,'reasons for reduction division'!B104,'reductions data'!A:A,$H$79)</f>
        <v>0</v>
      </c>
      <c r="I104" s="62">
        <f>SUMIFS('reductions data'!H:H,'reductions data'!G:G,'reasons for reduction division'!B104,'reductions data'!A:A,$I$79)</f>
        <v>0</v>
      </c>
      <c r="J104" s="62">
        <f>SUMIFS('reductions data'!H:H,'reductions data'!G:G,'reasons for reduction division'!B104,'reductions data'!A:A,$J$79)</f>
        <v>0</v>
      </c>
      <c r="K104" s="62">
        <f>SUMIFS('reductions data'!H:H,'reductions data'!G:G,'reasons for reduction division'!B104,'reductions data'!A:A,$K$79)</f>
        <v>0</v>
      </c>
      <c r="L104" s="62">
        <f>SUMIFS('reductions data'!H:H,'reductions data'!G:G,'reasons for reduction division'!B104,'reductions data'!A:A,$L$79)</f>
        <v>0</v>
      </c>
      <c r="M104" s="62">
        <f>SUMIFS('reductions data'!H:H,'reductions data'!G:G,'reasons for reduction division'!B104,'reductions data'!A:A,$M$79)</f>
        <v>0</v>
      </c>
      <c r="N104" s="62">
        <f>SUMIFS('reductions data'!H:H,'reductions data'!G:G,'reasons for reduction division'!B104,'reductions data'!A:A,$N$79)</f>
        <v>0</v>
      </c>
      <c r="O104" s="105">
        <f>SUMIF('reductions data'!G:G,'reasons for reduction division'!B104,'reductions data'!H:H)</f>
        <v>0</v>
      </c>
    </row>
    <row r="105" spans="2:15" x14ac:dyDescent="0.15">
      <c r="B105" s="113" t="s">
        <v>1198</v>
      </c>
      <c r="C105" s="62">
        <f>SUMIFS('reductions data'!H:H,'reductions data'!G:G,'reasons for reduction division'!B105,'reductions data'!A:A,$C$79)</f>
        <v>0</v>
      </c>
      <c r="D105" s="62">
        <f>SUMIFS('reductions data'!H:H,'reductions data'!G:G,'reasons for reduction division'!B105,'reductions data'!A:A,$D$79)</f>
        <v>0</v>
      </c>
      <c r="E105" s="62">
        <f>SUMIFS('reductions data'!H:H,'reductions data'!G:G,'reasons for reduction division'!B105,'reductions data'!A:A,$E$79)</f>
        <v>0</v>
      </c>
      <c r="F105" s="62">
        <f>SUMIFS('reductions data'!H:H,'reductions data'!G:G,'reasons for reduction division'!B105,'reductions data'!A:A,$F$79)</f>
        <v>0</v>
      </c>
      <c r="G105" s="62">
        <f>SUMIFS('reductions data'!H:H,'reductions data'!G:G,'reasons for reduction division'!B105,'reductions data'!A:A,$G$79)</f>
        <v>0</v>
      </c>
      <c r="H105" s="62">
        <f>SUMIFS('reductions data'!H:H,'reductions data'!G:G,'reasons for reduction division'!B105,'reductions data'!A:A,$H$79)</f>
        <v>0</v>
      </c>
      <c r="I105" s="62">
        <f>SUMIFS('reductions data'!H:H,'reductions data'!G:G,'reasons for reduction division'!B105,'reductions data'!A:A,$I$79)</f>
        <v>0</v>
      </c>
      <c r="J105" s="62">
        <f>SUMIFS('reductions data'!H:H,'reductions data'!G:G,'reasons for reduction division'!B105,'reductions data'!A:A,$J$79)</f>
        <v>0</v>
      </c>
      <c r="K105" s="62">
        <f>SUMIFS('reductions data'!H:H,'reductions data'!G:G,'reasons for reduction division'!B105,'reductions data'!A:A,$K$79)</f>
        <v>0</v>
      </c>
      <c r="L105" s="62">
        <f>SUMIFS('reductions data'!H:H,'reductions data'!G:G,'reasons for reduction division'!B105,'reductions data'!A:A,$L$79)</f>
        <v>0</v>
      </c>
      <c r="M105" s="62">
        <f>SUMIFS('reductions data'!H:H,'reductions data'!G:G,'reasons for reduction division'!B105,'reductions data'!A:A,$M$79)</f>
        <v>0</v>
      </c>
      <c r="N105" s="62">
        <f>SUMIFS('reductions data'!H:H,'reductions data'!G:G,'reasons for reduction division'!B105,'reductions data'!A:A,$N$79)</f>
        <v>0</v>
      </c>
      <c r="O105" s="105">
        <f>SUMIF('reductions data'!G:G,'reasons for reduction division'!B105,'reductions data'!H:H)</f>
        <v>0</v>
      </c>
    </row>
    <row r="106" spans="2:15" x14ac:dyDescent="0.15">
      <c r="B106" s="320" t="s">
        <v>1195</v>
      </c>
      <c r="C106" s="62">
        <f>SUMIFS('reductions data'!H:H,'reductions data'!G:G,'reasons for reduction division'!B106,'reductions data'!A:A,$C$79)</f>
        <v>0</v>
      </c>
      <c r="D106" s="62">
        <f>SUMIFS('reductions data'!H:H,'reductions data'!G:G,'reasons for reduction division'!B106,'reductions data'!A:A,$D$79)</f>
        <v>0</v>
      </c>
      <c r="E106" s="62">
        <f>SUMIFS('reductions data'!H:H,'reductions data'!G:G,'reasons for reduction division'!B106,'reductions data'!A:A,$E$79)</f>
        <v>0</v>
      </c>
      <c r="F106" s="62">
        <f>SUMIFS('reductions data'!H:H,'reductions data'!G:G,'reasons for reduction division'!B106,'reductions data'!A:A,$F$79)</f>
        <v>0</v>
      </c>
      <c r="G106" s="62">
        <f>SUMIFS('reductions data'!H:H,'reductions data'!G:G,'reasons for reduction division'!B106,'reductions data'!A:A,$G$79)</f>
        <v>0</v>
      </c>
      <c r="H106" s="62">
        <f>SUMIFS('reductions data'!H:H,'reductions data'!G:G,'reasons for reduction division'!B106,'reductions data'!A:A,$H$79)</f>
        <v>0</v>
      </c>
      <c r="I106" s="62">
        <f>SUMIFS('reductions data'!H:H,'reductions data'!G:G,'reasons for reduction division'!B106,'reductions data'!A:A,$I$79)</f>
        <v>0</v>
      </c>
      <c r="J106" s="62">
        <f>SUMIFS('reductions data'!H:H,'reductions data'!G:G,'reasons for reduction division'!B106,'reductions data'!A:A,$J$79)</f>
        <v>0</v>
      </c>
      <c r="K106" s="62">
        <f>SUMIFS('reductions data'!H:H,'reductions data'!G:G,'reasons for reduction division'!B106,'reductions data'!A:A,$K$79)</f>
        <v>0</v>
      </c>
      <c r="L106" s="62">
        <f>SUMIFS('reductions data'!H:H,'reductions data'!G:G,'reasons for reduction division'!B106,'reductions data'!A:A,$L$79)</f>
        <v>0</v>
      </c>
      <c r="M106" s="62">
        <f>SUMIFS('reductions data'!H:H,'reductions data'!G:G,'reasons for reduction division'!B106,'reductions data'!A:A,$M$79)</f>
        <v>0</v>
      </c>
      <c r="N106" s="62">
        <f>SUMIFS('reductions data'!H:H,'reductions data'!G:G,'reasons for reduction division'!B106,'reductions data'!A:A,$N$79)</f>
        <v>0</v>
      </c>
      <c r="O106" s="105">
        <f>SUMIF('reductions data'!G:G,'reasons for reduction division'!B106,'reductions data'!H:H)</f>
        <v>0</v>
      </c>
    </row>
    <row r="107" spans="2:15" x14ac:dyDescent="0.15">
      <c r="B107" s="320" t="s">
        <v>1196</v>
      </c>
      <c r="C107" s="62">
        <f>SUMIFS('reductions data'!H:H,'reductions data'!G:G,'reasons for reduction division'!B107,'reductions data'!A:A,$C$79)</f>
        <v>0</v>
      </c>
      <c r="D107" s="62">
        <f>SUMIFS('reductions data'!H:H,'reductions data'!G:G,'reasons for reduction division'!B107,'reductions data'!A:A,$D$79)</f>
        <v>0</v>
      </c>
      <c r="E107" s="62">
        <f>SUMIFS('reductions data'!H:H,'reductions data'!G:G,'reasons for reduction division'!B107,'reductions data'!A:A,$E$79)</f>
        <v>0</v>
      </c>
      <c r="F107" s="62">
        <f>SUMIFS('reductions data'!H:H,'reductions data'!G:G,'reasons for reduction division'!B107,'reductions data'!A:A,$F$79)</f>
        <v>0</v>
      </c>
      <c r="G107" s="62">
        <f>SUMIFS('reductions data'!H:H,'reductions data'!G:G,'reasons for reduction division'!B107,'reductions data'!A:A,$G$79)</f>
        <v>0</v>
      </c>
      <c r="H107" s="62">
        <f>SUMIFS('reductions data'!H:H,'reductions data'!G:G,'reasons for reduction division'!B107,'reductions data'!A:A,$H$79)</f>
        <v>0</v>
      </c>
      <c r="I107" s="62">
        <f>SUMIFS('reductions data'!H:H,'reductions data'!G:G,'reasons for reduction division'!B107,'reductions data'!A:A,$I$79)</f>
        <v>0</v>
      </c>
      <c r="J107" s="62">
        <f>SUMIFS('reductions data'!H:H,'reductions data'!G:G,'reasons for reduction division'!B107,'reductions data'!A:A,$J$79)</f>
        <v>0</v>
      </c>
      <c r="K107" s="62">
        <f>SUMIFS('reductions data'!H:H,'reductions data'!G:G,'reasons for reduction division'!B107,'reductions data'!A:A,$K$79)</f>
        <v>0</v>
      </c>
      <c r="L107" s="62">
        <f>SUMIFS('reductions data'!H:H,'reductions data'!G:G,'reasons for reduction division'!B107,'reductions data'!A:A,$L$79)</f>
        <v>0</v>
      </c>
      <c r="M107" s="62">
        <f>SUMIFS('reductions data'!H:H,'reductions data'!G:G,'reasons for reduction division'!B107,'reductions data'!A:A,$M$79)</f>
        <v>0</v>
      </c>
      <c r="N107" s="62">
        <f>SUMIFS('reductions data'!H:H,'reductions data'!G:G,'reasons for reduction division'!B107,'reductions data'!A:A,$N$79)</f>
        <v>0</v>
      </c>
      <c r="O107" s="105">
        <f>SUMIF('reductions data'!G:G,'reasons for reduction division'!B107,'reductions data'!H:H)</f>
        <v>0</v>
      </c>
    </row>
    <row r="108" spans="2:15" x14ac:dyDescent="0.15">
      <c r="B108" s="320" t="s">
        <v>1205</v>
      </c>
      <c r="C108" s="62">
        <f>SUMIFS('reductions data'!H:H,'reductions data'!G:G,'reasons for reduction division'!B108,'reductions data'!A:A,$C$79)</f>
        <v>0</v>
      </c>
      <c r="D108" s="62">
        <f>SUMIFS('reductions data'!H:H,'reductions data'!G:G,'reasons for reduction division'!B108,'reductions data'!A:A,$D$79)</f>
        <v>0</v>
      </c>
      <c r="E108" s="62">
        <f>SUMIFS('reductions data'!H:H,'reductions data'!G:G,'reasons for reduction division'!B108,'reductions data'!A:A,$E$79)</f>
        <v>0</v>
      </c>
      <c r="F108" s="62">
        <f>SUMIFS('reductions data'!H:H,'reductions data'!G:G,'reasons for reduction division'!B108,'reductions data'!A:A,$F$79)</f>
        <v>0</v>
      </c>
      <c r="G108" s="62">
        <f>SUMIFS('reductions data'!H:H,'reductions data'!G:G,'reasons for reduction division'!B108,'reductions data'!A:A,$G$79)</f>
        <v>0</v>
      </c>
      <c r="H108" s="62">
        <f>SUMIFS('reductions data'!H:H,'reductions data'!G:G,'reasons for reduction division'!B108,'reductions data'!A:A,$H$79)</f>
        <v>0</v>
      </c>
      <c r="I108" s="62">
        <f>SUMIFS('reductions data'!H:H,'reductions data'!G:G,'reasons for reduction division'!B108,'reductions data'!A:A,$I$79)</f>
        <v>0</v>
      </c>
      <c r="J108" s="62">
        <f>SUMIFS('reductions data'!H:H,'reductions data'!G:G,'reasons for reduction division'!B108,'reductions data'!A:A,$J$79)</f>
        <v>0</v>
      </c>
      <c r="K108" s="62">
        <f>SUMIFS('reductions data'!H:H,'reductions data'!G:G,'reasons for reduction division'!B108,'reductions data'!A:A,$K$79)</f>
        <v>0</v>
      </c>
      <c r="L108" s="62">
        <f>SUMIFS('reductions data'!H:H,'reductions data'!G:G,'reasons for reduction division'!B108,'reductions data'!A:A,$L$79)</f>
        <v>0</v>
      </c>
      <c r="M108" s="62">
        <f>SUMIFS('reductions data'!H:H,'reductions data'!G:G,'reasons for reduction division'!B108,'reductions data'!A:A,$M$79)</f>
        <v>0</v>
      </c>
      <c r="N108" s="62">
        <f>SUMIFS('reductions data'!H:H,'reductions data'!G:G,'reasons for reduction division'!B108,'reductions data'!A:A,$N$79)</f>
        <v>0</v>
      </c>
      <c r="O108" s="105">
        <f>SUMIF('reductions data'!G:G,'reasons for reduction division'!B108,'reductions data'!H:H)</f>
        <v>0</v>
      </c>
    </row>
    <row r="109" spans="2:15" x14ac:dyDescent="0.15">
      <c r="B109" s="112" t="s">
        <v>1199</v>
      </c>
      <c r="C109" s="62">
        <f>SUMIFS('reductions data'!H:H,'reductions data'!G:G,'reasons for reduction division'!B109,'reductions data'!A:A,$C$79)</f>
        <v>0</v>
      </c>
      <c r="D109" s="62">
        <f>SUMIFS('reductions data'!H:H,'reductions data'!G:G,'reasons for reduction division'!B109,'reductions data'!A:A,$D$79)</f>
        <v>0</v>
      </c>
      <c r="E109" s="62">
        <f>SUMIFS('reductions data'!H:H,'reductions data'!G:G,'reasons for reduction division'!B109,'reductions data'!A:A,$E$79)</f>
        <v>0</v>
      </c>
      <c r="F109" s="62">
        <f>SUMIFS('reductions data'!H:H,'reductions data'!G:G,'reasons for reduction division'!B109,'reductions data'!A:A,$F$79)</f>
        <v>0</v>
      </c>
      <c r="G109" s="62">
        <f>SUMIFS('reductions data'!H:H,'reductions data'!G:G,'reasons for reduction division'!B109,'reductions data'!A:A,$G$79)</f>
        <v>0</v>
      </c>
      <c r="H109" s="62">
        <f>SUMIFS('reductions data'!H:H,'reductions data'!G:G,'reasons for reduction division'!B109,'reductions data'!A:A,$H$79)</f>
        <v>0</v>
      </c>
      <c r="I109" s="62">
        <f>SUMIFS('reductions data'!H:H,'reductions data'!G:G,'reasons for reduction division'!B109,'reductions data'!A:A,$I$79)</f>
        <v>0</v>
      </c>
      <c r="J109" s="62">
        <f>SUMIFS('reductions data'!H:H,'reductions data'!G:G,'reasons for reduction division'!B109,'reductions data'!A:A,$J$79)</f>
        <v>0</v>
      </c>
      <c r="K109" s="62">
        <f>SUMIFS('reductions data'!H:H,'reductions data'!G:G,'reasons for reduction division'!B109,'reductions data'!A:A,$K$79)</f>
        <v>0</v>
      </c>
      <c r="L109" s="62">
        <f>SUMIFS('reductions data'!H:H,'reductions data'!G:G,'reasons for reduction division'!B109,'reductions data'!A:A,$L$79)</f>
        <v>0</v>
      </c>
      <c r="M109" s="62">
        <f>SUMIFS('reductions data'!H:H,'reductions data'!G:G,'reasons for reduction division'!B109,'reductions data'!A:A,$M$79)</f>
        <v>0</v>
      </c>
      <c r="N109" s="62">
        <f>SUMIFS('reductions data'!H:H,'reductions data'!G:G,'reasons for reduction division'!B109,'reductions data'!A:A,$N$79)</f>
        <v>0</v>
      </c>
      <c r="O109" s="105">
        <f>SUMIF('reductions data'!G:G,'reasons for reduction division'!B109,'reductions data'!H:H)</f>
        <v>0</v>
      </c>
    </row>
    <row r="110" spans="2:15" x14ac:dyDescent="0.15">
      <c r="B110" s="113" t="s">
        <v>1200</v>
      </c>
      <c r="C110" s="62">
        <f>SUMIFS('reductions data'!H:H,'reductions data'!G:G,'reasons for reduction division'!B110,'reductions data'!A:A,$C$79)</f>
        <v>0</v>
      </c>
      <c r="D110" s="62">
        <f>SUMIFS('reductions data'!H:H,'reductions data'!G:G,'reasons for reduction division'!B110,'reductions data'!A:A,$D$79)</f>
        <v>0</v>
      </c>
      <c r="E110" s="62">
        <f>SUMIFS('reductions data'!H:H,'reductions data'!G:G,'reasons for reduction division'!B110,'reductions data'!A:A,$E$79)</f>
        <v>0</v>
      </c>
      <c r="F110" s="62">
        <f>SUMIFS('reductions data'!H:H,'reductions data'!G:G,'reasons for reduction division'!B110,'reductions data'!A:A,$F$79)</f>
        <v>0</v>
      </c>
      <c r="G110" s="62">
        <f>SUMIFS('reductions data'!H:H,'reductions data'!G:G,'reasons for reduction division'!B110,'reductions data'!A:A,$G$79)</f>
        <v>0</v>
      </c>
      <c r="H110" s="62">
        <f>SUMIFS('reductions data'!H:H,'reductions data'!G:G,'reasons for reduction division'!B110,'reductions data'!A:A,$H$79)</f>
        <v>0</v>
      </c>
      <c r="I110" s="62">
        <f>SUMIFS('reductions data'!H:H,'reductions data'!G:G,'reasons for reduction division'!B110,'reductions data'!A:A,$I$79)</f>
        <v>0</v>
      </c>
      <c r="J110" s="62">
        <f>SUMIFS('reductions data'!H:H,'reductions data'!G:G,'reasons for reduction division'!B110,'reductions data'!A:A,$J$79)</f>
        <v>0</v>
      </c>
      <c r="K110" s="62">
        <f>SUMIFS('reductions data'!H:H,'reductions data'!G:G,'reasons for reduction division'!B110,'reductions data'!A:A,$K$79)</f>
        <v>0</v>
      </c>
      <c r="L110" s="62">
        <f>SUMIFS('reductions data'!H:H,'reductions data'!G:G,'reasons for reduction division'!B110,'reductions data'!A:A,$L$79)</f>
        <v>0</v>
      </c>
      <c r="M110" s="62">
        <f>SUMIFS('reductions data'!H:H,'reductions data'!G:G,'reasons for reduction division'!B110,'reductions data'!A:A,$M$79)</f>
        <v>0</v>
      </c>
      <c r="N110" s="62">
        <f>SUMIFS('reductions data'!H:H,'reductions data'!G:G,'reasons for reduction division'!B110,'reductions data'!A:A,$N$79)</f>
        <v>0</v>
      </c>
      <c r="O110" s="105">
        <f>SUMIF('reductions data'!G:G,'reasons for reduction division'!B110,'reductions data'!H:H)</f>
        <v>0</v>
      </c>
    </row>
    <row r="111" spans="2:15" x14ac:dyDescent="0.15">
      <c r="B111" s="113" t="s">
        <v>867</v>
      </c>
      <c r="C111" s="62">
        <f>SUMIFS('reductions data'!H:H,'reductions data'!G:G,'reasons for reduction division'!B111,'reductions data'!A:A,$C$79)</f>
        <v>0</v>
      </c>
      <c r="D111" s="62">
        <f>SUMIFS('reductions data'!H:H,'reductions data'!G:G,'reasons for reduction division'!B111,'reductions data'!A:A,$D$79)</f>
        <v>0</v>
      </c>
      <c r="E111" s="62">
        <f>SUMIFS('reductions data'!H:H,'reductions data'!G:G,'reasons for reduction division'!B111,'reductions data'!A:A,$E$79)</f>
        <v>0</v>
      </c>
      <c r="F111" s="62">
        <f>SUMIFS('reductions data'!H:H,'reductions data'!G:G,'reasons for reduction division'!B111,'reductions data'!A:A,$F$79)</f>
        <v>0</v>
      </c>
      <c r="G111" s="62">
        <f>SUMIFS('reductions data'!H:H,'reductions data'!G:G,'reasons for reduction division'!B111,'reductions data'!A:A,$G$79)</f>
        <v>0</v>
      </c>
      <c r="H111" s="62">
        <f>SUMIFS('reductions data'!H:H,'reductions data'!G:G,'reasons for reduction division'!B111,'reductions data'!A:A,$H$79)</f>
        <v>0</v>
      </c>
      <c r="I111" s="62">
        <f>SUMIFS('reductions data'!H:H,'reductions data'!G:G,'reasons for reduction division'!B111,'reductions data'!A:A,$I$79)</f>
        <v>0</v>
      </c>
      <c r="J111" s="62">
        <f>SUMIFS('reductions data'!H:H,'reductions data'!G:G,'reasons for reduction division'!B111,'reductions data'!A:A,$J$79)</f>
        <v>0</v>
      </c>
      <c r="K111" s="62">
        <f>SUMIFS('reductions data'!H:H,'reductions data'!G:G,'reasons for reduction division'!B111,'reductions data'!A:A,$K$79)</f>
        <v>0</v>
      </c>
      <c r="L111" s="62">
        <f>SUMIFS('reductions data'!H:H,'reductions data'!G:G,'reasons for reduction division'!B111,'reductions data'!A:A,$L$79)</f>
        <v>0</v>
      </c>
      <c r="M111" s="62">
        <f>SUMIFS('reductions data'!H:H,'reductions data'!G:G,'reasons for reduction division'!B111,'reductions data'!A:A,$M$79)</f>
        <v>0</v>
      </c>
      <c r="N111" s="62">
        <f>SUMIFS('reductions data'!H:H,'reductions data'!G:G,'reasons for reduction division'!B111,'reductions data'!A:A,$N$79)</f>
        <v>0</v>
      </c>
      <c r="O111" s="105">
        <f>SUMIF('reductions data'!G:G,'reasons for reduction division'!B111,'reductions data'!H:H)</f>
        <v>0</v>
      </c>
    </row>
    <row r="112" spans="2:15" x14ac:dyDescent="0.15">
      <c r="B112" s="113" t="s">
        <v>868</v>
      </c>
      <c r="C112" s="62">
        <f>SUMIFS('reductions data'!H:H,'reductions data'!G:G,'reasons for reduction division'!B112,'reductions data'!A:A,$C$79)</f>
        <v>0</v>
      </c>
      <c r="D112" s="62">
        <f>SUMIFS('reductions data'!H:H,'reductions data'!G:G,'reasons for reduction division'!B112,'reductions data'!A:A,$D$79)</f>
        <v>0</v>
      </c>
      <c r="E112" s="62">
        <f>SUMIFS('reductions data'!H:H,'reductions data'!G:G,'reasons for reduction division'!B112,'reductions data'!A:A,$E$79)</f>
        <v>0</v>
      </c>
      <c r="F112" s="62">
        <f>SUMIFS('reductions data'!H:H,'reductions data'!G:G,'reasons for reduction division'!B112,'reductions data'!A:A,$F$79)</f>
        <v>0</v>
      </c>
      <c r="G112" s="62">
        <f>SUMIFS('reductions data'!H:H,'reductions data'!G:G,'reasons for reduction division'!B112,'reductions data'!A:A,$G$79)</f>
        <v>0</v>
      </c>
      <c r="H112" s="62">
        <f>SUMIFS('reductions data'!H:H,'reductions data'!G:G,'reasons for reduction division'!B112,'reductions data'!A:A,$H$79)</f>
        <v>0</v>
      </c>
      <c r="I112" s="62">
        <f>SUMIFS('reductions data'!H:H,'reductions data'!G:G,'reasons for reduction division'!B112,'reductions data'!A:A,$I$79)</f>
        <v>0</v>
      </c>
      <c r="J112" s="62">
        <f>SUMIFS('reductions data'!H:H,'reductions data'!G:G,'reasons for reduction division'!B112,'reductions data'!A:A,$J$79)</f>
        <v>0</v>
      </c>
      <c r="K112" s="62">
        <f>SUMIFS('reductions data'!H:H,'reductions data'!G:G,'reasons for reduction division'!B112,'reductions data'!A:A,$K$79)</f>
        <v>0</v>
      </c>
      <c r="L112" s="62">
        <f>SUMIFS('reductions data'!H:H,'reductions data'!G:G,'reasons for reduction division'!B112,'reductions data'!A:A,$L$79)</f>
        <v>0</v>
      </c>
      <c r="M112" s="62">
        <f>SUMIFS('reductions data'!H:H,'reductions data'!G:G,'reasons for reduction division'!B112,'reductions data'!A:A,$M$79)</f>
        <v>0</v>
      </c>
      <c r="N112" s="62">
        <f>SUMIFS('reductions data'!H:H,'reductions data'!G:G,'reasons for reduction division'!B112,'reductions data'!A:A,$N$79)</f>
        <v>0</v>
      </c>
      <c r="O112" s="105">
        <f>SUMIF('reductions data'!G:G,'reasons for reduction division'!B112,'reductions data'!H:H)</f>
        <v>0</v>
      </c>
    </row>
    <row r="113" spans="2:15" x14ac:dyDescent="0.15">
      <c r="B113" s="113" t="s">
        <v>869</v>
      </c>
      <c r="C113" s="62">
        <f>SUMIFS('reductions data'!H:H,'reductions data'!G:G,'reasons for reduction division'!B113,'reductions data'!A:A,$C$79)</f>
        <v>0</v>
      </c>
      <c r="D113" s="62">
        <f>SUMIFS('reductions data'!H:H,'reductions data'!G:G,'reasons for reduction division'!B113,'reductions data'!A:A,$D$79)</f>
        <v>0</v>
      </c>
      <c r="E113" s="62">
        <f>SUMIFS('reductions data'!H:H,'reductions data'!G:G,'reasons for reduction division'!B113,'reductions data'!A:A,$E$79)</f>
        <v>0</v>
      </c>
      <c r="F113" s="62">
        <f>SUMIFS('reductions data'!H:H,'reductions data'!G:G,'reasons for reduction division'!B113,'reductions data'!A:A,$F$79)</f>
        <v>0</v>
      </c>
      <c r="G113" s="62">
        <f>SUMIFS('reductions data'!H:H,'reductions data'!G:G,'reasons for reduction division'!B113,'reductions data'!A:A,$G$79)</f>
        <v>0</v>
      </c>
      <c r="H113" s="62">
        <f>SUMIFS('reductions data'!H:H,'reductions data'!G:G,'reasons for reduction division'!B113,'reductions data'!A:A,$H$79)</f>
        <v>0</v>
      </c>
      <c r="I113" s="62">
        <f>SUMIFS('reductions data'!H:H,'reductions data'!G:G,'reasons for reduction division'!B113,'reductions data'!A:A,$I$79)</f>
        <v>0</v>
      </c>
      <c r="J113" s="62">
        <f>SUMIFS('reductions data'!H:H,'reductions data'!G:G,'reasons for reduction division'!B113,'reductions data'!A:A,$J$79)</f>
        <v>0</v>
      </c>
      <c r="K113" s="62">
        <f>SUMIFS('reductions data'!H:H,'reductions data'!G:G,'reasons for reduction division'!B113,'reductions data'!A:A,$K$79)</f>
        <v>0</v>
      </c>
      <c r="L113" s="62">
        <f>SUMIFS('reductions data'!H:H,'reductions data'!G:G,'reasons for reduction division'!B113,'reductions data'!A:A,$L$79)</f>
        <v>0</v>
      </c>
      <c r="M113" s="62">
        <f>SUMIFS('reductions data'!H:H,'reductions data'!G:G,'reasons for reduction division'!B113,'reductions data'!A:A,$M$79)</f>
        <v>0</v>
      </c>
      <c r="N113" s="62">
        <f>SUMIFS('reductions data'!H:H,'reductions data'!G:G,'reasons for reduction division'!B113,'reductions data'!A:A,$N$79)</f>
        <v>0</v>
      </c>
      <c r="O113" s="105">
        <f>SUMIF('reductions data'!G:G,'reasons for reduction division'!B113,'reductions data'!H:H)</f>
        <v>0</v>
      </c>
    </row>
    <row r="114" spans="2:15" x14ac:dyDescent="0.15">
      <c r="B114" s="320" t="s">
        <v>1201</v>
      </c>
      <c r="C114" s="62">
        <f>SUMIFS('reductions data'!H:H,'reductions data'!G:G,'reasons for reduction division'!B114,'reductions data'!A:A,$C$79)</f>
        <v>0</v>
      </c>
      <c r="D114" s="62">
        <f>SUMIFS('reductions data'!H:H,'reductions data'!G:G,'reasons for reduction division'!B114,'reductions data'!A:A,$D$79)</f>
        <v>0</v>
      </c>
      <c r="E114" s="62">
        <f>SUMIFS('reductions data'!H:H,'reductions data'!G:G,'reasons for reduction division'!B114,'reductions data'!A:A,$E$79)</f>
        <v>0</v>
      </c>
      <c r="F114" s="62">
        <f>SUMIFS('reductions data'!H:H,'reductions data'!G:G,'reasons for reduction division'!B114,'reductions data'!A:A,$F$79)</f>
        <v>0</v>
      </c>
      <c r="G114" s="62">
        <f>SUMIFS('reductions data'!H:H,'reductions data'!G:G,'reasons for reduction division'!B114,'reductions data'!A:A,$G$79)</f>
        <v>0</v>
      </c>
      <c r="H114" s="62">
        <f>SUMIFS('reductions data'!H:H,'reductions data'!G:G,'reasons for reduction division'!B114,'reductions data'!A:A,$H$79)</f>
        <v>0</v>
      </c>
      <c r="I114" s="62">
        <f>SUMIFS('reductions data'!H:H,'reductions data'!G:G,'reasons for reduction division'!B114,'reductions data'!A:A,$I$79)</f>
        <v>0</v>
      </c>
      <c r="J114" s="62">
        <f>SUMIFS('reductions data'!H:H,'reductions data'!G:G,'reasons for reduction division'!B114,'reductions data'!A:A,$J$79)</f>
        <v>0</v>
      </c>
      <c r="K114" s="62">
        <f>SUMIFS('reductions data'!H:H,'reductions data'!G:G,'reasons for reduction division'!B114,'reductions data'!A:A,$K$79)</f>
        <v>0</v>
      </c>
      <c r="L114" s="62">
        <f>SUMIFS('reductions data'!H:H,'reductions data'!G:G,'reasons for reduction division'!B114,'reductions data'!A:A,$L$79)</f>
        <v>0</v>
      </c>
      <c r="M114" s="62">
        <f>SUMIFS('reductions data'!H:H,'reductions data'!G:G,'reasons for reduction division'!B114,'reductions data'!A:A,$M$79)</f>
        <v>0</v>
      </c>
      <c r="N114" s="62">
        <f>SUMIFS('reductions data'!H:H,'reductions data'!G:G,'reasons for reduction division'!B114,'reductions data'!A:A,$N$79)</f>
        <v>0</v>
      </c>
      <c r="O114" s="105">
        <f>SUMIF('reductions data'!G:G,'reasons for reduction division'!B114,'reductions data'!H:H)</f>
        <v>0</v>
      </c>
    </row>
    <row r="115" spans="2:15" x14ac:dyDescent="0.15">
      <c r="B115" s="320" t="s">
        <v>1202</v>
      </c>
      <c r="C115" s="62">
        <f>SUMIFS('reductions data'!H:H,'reductions data'!G:G,'reasons for reduction division'!B115,'reductions data'!A:A,$C$79)</f>
        <v>0</v>
      </c>
      <c r="D115" s="62">
        <f>SUMIFS('reductions data'!H:H,'reductions data'!G:G,'reasons for reduction division'!B115,'reductions data'!A:A,$D$79)</f>
        <v>0</v>
      </c>
      <c r="E115" s="62">
        <f>SUMIFS('reductions data'!H:H,'reductions data'!G:G,'reasons for reduction division'!B115,'reductions data'!A:A,$E$79)</f>
        <v>0</v>
      </c>
      <c r="F115" s="62">
        <f>SUMIFS('reductions data'!H:H,'reductions data'!G:G,'reasons for reduction division'!B115,'reductions data'!A:A,$F$79)</f>
        <v>0</v>
      </c>
      <c r="G115" s="62">
        <f>SUMIFS('reductions data'!H:H,'reductions data'!G:G,'reasons for reduction division'!B115,'reductions data'!A:A,$G$79)</f>
        <v>0</v>
      </c>
      <c r="H115" s="62">
        <f>SUMIFS('reductions data'!H:H,'reductions data'!G:G,'reasons for reduction division'!B115,'reductions data'!A:A,$H$79)</f>
        <v>0</v>
      </c>
      <c r="I115" s="62">
        <f>SUMIFS('reductions data'!H:H,'reductions data'!G:G,'reasons for reduction division'!B115,'reductions data'!A:A,$I$79)</f>
        <v>0</v>
      </c>
      <c r="J115" s="62">
        <f>SUMIFS('reductions data'!H:H,'reductions data'!G:G,'reasons for reduction division'!B115,'reductions data'!A:A,$J$79)</f>
        <v>0</v>
      </c>
      <c r="K115" s="62">
        <f>SUMIFS('reductions data'!H:H,'reductions data'!G:G,'reasons for reduction division'!B115,'reductions data'!A:A,$K$79)</f>
        <v>0</v>
      </c>
      <c r="L115" s="62">
        <f>SUMIFS('reductions data'!H:H,'reductions data'!G:G,'reasons for reduction division'!B115,'reductions data'!A:A,$L$79)</f>
        <v>0</v>
      </c>
      <c r="M115" s="62">
        <f>SUMIFS('reductions data'!H:H,'reductions data'!G:G,'reasons for reduction division'!B115,'reductions data'!A:A,$M$79)</f>
        <v>0</v>
      </c>
      <c r="N115" s="62">
        <f>SUMIFS('reductions data'!H:H,'reductions data'!G:G,'reasons for reduction division'!B115,'reductions data'!A:A,$N$79)</f>
        <v>0</v>
      </c>
      <c r="O115" s="105">
        <f>SUMIF('reductions data'!G:G,'reasons for reduction division'!B115,'reductions data'!H:H)</f>
        <v>0</v>
      </c>
    </row>
    <row r="116" spans="2:15" x14ac:dyDescent="0.15">
      <c r="B116" s="320" t="s">
        <v>1206</v>
      </c>
      <c r="C116" s="62">
        <f>SUMIFS('reductions data'!H:H,'reductions data'!G:G,'reasons for reduction division'!B116,'reductions data'!A:A,$C$79)</f>
        <v>0</v>
      </c>
      <c r="D116" s="62">
        <f>SUMIFS('reductions data'!H:H,'reductions data'!G:G,'reasons for reduction division'!B116,'reductions data'!A:A,$D$79)</f>
        <v>0</v>
      </c>
      <c r="E116" s="62">
        <f>SUMIFS('reductions data'!H:H,'reductions data'!G:G,'reasons for reduction division'!B116,'reductions data'!A:A,$E$79)</f>
        <v>0</v>
      </c>
      <c r="F116" s="62">
        <f>SUMIFS('reductions data'!H:H,'reductions data'!G:G,'reasons for reduction division'!B116,'reductions data'!A:A,$F$79)</f>
        <v>0</v>
      </c>
      <c r="G116" s="62">
        <f>SUMIFS('reductions data'!H:H,'reductions data'!G:G,'reasons for reduction division'!B116,'reductions data'!A:A,$G$79)</f>
        <v>0</v>
      </c>
      <c r="H116" s="62">
        <f>SUMIFS('reductions data'!H:H,'reductions data'!G:G,'reasons for reduction division'!B116,'reductions data'!A:A,$H$79)</f>
        <v>0</v>
      </c>
      <c r="I116" s="62">
        <f>SUMIFS('reductions data'!H:H,'reductions data'!G:G,'reasons for reduction division'!B116,'reductions data'!A:A,$I$79)</f>
        <v>0</v>
      </c>
      <c r="J116" s="62">
        <f>SUMIFS('reductions data'!H:H,'reductions data'!G:G,'reasons for reduction division'!B116,'reductions data'!A:A,$J$79)</f>
        <v>0</v>
      </c>
      <c r="K116" s="62">
        <f>SUMIFS('reductions data'!H:H,'reductions data'!G:G,'reasons for reduction division'!B116,'reductions data'!A:A,$K$79)</f>
        <v>0</v>
      </c>
      <c r="L116" s="62">
        <f>SUMIFS('reductions data'!H:H,'reductions data'!G:G,'reasons for reduction division'!B116,'reductions data'!A:A,$L$79)</f>
        <v>0</v>
      </c>
      <c r="M116" s="62">
        <f>SUMIFS('reductions data'!H:H,'reductions data'!G:G,'reasons for reduction division'!B116,'reductions data'!A:A,$M$79)</f>
        <v>0</v>
      </c>
      <c r="N116" s="62">
        <f>SUMIFS('reductions data'!H:H,'reductions data'!G:G,'reasons for reduction division'!B116,'reductions data'!A:A,$N$79)</f>
        <v>0</v>
      </c>
      <c r="O116" s="105">
        <f>SUMIF('reductions data'!G:G,'reasons for reduction division'!B116,'reductions data'!H:H)</f>
        <v>0</v>
      </c>
    </row>
    <row r="117" spans="2:15" x14ac:dyDescent="0.15">
      <c r="B117" s="113" t="s">
        <v>870</v>
      </c>
      <c r="C117" s="62">
        <f>SUMIFS('reductions data'!H:H,'reductions data'!G:G,'reasons for reduction division'!B117,'reductions data'!A:A,$C$79)</f>
        <v>0</v>
      </c>
      <c r="D117" s="62">
        <f>SUMIFS('reductions data'!H:H,'reductions data'!G:G,'reasons for reduction division'!B117,'reductions data'!A:A,$D$79)</f>
        <v>0</v>
      </c>
      <c r="E117" s="62">
        <f>SUMIFS('reductions data'!H:H,'reductions data'!G:G,'reasons for reduction division'!B117,'reductions data'!A:A,$E$79)</f>
        <v>0</v>
      </c>
      <c r="F117" s="62">
        <f>SUMIFS('reductions data'!H:H,'reductions data'!G:G,'reasons for reduction division'!B117,'reductions data'!A:A,$F$79)</f>
        <v>0</v>
      </c>
      <c r="G117" s="62">
        <f>SUMIFS('reductions data'!H:H,'reductions data'!G:G,'reasons for reduction division'!B117,'reductions data'!A:A,$G$79)</f>
        <v>0</v>
      </c>
      <c r="H117" s="62">
        <f>SUMIFS('reductions data'!H:H,'reductions data'!G:G,'reasons for reduction division'!B117,'reductions data'!A:A,$H$79)</f>
        <v>0</v>
      </c>
      <c r="I117" s="62">
        <f>SUMIFS('reductions data'!H:H,'reductions data'!G:G,'reasons for reduction division'!B117,'reductions data'!A:A,$I$79)</f>
        <v>0</v>
      </c>
      <c r="J117" s="62">
        <f>SUMIFS('reductions data'!H:H,'reductions data'!G:G,'reasons for reduction division'!B117,'reductions data'!A:A,$J$79)</f>
        <v>0</v>
      </c>
      <c r="K117" s="62">
        <f>SUMIFS('reductions data'!H:H,'reductions data'!G:G,'reasons for reduction division'!B117,'reductions data'!A:A,$K$79)</f>
        <v>0</v>
      </c>
      <c r="L117" s="62">
        <f>SUMIFS('reductions data'!H:H,'reductions data'!G:G,'reasons for reduction division'!B117,'reductions data'!A:A,$L$79)</f>
        <v>0</v>
      </c>
      <c r="M117" s="62">
        <f>SUMIFS('reductions data'!H:H,'reductions data'!G:G,'reasons for reduction division'!B117,'reductions data'!A:A,$M$79)</f>
        <v>0</v>
      </c>
      <c r="N117" s="62">
        <f>SUMIFS('reductions data'!H:H,'reductions data'!G:G,'reasons for reduction division'!B117,'reductions data'!A:A,$N$79)</f>
        <v>0</v>
      </c>
      <c r="O117" s="105">
        <f>SUMIF('reductions data'!G:G,'reasons for reduction division'!B117,'reductions data'!H:H)</f>
        <v>0</v>
      </c>
    </row>
    <row r="118" spans="2:15" x14ac:dyDescent="0.15">
      <c r="B118" s="113" t="s">
        <v>871</v>
      </c>
      <c r="C118" s="62">
        <f>SUMIFS('reductions data'!H:H,'reductions data'!G:G,'reasons for reduction division'!B118,'reductions data'!A:A,$C$79)</f>
        <v>0</v>
      </c>
      <c r="D118" s="62">
        <f>SUMIFS('reductions data'!H:H,'reductions data'!G:G,'reasons for reduction division'!B118,'reductions data'!A:A,$D$79)</f>
        <v>0</v>
      </c>
      <c r="E118" s="62">
        <f>SUMIFS('reductions data'!H:H,'reductions data'!G:G,'reasons for reduction division'!B118,'reductions data'!A:A,$E$79)</f>
        <v>0</v>
      </c>
      <c r="F118" s="62">
        <f>SUMIFS('reductions data'!H:H,'reductions data'!G:G,'reasons for reduction division'!B118,'reductions data'!A:A,$F$79)</f>
        <v>0</v>
      </c>
      <c r="G118" s="62">
        <f>SUMIFS('reductions data'!H:H,'reductions data'!G:G,'reasons for reduction division'!B118,'reductions data'!A:A,$G$79)</f>
        <v>0</v>
      </c>
      <c r="H118" s="62">
        <f>SUMIFS('reductions data'!H:H,'reductions data'!G:G,'reasons for reduction division'!B118,'reductions data'!A:A,$H$79)</f>
        <v>0</v>
      </c>
      <c r="I118" s="62">
        <f>SUMIFS('reductions data'!H:H,'reductions data'!G:G,'reasons for reduction division'!B118,'reductions data'!A:A,$I$79)</f>
        <v>0</v>
      </c>
      <c r="J118" s="62">
        <f>SUMIFS('reductions data'!H:H,'reductions data'!G:G,'reasons for reduction division'!B118,'reductions data'!A:A,$J$79)</f>
        <v>0</v>
      </c>
      <c r="K118" s="62">
        <f>SUMIFS('reductions data'!H:H,'reductions data'!G:G,'reasons for reduction division'!B118,'reductions data'!A:A,$K$79)</f>
        <v>0</v>
      </c>
      <c r="L118" s="62">
        <f>SUMIFS('reductions data'!H:H,'reductions data'!G:G,'reasons for reduction division'!B118,'reductions data'!A:A,$L$79)</f>
        <v>0</v>
      </c>
      <c r="M118" s="62">
        <f>SUMIFS('reductions data'!H:H,'reductions data'!G:G,'reasons for reduction division'!B118,'reductions data'!A:A,$M$79)</f>
        <v>0</v>
      </c>
      <c r="N118" s="62">
        <f>SUMIFS('reductions data'!H:H,'reductions data'!G:G,'reasons for reduction division'!B118,'reductions data'!A:A,$N$79)</f>
        <v>0</v>
      </c>
      <c r="O118" s="105">
        <f>SUMIF('reductions data'!G:G,'reasons for reduction division'!B118,'reductions data'!H:H)</f>
        <v>0</v>
      </c>
    </row>
    <row r="119" spans="2:15" x14ac:dyDescent="0.15">
      <c r="B119" s="113" t="s">
        <v>872</v>
      </c>
      <c r="C119" s="62">
        <f>SUMIFS('reductions data'!H:H,'reductions data'!G:G,'reasons for reduction division'!B119,'reductions data'!A:A,$C$79)</f>
        <v>0</v>
      </c>
      <c r="D119" s="62">
        <f>SUMIFS('reductions data'!H:H,'reductions data'!G:G,'reasons for reduction division'!B119,'reductions data'!A:A,$D$79)</f>
        <v>0</v>
      </c>
      <c r="E119" s="62">
        <f>SUMIFS('reductions data'!H:H,'reductions data'!G:G,'reasons for reduction division'!B119,'reductions data'!A:A,$E$79)</f>
        <v>0</v>
      </c>
      <c r="F119" s="62">
        <f>SUMIFS('reductions data'!H:H,'reductions data'!G:G,'reasons for reduction division'!B119,'reductions data'!A:A,$F$79)</f>
        <v>0</v>
      </c>
      <c r="G119" s="62">
        <f>SUMIFS('reductions data'!H:H,'reductions data'!G:G,'reasons for reduction division'!B119,'reductions data'!A:A,$G$79)</f>
        <v>0</v>
      </c>
      <c r="H119" s="62">
        <f>SUMIFS('reductions data'!H:H,'reductions data'!G:G,'reasons for reduction division'!B119,'reductions data'!A:A,$H$79)</f>
        <v>0</v>
      </c>
      <c r="I119" s="62">
        <f>SUMIFS('reductions data'!H:H,'reductions data'!G:G,'reasons for reduction division'!B119,'reductions data'!A:A,$I$79)</f>
        <v>0</v>
      </c>
      <c r="J119" s="62">
        <f>SUMIFS('reductions data'!H:H,'reductions data'!G:G,'reasons for reduction division'!B119,'reductions data'!A:A,$J$79)</f>
        <v>0</v>
      </c>
      <c r="K119" s="62">
        <f>SUMIFS('reductions data'!H:H,'reductions data'!G:G,'reasons for reduction division'!B119,'reductions data'!A:A,$K$79)</f>
        <v>0</v>
      </c>
      <c r="L119" s="62">
        <f>SUMIFS('reductions data'!H:H,'reductions data'!G:G,'reasons for reduction division'!B119,'reductions data'!A:A,$L$79)</f>
        <v>0</v>
      </c>
      <c r="M119" s="62">
        <f>SUMIFS('reductions data'!H:H,'reductions data'!G:G,'reasons for reduction division'!B119,'reductions data'!A:A,$M$79)</f>
        <v>0</v>
      </c>
      <c r="N119" s="62">
        <f>SUMIFS('reductions data'!H:H,'reductions data'!G:G,'reasons for reduction division'!B119,'reductions data'!A:A,$N$79)</f>
        <v>0</v>
      </c>
      <c r="O119" s="105">
        <f>SUMIF('reductions data'!G:G,'reasons for reduction division'!B119,'reductions data'!H:H)</f>
        <v>0</v>
      </c>
    </row>
    <row r="120" spans="2:15" x14ac:dyDescent="0.15">
      <c r="B120" s="113" t="s">
        <v>866</v>
      </c>
      <c r="C120" s="62">
        <f>SUMIFS('reductions data'!H:H,'reductions data'!G:G,'reasons for reduction division'!B120,'reductions data'!A:A,$C$79)</f>
        <v>0</v>
      </c>
      <c r="D120" s="62">
        <f>SUMIFS('reductions data'!H:H,'reductions data'!G:G,'reasons for reduction division'!B120,'reductions data'!A:A,$D$79)</f>
        <v>0</v>
      </c>
      <c r="E120" s="62">
        <f>SUMIFS('reductions data'!H:H,'reductions data'!G:G,'reasons for reduction division'!B120,'reductions data'!A:A,$E$79)</f>
        <v>0</v>
      </c>
      <c r="F120" s="62">
        <f>SUMIFS('reductions data'!H:H,'reductions data'!G:G,'reasons for reduction division'!B120,'reductions data'!A:A,$F$79)</f>
        <v>0</v>
      </c>
      <c r="G120" s="62">
        <f>SUMIFS('reductions data'!H:H,'reductions data'!G:G,'reasons for reduction division'!B120,'reductions data'!A:A,$G$79)</f>
        <v>0</v>
      </c>
      <c r="H120" s="62">
        <f>SUMIFS('reductions data'!H:H,'reductions data'!G:G,'reasons for reduction division'!B120,'reductions data'!A:A,$H$79)</f>
        <v>0</v>
      </c>
      <c r="I120" s="62">
        <f>SUMIFS('reductions data'!H:H,'reductions data'!G:G,'reasons for reduction division'!B120,'reductions data'!A:A,$I$79)</f>
        <v>0</v>
      </c>
      <c r="J120" s="62">
        <f>SUMIFS('reductions data'!H:H,'reductions data'!G:G,'reasons for reduction division'!B120,'reductions data'!A:A,$J$79)</f>
        <v>0</v>
      </c>
      <c r="K120" s="62">
        <f>SUMIFS('reductions data'!H:H,'reductions data'!G:G,'reasons for reduction division'!B120,'reductions data'!A:A,$K$79)</f>
        <v>0</v>
      </c>
      <c r="L120" s="62">
        <f>SUMIFS('reductions data'!H:H,'reductions data'!G:G,'reasons for reduction division'!B120,'reductions data'!A:A,$L$79)</f>
        <v>0</v>
      </c>
      <c r="M120" s="62">
        <f>SUMIFS('reductions data'!H:H,'reductions data'!G:G,'reasons for reduction division'!B120,'reductions data'!A:A,$M$79)</f>
        <v>0</v>
      </c>
      <c r="N120" s="62">
        <f>SUMIFS('reductions data'!H:H,'reductions data'!G:G,'reasons for reduction division'!B120,'reductions data'!A:A,$N$79)</f>
        <v>0</v>
      </c>
      <c r="O120" s="105">
        <f>SUMIF('reductions data'!G:G,'reasons for reduction division'!B120,'reductions data'!H:H)</f>
        <v>0</v>
      </c>
    </row>
    <row r="121" spans="2:15" x14ac:dyDescent="0.15">
      <c r="B121" s="113" t="s">
        <v>873</v>
      </c>
      <c r="C121" s="62">
        <f>SUMIFS('reductions data'!H:H,'reductions data'!G:G,'reasons for reduction division'!B121,'reductions data'!A:A,$C$79)</f>
        <v>0</v>
      </c>
      <c r="D121" s="62">
        <f>SUMIFS('reductions data'!H:H,'reductions data'!G:G,'reasons for reduction division'!B121,'reductions data'!A:A,$D$79)</f>
        <v>0</v>
      </c>
      <c r="E121" s="62">
        <f>SUMIFS('reductions data'!H:H,'reductions data'!G:G,'reasons for reduction division'!B121,'reductions data'!A:A,$E$79)</f>
        <v>0</v>
      </c>
      <c r="F121" s="62">
        <f>SUMIFS('reductions data'!H:H,'reductions data'!G:G,'reasons for reduction division'!B121,'reductions data'!A:A,$F$79)</f>
        <v>0</v>
      </c>
      <c r="G121" s="62">
        <f>SUMIFS('reductions data'!H:H,'reductions data'!G:G,'reasons for reduction division'!B121,'reductions data'!A:A,$G$79)</f>
        <v>0</v>
      </c>
      <c r="H121" s="62">
        <f>SUMIFS('reductions data'!H:H,'reductions data'!G:G,'reasons for reduction division'!B121,'reductions data'!A:A,$H$79)</f>
        <v>0</v>
      </c>
      <c r="I121" s="62">
        <f>SUMIFS('reductions data'!H:H,'reductions data'!G:G,'reasons for reduction division'!B121,'reductions data'!A:A,$I$79)</f>
        <v>0</v>
      </c>
      <c r="J121" s="62">
        <f>SUMIFS('reductions data'!H:H,'reductions data'!G:G,'reasons for reduction division'!B121,'reductions data'!A:A,$J$79)</f>
        <v>0</v>
      </c>
      <c r="K121" s="62">
        <f>SUMIFS('reductions data'!H:H,'reductions data'!G:G,'reasons for reduction division'!B121,'reductions data'!A:A,$K$79)</f>
        <v>0</v>
      </c>
      <c r="L121" s="62">
        <f>SUMIFS('reductions data'!H:H,'reductions data'!G:G,'reasons for reduction division'!B121,'reductions data'!A:A,$L$79)</f>
        <v>0</v>
      </c>
      <c r="M121" s="62">
        <f>SUMIFS('reductions data'!H:H,'reductions data'!G:G,'reasons for reduction division'!B121,'reductions data'!A:A,$M$79)</f>
        <v>0</v>
      </c>
      <c r="N121" s="62">
        <f>SUMIFS('reductions data'!H:H,'reductions data'!G:G,'reasons for reduction division'!B121,'reductions data'!A:A,$N$79)</f>
        <v>0</v>
      </c>
      <c r="O121" s="105">
        <f>SUMIF('reductions data'!G:G,'reasons for reduction division'!B121,'reductions data'!H:H)</f>
        <v>0</v>
      </c>
    </row>
    <row r="122" spans="2:15" x14ac:dyDescent="0.15">
      <c r="B122" s="113" t="s">
        <v>874</v>
      </c>
      <c r="C122" s="62">
        <f>SUMIFS('reductions data'!H:H,'reductions data'!G:G,'reasons for reduction division'!B122,'reductions data'!A:A,$C$79)</f>
        <v>0</v>
      </c>
      <c r="D122" s="62">
        <f>SUMIFS('reductions data'!H:H,'reductions data'!G:G,'reasons for reduction division'!B122,'reductions data'!A:A,$D$79)</f>
        <v>0</v>
      </c>
      <c r="E122" s="62">
        <f>SUMIFS('reductions data'!H:H,'reductions data'!G:G,'reasons for reduction division'!B122,'reductions data'!A:A,$E$79)</f>
        <v>0</v>
      </c>
      <c r="F122" s="62">
        <f>SUMIFS('reductions data'!H:H,'reductions data'!G:G,'reasons for reduction division'!B122,'reductions data'!A:A,$F$79)</f>
        <v>0</v>
      </c>
      <c r="G122" s="62">
        <f>SUMIFS('reductions data'!H:H,'reductions data'!G:G,'reasons for reduction division'!B122,'reductions data'!A:A,$G$79)</f>
        <v>0</v>
      </c>
      <c r="H122" s="62">
        <f>SUMIFS('reductions data'!H:H,'reductions data'!G:G,'reasons for reduction division'!B122,'reductions data'!A:A,$H$79)</f>
        <v>0</v>
      </c>
      <c r="I122" s="62">
        <f>SUMIFS('reductions data'!H:H,'reductions data'!G:G,'reasons for reduction division'!B122,'reductions data'!A:A,$I$79)</f>
        <v>0</v>
      </c>
      <c r="J122" s="62">
        <f>SUMIFS('reductions data'!H:H,'reductions data'!G:G,'reasons for reduction division'!B122,'reductions data'!A:A,$J$79)</f>
        <v>0</v>
      </c>
      <c r="K122" s="62">
        <f>SUMIFS('reductions data'!H:H,'reductions data'!G:G,'reasons for reduction division'!B122,'reductions data'!A:A,$K$79)</f>
        <v>0</v>
      </c>
      <c r="L122" s="62">
        <f>SUMIFS('reductions data'!H:H,'reductions data'!G:G,'reasons for reduction division'!B122,'reductions data'!A:A,$L$79)</f>
        <v>0</v>
      </c>
      <c r="M122" s="62">
        <f>SUMIFS('reductions data'!H:H,'reductions data'!G:G,'reasons for reduction division'!B122,'reductions data'!A:A,$M$79)</f>
        <v>0</v>
      </c>
      <c r="N122" s="62">
        <f>SUMIFS('reductions data'!H:H,'reductions data'!G:G,'reasons for reduction division'!B122,'reductions data'!A:A,$N$79)</f>
        <v>0</v>
      </c>
      <c r="O122" s="105">
        <f>SUMIF('reductions data'!G:G,'reasons for reduction division'!B122,'reductions data'!H:H)</f>
        <v>0</v>
      </c>
    </row>
    <row r="123" spans="2:15" x14ac:dyDescent="0.15">
      <c r="B123" s="113" t="s">
        <v>875</v>
      </c>
      <c r="C123" s="62">
        <f>SUMIFS('reductions data'!H:H,'reductions data'!G:G,'reasons for reduction division'!B123,'reductions data'!A:A,$C$79)</f>
        <v>0</v>
      </c>
      <c r="D123" s="62">
        <f>SUMIFS('reductions data'!H:H,'reductions data'!G:G,'reasons for reduction division'!B123,'reductions data'!A:A,$D$79)</f>
        <v>0</v>
      </c>
      <c r="E123" s="62">
        <f>SUMIFS('reductions data'!H:H,'reductions data'!G:G,'reasons for reduction division'!B123,'reductions data'!A:A,$E$79)</f>
        <v>0</v>
      </c>
      <c r="F123" s="62">
        <f>SUMIFS('reductions data'!H:H,'reductions data'!G:G,'reasons for reduction division'!B123,'reductions data'!A:A,$F$79)</f>
        <v>0</v>
      </c>
      <c r="G123" s="62">
        <f>SUMIFS('reductions data'!H:H,'reductions data'!G:G,'reasons for reduction division'!B123,'reductions data'!A:A,$G$79)</f>
        <v>0</v>
      </c>
      <c r="H123" s="62">
        <f>SUMIFS('reductions data'!H:H,'reductions data'!G:G,'reasons for reduction division'!B123,'reductions data'!A:A,$H$79)</f>
        <v>0</v>
      </c>
      <c r="I123" s="62">
        <f>SUMIFS('reductions data'!H:H,'reductions data'!G:G,'reasons for reduction division'!B123,'reductions data'!A:A,$I$79)</f>
        <v>0</v>
      </c>
      <c r="J123" s="62">
        <f>SUMIFS('reductions data'!H:H,'reductions data'!G:G,'reasons for reduction division'!B123,'reductions data'!A:A,$J$79)</f>
        <v>0</v>
      </c>
      <c r="K123" s="62">
        <f>SUMIFS('reductions data'!H:H,'reductions data'!G:G,'reasons for reduction division'!B123,'reductions data'!A:A,$K$79)</f>
        <v>0</v>
      </c>
      <c r="L123" s="62">
        <f>SUMIFS('reductions data'!H:H,'reductions data'!G:G,'reasons for reduction division'!B123,'reductions data'!A:A,$L$79)</f>
        <v>0</v>
      </c>
      <c r="M123" s="62">
        <f>SUMIFS('reductions data'!H:H,'reductions data'!G:G,'reasons for reduction division'!B123,'reductions data'!A:A,$M$79)</f>
        <v>0</v>
      </c>
      <c r="N123" s="62">
        <f>SUMIFS('reductions data'!H:H,'reductions data'!G:G,'reasons for reduction division'!B123,'reductions data'!A:A,$N$79)</f>
        <v>0</v>
      </c>
      <c r="O123" s="105">
        <f>SUMIF('reductions data'!G:G,'reasons for reduction division'!B123,'reductions data'!H:H)</f>
        <v>0</v>
      </c>
    </row>
    <row r="124" spans="2:15" x14ac:dyDescent="0.15">
      <c r="B124" s="113" t="s">
        <v>876</v>
      </c>
      <c r="C124" s="62">
        <f>SUMIFS('reductions data'!H:H,'reductions data'!G:G,'reasons for reduction division'!B124,'reductions data'!A:A,$C$79)</f>
        <v>0</v>
      </c>
      <c r="D124" s="62">
        <f>SUMIFS('reductions data'!H:H,'reductions data'!G:G,'reasons for reduction division'!B124,'reductions data'!A:A,$D$79)</f>
        <v>0</v>
      </c>
      <c r="E124" s="62">
        <f>SUMIFS('reductions data'!H:H,'reductions data'!G:G,'reasons for reduction division'!B124,'reductions data'!A:A,$E$79)</f>
        <v>0</v>
      </c>
      <c r="F124" s="62">
        <f>SUMIFS('reductions data'!H:H,'reductions data'!G:G,'reasons for reduction division'!B124,'reductions data'!A:A,$F$79)</f>
        <v>0</v>
      </c>
      <c r="G124" s="62">
        <f>SUMIFS('reductions data'!H:H,'reductions data'!G:G,'reasons for reduction division'!B124,'reductions data'!A:A,$G$79)</f>
        <v>0</v>
      </c>
      <c r="H124" s="62">
        <f>SUMIFS('reductions data'!H:H,'reductions data'!G:G,'reasons for reduction division'!B124,'reductions data'!A:A,$H$79)</f>
        <v>0</v>
      </c>
      <c r="I124" s="62">
        <f>SUMIFS('reductions data'!H:H,'reductions data'!G:G,'reasons for reduction division'!B124,'reductions data'!A:A,$I$79)</f>
        <v>0</v>
      </c>
      <c r="J124" s="62">
        <f>SUMIFS('reductions data'!H:H,'reductions data'!G:G,'reasons for reduction division'!B124,'reductions data'!A:A,$J$79)</f>
        <v>0</v>
      </c>
      <c r="K124" s="62">
        <f>SUMIFS('reductions data'!H:H,'reductions data'!G:G,'reasons for reduction division'!B124,'reductions data'!A:A,$K$79)</f>
        <v>0</v>
      </c>
      <c r="L124" s="62">
        <f>SUMIFS('reductions data'!H:H,'reductions data'!G:G,'reasons for reduction division'!B124,'reductions data'!A:A,$L$79)</f>
        <v>0</v>
      </c>
      <c r="M124" s="62">
        <f>SUMIFS('reductions data'!H:H,'reductions data'!G:G,'reasons for reduction division'!B124,'reductions data'!A:A,$M$79)</f>
        <v>0</v>
      </c>
      <c r="N124" s="62">
        <f>SUMIFS('reductions data'!H:H,'reductions data'!G:G,'reasons for reduction division'!B124,'reductions data'!A:A,$N$79)</f>
        <v>0</v>
      </c>
      <c r="O124" s="105">
        <f>SUMIF('reductions data'!G:G,'reasons for reduction division'!B124,'reductions data'!H:H)</f>
        <v>0</v>
      </c>
    </row>
    <row r="125" spans="2:15" x14ac:dyDescent="0.15">
      <c r="B125" s="113" t="s">
        <v>877</v>
      </c>
      <c r="C125" s="62">
        <f>SUMIFS('reductions data'!H:H,'reductions data'!G:G,'reasons for reduction division'!B125,'reductions data'!A:A,$C$79)</f>
        <v>0</v>
      </c>
      <c r="D125" s="62">
        <f>SUMIFS('reductions data'!H:H,'reductions data'!G:G,'reasons for reduction division'!B125,'reductions data'!A:A,$D$79)</f>
        <v>0</v>
      </c>
      <c r="E125" s="62">
        <f>SUMIFS('reductions data'!H:H,'reductions data'!G:G,'reasons for reduction division'!B125,'reductions data'!A:A,$E$79)</f>
        <v>0</v>
      </c>
      <c r="F125" s="62">
        <f>SUMIFS('reductions data'!H:H,'reductions data'!G:G,'reasons for reduction division'!B125,'reductions data'!A:A,$F$79)</f>
        <v>0</v>
      </c>
      <c r="G125" s="62">
        <f>SUMIFS('reductions data'!H:H,'reductions data'!G:G,'reasons for reduction division'!B125,'reductions data'!A:A,$G$79)</f>
        <v>0</v>
      </c>
      <c r="H125" s="62">
        <f>SUMIFS('reductions data'!H:H,'reductions data'!G:G,'reasons for reduction division'!B125,'reductions data'!A:A,$H$79)</f>
        <v>0</v>
      </c>
      <c r="I125" s="62">
        <f>SUMIFS('reductions data'!H:H,'reductions data'!G:G,'reasons for reduction division'!B125,'reductions data'!A:A,$I$79)</f>
        <v>0</v>
      </c>
      <c r="J125" s="62">
        <f>SUMIFS('reductions data'!H:H,'reductions data'!G:G,'reasons for reduction division'!B125,'reductions data'!A:A,$J$79)</f>
        <v>0</v>
      </c>
      <c r="K125" s="62">
        <f>SUMIFS('reductions data'!H:H,'reductions data'!G:G,'reasons for reduction division'!B125,'reductions data'!A:A,$K$79)</f>
        <v>0</v>
      </c>
      <c r="L125" s="62">
        <f>SUMIFS('reductions data'!H:H,'reductions data'!G:G,'reasons for reduction division'!B125,'reductions data'!A:A,$L$79)</f>
        <v>0</v>
      </c>
      <c r="M125" s="62">
        <f>SUMIFS('reductions data'!H:H,'reductions data'!G:G,'reasons for reduction division'!B125,'reductions data'!A:A,$M$79)</f>
        <v>0</v>
      </c>
      <c r="N125" s="62">
        <f>SUMIFS('reductions data'!H:H,'reductions data'!G:G,'reasons for reduction division'!B125,'reductions data'!A:A,$N$79)</f>
        <v>0</v>
      </c>
      <c r="O125" s="105">
        <f>SUMIF('reductions data'!G:G,'reasons for reduction division'!B125,'reductions data'!H:H)</f>
        <v>0</v>
      </c>
    </row>
    <row r="126" spans="2:15" x14ac:dyDescent="0.15">
      <c r="B126" s="113" t="s">
        <v>878</v>
      </c>
      <c r="C126" s="62">
        <f>SUMIFS('reductions data'!H:H,'reductions data'!G:G,'reasons for reduction division'!B126,'reductions data'!A:A,$C$79)</f>
        <v>0</v>
      </c>
      <c r="D126" s="62">
        <f>SUMIFS('reductions data'!H:H,'reductions data'!G:G,'reasons for reduction division'!B126,'reductions data'!A:A,$D$79)</f>
        <v>0</v>
      </c>
      <c r="E126" s="62">
        <f>SUMIFS('reductions data'!H:H,'reductions data'!G:G,'reasons for reduction division'!B126,'reductions data'!A:A,$E$79)</f>
        <v>0</v>
      </c>
      <c r="F126" s="62">
        <f>SUMIFS('reductions data'!H:H,'reductions data'!G:G,'reasons for reduction division'!B126,'reductions data'!A:A,$F$79)</f>
        <v>0</v>
      </c>
      <c r="G126" s="62">
        <f>SUMIFS('reductions data'!H:H,'reductions data'!G:G,'reasons for reduction division'!B126,'reductions data'!A:A,$G$79)</f>
        <v>0</v>
      </c>
      <c r="H126" s="62">
        <f>SUMIFS('reductions data'!H:H,'reductions data'!G:G,'reasons for reduction division'!B126,'reductions data'!A:A,$H$79)</f>
        <v>0</v>
      </c>
      <c r="I126" s="62">
        <f>SUMIFS('reductions data'!H:H,'reductions data'!G:G,'reasons for reduction division'!B126,'reductions data'!A:A,$I$79)</f>
        <v>0</v>
      </c>
      <c r="J126" s="62">
        <f>SUMIFS('reductions data'!H:H,'reductions data'!G:G,'reasons for reduction division'!B126,'reductions data'!A:A,$J$79)</f>
        <v>0</v>
      </c>
      <c r="K126" s="62">
        <f>SUMIFS('reductions data'!H:H,'reductions data'!G:G,'reasons for reduction division'!B126,'reductions data'!A:A,$K$79)</f>
        <v>0</v>
      </c>
      <c r="L126" s="62">
        <f>SUMIFS('reductions data'!H:H,'reductions data'!G:G,'reasons for reduction division'!B126,'reductions data'!A:A,$L$79)</f>
        <v>0</v>
      </c>
      <c r="M126" s="62">
        <f>SUMIFS('reductions data'!H:H,'reductions data'!G:G,'reasons for reduction division'!B126,'reductions data'!A:A,$M$79)</f>
        <v>0</v>
      </c>
      <c r="N126" s="62">
        <f>SUMIFS('reductions data'!H:H,'reductions data'!G:G,'reasons for reduction division'!B126,'reductions data'!A:A,$N$79)</f>
        <v>0</v>
      </c>
      <c r="O126" s="105">
        <f>SUMIF('reductions data'!G:G,'reasons for reduction division'!B126,'reductions data'!H:H)</f>
        <v>0</v>
      </c>
    </row>
    <row r="127" spans="2:15" x14ac:dyDescent="0.15">
      <c r="B127" s="113" t="s">
        <v>879</v>
      </c>
      <c r="C127" s="62">
        <f>SUMIFS('reductions data'!H:H,'reductions data'!G:G,'reasons for reduction division'!B127,'reductions data'!A:A,$C$79)</f>
        <v>0</v>
      </c>
      <c r="D127" s="62">
        <f>SUMIFS('reductions data'!H:H,'reductions data'!G:G,'reasons for reduction division'!B127,'reductions data'!A:A,$D$79)</f>
        <v>0</v>
      </c>
      <c r="E127" s="62">
        <f>SUMIFS('reductions data'!H:H,'reductions data'!G:G,'reasons for reduction division'!B127,'reductions data'!A:A,$E$79)</f>
        <v>0</v>
      </c>
      <c r="F127" s="62">
        <f>SUMIFS('reductions data'!H:H,'reductions data'!G:G,'reasons for reduction division'!B127,'reductions data'!A:A,$F$79)</f>
        <v>0</v>
      </c>
      <c r="G127" s="62">
        <f>SUMIFS('reductions data'!H:H,'reductions data'!G:G,'reasons for reduction division'!B127,'reductions data'!A:A,$G$79)</f>
        <v>0</v>
      </c>
      <c r="H127" s="62">
        <f>SUMIFS('reductions data'!H:H,'reductions data'!G:G,'reasons for reduction division'!B127,'reductions data'!A:A,$H$79)</f>
        <v>0</v>
      </c>
      <c r="I127" s="62">
        <f>SUMIFS('reductions data'!H:H,'reductions data'!G:G,'reasons for reduction division'!B127,'reductions data'!A:A,$I$79)</f>
        <v>0</v>
      </c>
      <c r="J127" s="62">
        <f>SUMIFS('reductions data'!H:H,'reductions data'!G:G,'reasons for reduction division'!B127,'reductions data'!A:A,$J$79)</f>
        <v>0</v>
      </c>
      <c r="K127" s="62">
        <f>SUMIFS('reductions data'!H:H,'reductions data'!G:G,'reasons for reduction division'!B127,'reductions data'!A:A,$K$79)</f>
        <v>0</v>
      </c>
      <c r="L127" s="62">
        <f>SUMIFS('reductions data'!H:H,'reductions data'!G:G,'reasons for reduction division'!B127,'reductions data'!A:A,$L$79)</f>
        <v>0</v>
      </c>
      <c r="M127" s="62">
        <f>SUMIFS('reductions data'!H:H,'reductions data'!G:G,'reasons for reduction division'!B127,'reductions data'!A:A,$M$79)</f>
        <v>0</v>
      </c>
      <c r="N127" s="62">
        <f>SUMIFS('reductions data'!H:H,'reductions data'!G:G,'reasons for reduction division'!B127,'reductions data'!A:A,$N$79)</f>
        <v>0</v>
      </c>
      <c r="O127" s="105">
        <f>SUMIF('reductions data'!G:G,'reasons for reduction division'!B127,'reductions data'!H:H)</f>
        <v>0</v>
      </c>
    </row>
    <row r="128" spans="2:15" x14ac:dyDescent="0.15">
      <c r="B128" s="113" t="s">
        <v>880</v>
      </c>
      <c r="C128" s="62">
        <f>SUMIFS('reductions data'!H:H,'reductions data'!G:G,'reasons for reduction division'!B128,'reductions data'!A:A,$C$79)</f>
        <v>0</v>
      </c>
      <c r="D128" s="62">
        <f>SUMIFS('reductions data'!H:H,'reductions data'!G:G,'reasons for reduction division'!B128,'reductions data'!A:A,$D$79)</f>
        <v>0</v>
      </c>
      <c r="E128" s="62">
        <f>SUMIFS('reductions data'!H:H,'reductions data'!G:G,'reasons for reduction division'!B128,'reductions data'!A:A,$E$79)</f>
        <v>0</v>
      </c>
      <c r="F128" s="62">
        <f>SUMIFS('reductions data'!H:H,'reductions data'!G:G,'reasons for reduction division'!B128,'reductions data'!A:A,$F$79)</f>
        <v>0</v>
      </c>
      <c r="G128" s="62">
        <f>SUMIFS('reductions data'!H:H,'reductions data'!G:G,'reasons for reduction division'!B128,'reductions data'!A:A,$G$79)</f>
        <v>0</v>
      </c>
      <c r="H128" s="62">
        <f>SUMIFS('reductions data'!H:H,'reductions data'!G:G,'reasons for reduction division'!B128,'reductions data'!A:A,$H$79)</f>
        <v>0</v>
      </c>
      <c r="I128" s="62">
        <f>SUMIFS('reductions data'!H:H,'reductions data'!G:G,'reasons for reduction division'!B128,'reductions data'!A:A,$I$79)</f>
        <v>0</v>
      </c>
      <c r="J128" s="62">
        <f>SUMIFS('reductions data'!H:H,'reductions data'!G:G,'reasons for reduction division'!B128,'reductions data'!A:A,$J$79)</f>
        <v>0</v>
      </c>
      <c r="K128" s="62">
        <f>SUMIFS('reductions data'!H:H,'reductions data'!G:G,'reasons for reduction division'!B128,'reductions data'!A:A,$K$79)</f>
        <v>0</v>
      </c>
      <c r="L128" s="62">
        <f>SUMIFS('reductions data'!H:H,'reductions data'!G:G,'reasons for reduction division'!B128,'reductions data'!A:A,$L$79)</f>
        <v>0</v>
      </c>
      <c r="M128" s="62">
        <f>SUMIFS('reductions data'!H:H,'reductions data'!G:G,'reasons for reduction division'!B128,'reductions data'!A:A,$M$79)</f>
        <v>0</v>
      </c>
      <c r="N128" s="62">
        <f>SUMIFS('reductions data'!H:H,'reductions data'!G:G,'reasons for reduction division'!B128,'reductions data'!A:A,$N$79)</f>
        <v>0</v>
      </c>
      <c r="O128" s="105">
        <f>SUMIF('reductions data'!G:G,'reasons for reduction division'!B128,'reductions data'!H:H)</f>
        <v>0</v>
      </c>
    </row>
    <row r="129" spans="2:15" x14ac:dyDescent="0.15">
      <c r="B129" s="218" t="s">
        <v>909</v>
      </c>
      <c r="C129" s="173">
        <f>SUMIF('reductions data'!A:A,$C$79,'reductions data'!H:H)</f>
        <v>0</v>
      </c>
      <c r="D129" s="173">
        <f>SUMIF('reductions data'!A:A,$D$79,'reductions data'!H:H)</f>
        <v>0</v>
      </c>
      <c r="E129" s="173">
        <f>SUMIF('reductions data'!A:A,$E$79,'reductions data'!H:H)</f>
        <v>0</v>
      </c>
      <c r="F129" s="173">
        <f>SUMIF('reductions data'!A:A,$F$79,'reductions data'!H:H)</f>
        <v>0</v>
      </c>
      <c r="G129" s="173">
        <f>SUMIF('reductions data'!A:A,$G$79,'reductions data'!H:H)</f>
        <v>0</v>
      </c>
      <c r="H129" s="173">
        <f>SUMIF('reductions data'!A:A,$H$79,'reductions data'!H:H)</f>
        <v>0</v>
      </c>
      <c r="I129" s="173">
        <f>SUMIF('reductions data'!A:A,$I$79,'reductions data'!H:H)</f>
        <v>0</v>
      </c>
      <c r="J129" s="173">
        <f>SUMIF('reductions data'!A:A,$J$79,'reductions data'!H:H)</f>
        <v>0</v>
      </c>
      <c r="K129" s="173">
        <f>SUMIF('reductions data'!A:A,$K$79,'reductions data'!H:H)</f>
        <v>0</v>
      </c>
      <c r="L129" s="173">
        <f>SUMIF('reductions data'!A:A,$L$79,'reductions data'!H:H)</f>
        <v>0</v>
      </c>
      <c r="M129" s="173">
        <f>SUMIF('reductions data'!A:A,$M$79,'reductions data'!H:H)</f>
        <v>0</v>
      </c>
      <c r="N129" s="173">
        <f>SUMIF('reductions data'!$A:$A,N79,'reductions data'!$H:$H)</f>
        <v>0</v>
      </c>
      <c r="O129" s="183">
        <f>SUM('reductions data'!H:H)</f>
        <v>0</v>
      </c>
    </row>
    <row r="130" spans="2:15" x14ac:dyDescent="0.15">
      <c r="B130" s="173" t="s">
        <v>1129</v>
      </c>
      <c r="C130" s="173">
        <f>SUMIF('capacity data'!A:A,$C$79,'capacity data'!I:I)</f>
        <v>0</v>
      </c>
      <c r="D130" s="173">
        <f>SUMIF('capacity data'!A:A,$D$79,'capacity data'!I:I)</f>
        <v>0</v>
      </c>
      <c r="E130" s="173">
        <f>SUMIF('capacity data'!A:A,$E$79,'capacity data'!I:I)</f>
        <v>0</v>
      </c>
      <c r="F130" s="173">
        <f>SUMIF('capacity data'!A:A,$F$79,'capacity data'!I:I)</f>
        <v>0</v>
      </c>
      <c r="G130" s="173">
        <f>SUMIF('capacity data'!A:A,$G$79,'capacity data'!I:I)</f>
        <v>0</v>
      </c>
      <c r="H130" s="173">
        <f>SUMIF('capacity data'!A:A,$H$79,'capacity data'!I:I)</f>
        <v>0</v>
      </c>
      <c r="I130" s="173">
        <f>SUMIF('capacity data'!A:A,$I$79,'capacity data'!I:I)</f>
        <v>0</v>
      </c>
      <c r="J130" s="173">
        <f>SUMIF('capacity data'!A:A,$J$79,'capacity data'!I:I)</f>
        <v>0</v>
      </c>
      <c r="K130" s="173">
        <f>SUMIF('capacity data'!A:A,$K$79,'capacity data'!I:I)</f>
        <v>0</v>
      </c>
      <c r="L130" s="173">
        <f>SUMIF('capacity data'!A:A,$L$79,'capacity data'!I:I)</f>
        <v>0</v>
      </c>
      <c r="M130" s="173">
        <f>SUMIF('capacity data'!$A:$A,M$79,'capacity data'!$I:$I)</f>
        <v>0</v>
      </c>
      <c r="N130" s="173">
        <f>SUMIF('capacity data'!$A:$A,N$79,'capacity data'!$I:$I)</f>
        <v>0</v>
      </c>
      <c r="O130" s="173">
        <f>SUM(C130:N130)</f>
        <v>0</v>
      </c>
    </row>
    <row r="131" spans="2:15" x14ac:dyDescent="0.15">
      <c r="B131" s="217" t="s">
        <v>1130</v>
      </c>
      <c r="C131" s="184" t="e">
        <f t="shared" ref="C131:O131" si="0">C129/C130</f>
        <v>#DIV/0!</v>
      </c>
      <c r="D131" s="184" t="e">
        <f t="shared" si="0"/>
        <v>#DIV/0!</v>
      </c>
      <c r="E131" s="184" t="e">
        <f t="shared" si="0"/>
        <v>#DIV/0!</v>
      </c>
      <c r="F131" s="184" t="e">
        <f t="shared" si="0"/>
        <v>#DIV/0!</v>
      </c>
      <c r="G131" s="184" t="e">
        <f t="shared" si="0"/>
        <v>#DIV/0!</v>
      </c>
      <c r="H131" s="184" t="e">
        <f t="shared" si="0"/>
        <v>#DIV/0!</v>
      </c>
      <c r="I131" s="184" t="e">
        <f t="shared" si="0"/>
        <v>#DIV/0!</v>
      </c>
      <c r="J131" s="184" t="e">
        <f t="shared" si="0"/>
        <v>#DIV/0!</v>
      </c>
      <c r="K131" s="184" t="e">
        <f t="shared" si="0"/>
        <v>#DIV/0!</v>
      </c>
      <c r="L131" s="184" t="e">
        <f t="shared" si="0"/>
        <v>#DIV/0!</v>
      </c>
      <c r="M131" s="184" t="e">
        <f t="shared" si="0"/>
        <v>#DIV/0!</v>
      </c>
      <c r="N131" s="184" t="e">
        <f t="shared" si="0"/>
        <v>#DIV/0!</v>
      </c>
      <c r="O131" s="184" t="e">
        <f t="shared" si="0"/>
        <v>#DIV/0!</v>
      </c>
    </row>
  </sheetData>
  <sortState xmlns:xlrd2="http://schemas.microsoft.com/office/spreadsheetml/2017/richdata2" ref="B81:O128">
    <sortCondition ref="B80"/>
  </sortState>
  <mergeCells count="2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 ref="A1:G1"/>
    <mergeCell ref="H1:N1"/>
    <mergeCell ref="E18:F18"/>
    <mergeCell ref="E19:F19"/>
    <mergeCell ref="E20:F20"/>
    <mergeCell ref="A2:O2"/>
    <mergeCell ref="E13:F13"/>
    <mergeCell ref="E14:F14"/>
    <mergeCell ref="E15:F15"/>
    <mergeCell ref="E16:F16"/>
    <mergeCell ref="E17:F17"/>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zoomScale="85" zoomScaleNormal="85" workbookViewId="0">
      <selection activeCell="M10" sqref="M10"/>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564" t="s">
        <v>1131</v>
      </c>
      <c r="B1" s="564"/>
      <c r="C1" s="564"/>
      <c r="D1" s="564"/>
      <c r="E1" s="564"/>
      <c r="F1" s="564"/>
      <c r="G1" s="260"/>
      <c r="H1" s="260"/>
      <c r="I1" s="260"/>
      <c r="J1" s="260"/>
      <c r="K1" s="260"/>
      <c r="L1" s="260"/>
      <c r="M1" s="260"/>
      <c r="N1" s="260"/>
      <c r="O1" s="260"/>
      <c r="P1" s="260"/>
      <c r="Q1" s="260"/>
    </row>
    <row r="2" spans="1:17" ht="38.25" customHeight="1" x14ac:dyDescent="0.15">
      <c r="A2" s="460" t="s">
        <v>1362</v>
      </c>
      <c r="B2" s="460"/>
      <c r="C2" s="460"/>
      <c r="D2" s="460"/>
      <c r="E2" s="460"/>
      <c r="F2" s="460"/>
      <c r="G2" s="269"/>
      <c r="H2" s="269"/>
      <c r="I2" s="269"/>
      <c r="J2" s="269"/>
      <c r="K2" s="269"/>
      <c r="L2" s="269"/>
      <c r="M2" s="269"/>
      <c r="N2" s="269"/>
      <c r="O2" s="269"/>
      <c r="P2" s="269"/>
      <c r="Q2" s="269"/>
    </row>
    <row r="4" spans="1:17" ht="30" x14ac:dyDescent="0.15">
      <c r="A4" s="36" t="s">
        <v>988</v>
      </c>
    </row>
    <row r="5" spans="1:17" ht="21" customHeight="1" x14ac:dyDescent="0.15">
      <c r="A5" s="242" t="s">
        <v>21</v>
      </c>
    </row>
    <row r="6" spans="1:17" ht="36.75" customHeight="1" x14ac:dyDescent="0.2">
      <c r="A6" s="291" t="s">
        <v>234</v>
      </c>
      <c r="B6" s="42"/>
      <c r="C6" s="42"/>
    </row>
    <row r="8" spans="1:17" ht="29.25" customHeight="1" x14ac:dyDescent="0.2">
      <c r="A8" s="450" t="s">
        <v>998</v>
      </c>
      <c r="B8" s="617"/>
      <c r="C8" s="617"/>
    </row>
    <row r="9" spans="1:17" ht="30" x14ac:dyDescent="0.15">
      <c r="A9" s="220" t="s">
        <v>1000</v>
      </c>
      <c r="B9" s="37" t="s">
        <v>1001</v>
      </c>
      <c r="C9" s="37" t="s">
        <v>1002</v>
      </c>
      <c r="E9" s="618" t="s">
        <v>999</v>
      </c>
      <c r="F9" s="618"/>
    </row>
    <row r="10" spans="1:17" x14ac:dyDescent="0.15">
      <c r="A10" s="112" t="s">
        <v>842</v>
      </c>
      <c r="B10" s="89">
        <f>COUNTIFS('reductions data'!B:B,$A$6,'reductions data'!G:G,A10)</f>
        <v>0</v>
      </c>
      <c r="C10" s="90">
        <f>SUMIFS('reductions data'!H:H,'reductions data'!B:B,$A$6,'reductions data'!G:G,A10)</f>
        <v>0</v>
      </c>
      <c r="E10" s="185" t="s">
        <v>1132</v>
      </c>
      <c r="F10" s="214">
        <f>COUNTIFS('reductions data'!B:B,'cluster reductions'!A6,'reductions data'!K:K,"ACTIVE")</f>
        <v>0</v>
      </c>
    </row>
    <row r="11" spans="1:17" x14ac:dyDescent="0.15">
      <c r="A11" s="113" t="s">
        <v>844</v>
      </c>
      <c r="B11" s="89">
        <f>COUNTIFS('reductions data'!B:B,$A$6,'reductions data'!G:G,A11)</f>
        <v>0</v>
      </c>
      <c r="C11" s="90">
        <f>SUMIFS('reductions data'!H:H,'reductions data'!B:B,$A$6,'reductions data'!G:G,A11)</f>
        <v>0</v>
      </c>
      <c r="E11" s="185" t="s">
        <v>1133</v>
      </c>
      <c r="F11" s="214">
        <f>SUMIF('reductions data'!B:B,'cluster reductions'!A6,'reductions data'!H:H)</f>
        <v>0</v>
      </c>
    </row>
    <row r="12" spans="1:17" x14ac:dyDescent="0.15">
      <c r="A12" s="113" t="s">
        <v>843</v>
      </c>
      <c r="B12" s="89">
        <f>COUNTIFS('reductions data'!B:B,$A$6,'reductions data'!G:G,A12)</f>
        <v>0</v>
      </c>
      <c r="C12" s="90">
        <f>SUMIFS('reductions data'!H:H,'reductions data'!B:B,$A$6,'reductions data'!G:G,A12)</f>
        <v>0</v>
      </c>
      <c r="E12" s="72" t="s">
        <v>1134</v>
      </c>
      <c r="F12" s="214">
        <f>SUMIF('capacity data'!B:B,'cluster reductions'!A6,'capacity data'!I:I)</f>
        <v>0</v>
      </c>
    </row>
    <row r="13" spans="1:17" x14ac:dyDescent="0.15">
      <c r="A13" s="113" t="s">
        <v>845</v>
      </c>
      <c r="B13" s="89">
        <f>COUNTIFS('reductions data'!B:B,$A$6,'reductions data'!G:G,A13)</f>
        <v>0</v>
      </c>
      <c r="C13" s="90">
        <f>SUMIFS('reductions data'!H:H,'reductions data'!B:B,$A$6,'reductions data'!G:G,A13)</f>
        <v>0</v>
      </c>
      <c r="E13" s="72" t="s">
        <v>1135</v>
      </c>
      <c r="F13" s="92" t="e">
        <f>F11/F12</f>
        <v>#DIV/0!</v>
      </c>
    </row>
    <row r="14" spans="1:17" x14ac:dyDescent="0.15">
      <c r="A14" s="113" t="s">
        <v>846</v>
      </c>
      <c r="B14" s="89">
        <f>COUNTIFS('reductions data'!B:B,$A$6,'reductions data'!G:G,A14)</f>
        <v>0</v>
      </c>
      <c r="C14" s="90">
        <f>SUMIFS('reductions data'!H:H,'reductions data'!B:B,$A$6,'reductions data'!G:G,A14)</f>
        <v>0</v>
      </c>
      <c r="E14" s="186" t="s">
        <v>938</v>
      </c>
      <c r="F14" s="211" t="e">
        <f>+F13-'div &amp; regional reduction hours'!N18</f>
        <v>#DIV/0!</v>
      </c>
    </row>
    <row r="15" spans="1:17" x14ac:dyDescent="0.15">
      <c r="A15" s="113" t="s">
        <v>847</v>
      </c>
      <c r="B15" s="89">
        <f>COUNTIFS('reductions data'!B:B,$A$6,'reductions data'!G:G,A15)</f>
        <v>0</v>
      </c>
      <c r="C15" s="90">
        <f>SUMIFS('reductions data'!H:H,'reductions data'!B:B,$A$6,'reductions data'!G:G,A15)</f>
        <v>0</v>
      </c>
    </row>
    <row r="16" spans="1:17" x14ac:dyDescent="0.15">
      <c r="A16" s="113" t="s">
        <v>848</v>
      </c>
      <c r="B16" s="89">
        <f>COUNTIFS('reductions data'!B:B,$A$6,'reductions data'!G:G,A16)</f>
        <v>0</v>
      </c>
      <c r="C16" s="90">
        <f>SUMIFS('reductions data'!H:H,'reductions data'!B:B,$A$6,'reductions data'!G:G,A16)</f>
        <v>0</v>
      </c>
    </row>
    <row r="17" spans="1:3" x14ac:dyDescent="0.15">
      <c r="A17" s="113" t="s">
        <v>1204</v>
      </c>
      <c r="B17" s="89">
        <f>COUNTIFS('reductions data'!B:B,$A$6,'reductions data'!G:G,A17)</f>
        <v>0</v>
      </c>
      <c r="C17" s="90">
        <f>SUMIFS('reductions data'!H:H,'reductions data'!B:B,$A$6,'reductions data'!G:G,A17)</f>
        <v>0</v>
      </c>
    </row>
    <row r="18" spans="1:3" x14ac:dyDescent="0.15">
      <c r="A18" s="113" t="s">
        <v>849</v>
      </c>
      <c r="B18" s="89">
        <f>COUNTIFS('reductions data'!B:B,$A$6,'reductions data'!G:G,A18)</f>
        <v>0</v>
      </c>
      <c r="C18" s="90">
        <f>SUMIFS('reductions data'!H:H,'reductions data'!B:B,$A$6,'reductions data'!G:G,A18)</f>
        <v>0</v>
      </c>
    </row>
    <row r="19" spans="1:3" x14ac:dyDescent="0.15">
      <c r="A19" s="113" t="s">
        <v>850</v>
      </c>
      <c r="B19" s="89">
        <f>COUNTIFS('reductions data'!B:B,$A$6,'reductions data'!G:G,A19)</f>
        <v>0</v>
      </c>
      <c r="C19" s="90">
        <f>SUMIFS('reductions data'!H:H,'reductions data'!B:B,$A$6,'reductions data'!G:G,A19)</f>
        <v>0</v>
      </c>
    </row>
    <row r="20" spans="1:3" x14ac:dyDescent="0.15">
      <c r="A20" s="113" t="s">
        <v>851</v>
      </c>
      <c r="B20" s="89">
        <f>COUNTIFS('reductions data'!B:B,$A$6,'reductions data'!G:G,A20)</f>
        <v>0</v>
      </c>
      <c r="C20" s="90">
        <f>SUMIFS('reductions data'!H:H,'reductions data'!B:B,$A$6,'reductions data'!G:G,A20)</f>
        <v>0</v>
      </c>
    </row>
    <row r="21" spans="1:3" x14ac:dyDescent="0.15">
      <c r="A21" s="113" t="s">
        <v>852</v>
      </c>
      <c r="B21" s="89">
        <f>COUNTIFS('reductions data'!B:B,$A$6,'reductions data'!G:G,A21)</f>
        <v>0</v>
      </c>
      <c r="C21" s="90">
        <f>SUMIFS('reductions data'!H:H,'reductions data'!B:B,$A$6,'reductions data'!G:G,A21)</f>
        <v>0</v>
      </c>
    </row>
    <row r="22" spans="1:3" x14ac:dyDescent="0.15">
      <c r="A22" s="113" t="s">
        <v>853</v>
      </c>
      <c r="B22" s="89">
        <f>COUNTIFS('reductions data'!B:B,$A$6,'reductions data'!G:G,A22)</f>
        <v>0</v>
      </c>
      <c r="C22" s="90">
        <f>SUMIFS('reductions data'!H:H,'reductions data'!B:B,$A$6,'reductions data'!G:G,A22)</f>
        <v>0</v>
      </c>
    </row>
    <row r="23" spans="1:3" x14ac:dyDescent="0.15">
      <c r="A23" s="113" t="s">
        <v>855</v>
      </c>
      <c r="B23" s="89">
        <f>COUNTIFS('reductions data'!B:B,$A$6,'reductions data'!G:G,A23)</f>
        <v>0</v>
      </c>
      <c r="C23" s="90">
        <f>SUMIFS('reductions data'!H:H,'reductions data'!B:B,$A$6,'reductions data'!G:G,A23)</f>
        <v>0</v>
      </c>
    </row>
    <row r="24" spans="1:3" x14ac:dyDescent="0.15">
      <c r="A24" s="113" t="s">
        <v>858</v>
      </c>
      <c r="B24" s="89">
        <f>COUNTIFS('reductions data'!B:B,$A$6,'reductions data'!G:G,A24)</f>
        <v>0</v>
      </c>
      <c r="C24" s="90">
        <f>SUMIFS('reductions data'!H:H,'reductions data'!B:B,$A$6,'reductions data'!G:G,A24)</f>
        <v>0</v>
      </c>
    </row>
    <row r="25" spans="1:3" x14ac:dyDescent="0.15">
      <c r="A25" s="113" t="s">
        <v>854</v>
      </c>
      <c r="B25" s="89">
        <f>COUNTIFS('reductions data'!B:B,$A$6,'reductions data'!G:G,A25)</f>
        <v>0</v>
      </c>
      <c r="C25" s="90">
        <f>SUMIFS('reductions data'!H:H,'reductions data'!B:B,$A$6,'reductions data'!G:G,A25)</f>
        <v>0</v>
      </c>
    </row>
    <row r="26" spans="1:3" x14ac:dyDescent="0.15">
      <c r="A26" s="113" t="s">
        <v>939</v>
      </c>
      <c r="B26" s="89">
        <f>COUNTIFS('reductions data'!B:B,$A$6,'reductions data'!G:G,A26)</f>
        <v>0</v>
      </c>
      <c r="C26" s="90">
        <f>SUMIFS('reductions data'!H:H,'reductions data'!B:B,$A$6,'reductions data'!G:G,A26)</f>
        <v>0</v>
      </c>
    </row>
    <row r="27" spans="1:3" x14ac:dyDescent="0.15">
      <c r="A27" s="113" t="s">
        <v>859</v>
      </c>
      <c r="B27" s="89">
        <f>COUNTIFS('reductions data'!B:B,$A$6,'reductions data'!G:G,A27)</f>
        <v>0</v>
      </c>
      <c r="C27" s="90">
        <f>SUMIFS('reductions data'!H:H,'reductions data'!B:B,$A$6,'reductions data'!G:G,A27)</f>
        <v>0</v>
      </c>
    </row>
    <row r="28" spans="1:3" x14ac:dyDescent="0.15">
      <c r="A28" s="113" t="s">
        <v>860</v>
      </c>
      <c r="B28" s="89">
        <f>COUNTIFS('reductions data'!B:B,$A$6,'reductions data'!G:G,A28)</f>
        <v>0</v>
      </c>
      <c r="C28" s="90">
        <f>SUMIFS('reductions data'!H:H,'reductions data'!B:B,$A$6,'reductions data'!G:G,A28)</f>
        <v>0</v>
      </c>
    </row>
    <row r="29" spans="1:3" x14ac:dyDescent="0.15">
      <c r="A29" s="113" t="s">
        <v>861</v>
      </c>
      <c r="B29" s="89">
        <f>COUNTIFS('reductions data'!B:B,$A$6,'reductions data'!G:G,A29)</f>
        <v>0</v>
      </c>
      <c r="C29" s="90">
        <f>SUMIFS('reductions data'!H:H,'reductions data'!B:B,$A$6,'reductions data'!G:G,A29)</f>
        <v>0</v>
      </c>
    </row>
    <row r="30" spans="1:3" x14ac:dyDescent="0.15">
      <c r="A30" s="113" t="s">
        <v>862</v>
      </c>
      <c r="B30" s="89">
        <f>COUNTIFS('reductions data'!B:B,$A$6,'reductions data'!G:G,A30)</f>
        <v>0</v>
      </c>
      <c r="C30" s="90">
        <f>SUMIFS('reductions data'!H:H,'reductions data'!B:B,$A$6,'reductions data'!G:G,A30)</f>
        <v>0</v>
      </c>
    </row>
    <row r="31" spans="1:3" x14ac:dyDescent="0.15">
      <c r="A31" s="113" t="s">
        <v>863</v>
      </c>
      <c r="B31" s="89">
        <f>COUNTIFS('reductions data'!B:B,$A$6,'reductions data'!G:G,A31)</f>
        <v>0</v>
      </c>
      <c r="C31" s="90">
        <f>SUMIFS('reductions data'!H:H,'reductions data'!B:B,$A$6,'reductions data'!G:G,A31)</f>
        <v>0</v>
      </c>
    </row>
    <row r="32" spans="1:3" x14ac:dyDescent="0.15">
      <c r="A32" s="113" t="s">
        <v>864</v>
      </c>
      <c r="B32" s="89">
        <f>COUNTIFS('reductions data'!B:B,$A$6,'reductions data'!G:G,A32)</f>
        <v>0</v>
      </c>
      <c r="C32" s="90">
        <f>SUMIFS('reductions data'!H:H,'reductions data'!B:B,$A$6,'reductions data'!G:G,A32)</f>
        <v>0</v>
      </c>
    </row>
    <row r="33" spans="1:3" x14ac:dyDescent="0.15">
      <c r="A33" s="113" t="s">
        <v>865</v>
      </c>
      <c r="B33" s="89">
        <f>COUNTIFS('reductions data'!B:B,$A$6,'reductions data'!G:G,A33)</f>
        <v>0</v>
      </c>
      <c r="C33" s="90">
        <f>SUMIFS('reductions data'!H:H,'reductions data'!B:B,$A$6,'reductions data'!G:G,A33)</f>
        <v>0</v>
      </c>
    </row>
    <row r="34" spans="1:3" x14ac:dyDescent="0.15">
      <c r="A34" s="113" t="s">
        <v>1197</v>
      </c>
      <c r="B34" s="89">
        <f>COUNTIFS('reductions data'!B:B,$A$6,'reductions data'!G:G,A34)</f>
        <v>0</v>
      </c>
      <c r="C34" s="90">
        <f>SUMIFS('reductions data'!H:H,'reductions data'!B:B,$A$6,'reductions data'!G:G,A34)</f>
        <v>0</v>
      </c>
    </row>
    <row r="35" spans="1:3" x14ac:dyDescent="0.15">
      <c r="A35" s="113" t="s">
        <v>1198</v>
      </c>
      <c r="B35" s="89">
        <f>COUNTIFS('reductions data'!B:B,$A$6,'reductions data'!G:G,A35)</f>
        <v>0</v>
      </c>
      <c r="C35" s="90">
        <f>SUMIFS('reductions data'!H:H,'reductions data'!B:B,$A$6,'reductions data'!G:G,A35)</f>
        <v>0</v>
      </c>
    </row>
    <row r="36" spans="1:3" x14ac:dyDescent="0.15">
      <c r="A36" s="320" t="s">
        <v>1195</v>
      </c>
      <c r="B36" s="89">
        <f>COUNTIFS('reductions data'!B:B,$A$6,'reductions data'!G:G,A36)</f>
        <v>0</v>
      </c>
      <c r="C36" s="90">
        <f>SUMIFS('reductions data'!H:H,'reductions data'!B:B,$A$6,'reductions data'!G:G,A36)</f>
        <v>0</v>
      </c>
    </row>
    <row r="37" spans="1:3" x14ac:dyDescent="0.15">
      <c r="A37" s="320" t="s">
        <v>1196</v>
      </c>
      <c r="B37" s="89">
        <f>COUNTIFS('reductions data'!B:B,$A$6,'reductions data'!G:G,A37)</f>
        <v>0</v>
      </c>
      <c r="C37" s="90">
        <f>SUMIFS('reductions data'!H:H,'reductions data'!B:B,$A$6,'reductions data'!G:G,A37)</f>
        <v>0</v>
      </c>
    </row>
    <row r="38" spans="1:3" x14ac:dyDescent="0.15">
      <c r="A38" s="320" t="s">
        <v>1205</v>
      </c>
      <c r="B38" s="89">
        <f>COUNTIFS('reductions data'!B:B,$A$6,'reductions data'!G:G,A38)</f>
        <v>0</v>
      </c>
      <c r="C38" s="90">
        <f>SUMIFS('reductions data'!H:H,'reductions data'!B:B,$A$6,'reductions data'!G:G,A38)</f>
        <v>0</v>
      </c>
    </row>
    <row r="39" spans="1:3" x14ac:dyDescent="0.15">
      <c r="A39" s="112" t="s">
        <v>1199</v>
      </c>
      <c r="B39" s="89">
        <f>COUNTIFS('reductions data'!B:B,$A$6,'reductions data'!G:G,A39)</f>
        <v>0</v>
      </c>
      <c r="C39" s="90">
        <f>SUMIFS('reductions data'!H:H,'reductions data'!B:B,$A$6,'reductions data'!G:G,A39)</f>
        <v>0</v>
      </c>
    </row>
    <row r="40" spans="1:3" x14ac:dyDescent="0.15">
      <c r="A40" s="113" t="s">
        <v>1200</v>
      </c>
      <c r="B40" s="89">
        <f>COUNTIFS('reductions data'!B:B,$A$6,'reductions data'!G:G,A40)</f>
        <v>0</v>
      </c>
      <c r="C40" s="90">
        <f>SUMIFS('reductions data'!H:H,'reductions data'!B:B,$A$6,'reductions data'!G:G,A40)</f>
        <v>0</v>
      </c>
    </row>
    <row r="41" spans="1:3" x14ac:dyDescent="0.15">
      <c r="A41" s="113" t="s">
        <v>867</v>
      </c>
      <c r="B41" s="89">
        <f>COUNTIFS('reductions data'!B:B,$A$6,'reductions data'!G:G,A41)</f>
        <v>0</v>
      </c>
      <c r="C41" s="90">
        <f>SUMIFS('reductions data'!H:H,'reductions data'!B:B,$A$6,'reductions data'!G:G,A41)</f>
        <v>0</v>
      </c>
    </row>
    <row r="42" spans="1:3" x14ac:dyDescent="0.15">
      <c r="A42" s="113" t="s">
        <v>868</v>
      </c>
      <c r="B42" s="89">
        <f>COUNTIFS('reductions data'!B:B,$A$6,'reductions data'!G:G,A42)</f>
        <v>0</v>
      </c>
      <c r="C42" s="90">
        <f>SUMIFS('reductions data'!H:H,'reductions data'!B:B,$A$6,'reductions data'!G:G,A42)</f>
        <v>0</v>
      </c>
    </row>
    <row r="43" spans="1:3" x14ac:dyDescent="0.15">
      <c r="A43" s="113" t="s">
        <v>869</v>
      </c>
      <c r="B43" s="89">
        <f>COUNTIFS('reductions data'!B:B,$A$6,'reductions data'!G:G,A43)</f>
        <v>0</v>
      </c>
      <c r="C43" s="90">
        <f>SUMIFS('reductions data'!H:H,'reductions data'!B:B,$A$6,'reductions data'!G:G,A43)</f>
        <v>0</v>
      </c>
    </row>
    <row r="44" spans="1:3" x14ac:dyDescent="0.15">
      <c r="A44" s="320" t="s">
        <v>1201</v>
      </c>
      <c r="B44" s="89">
        <f>COUNTIFS('reductions data'!B:B,$A$6,'reductions data'!G:G,A44)</f>
        <v>0</v>
      </c>
      <c r="C44" s="90">
        <f>SUMIFS('reductions data'!H:H,'reductions data'!B:B,$A$6,'reductions data'!G:G,A44)</f>
        <v>0</v>
      </c>
    </row>
    <row r="45" spans="1:3" x14ac:dyDescent="0.15">
      <c r="A45" s="320" t="s">
        <v>1202</v>
      </c>
      <c r="B45" s="89">
        <f>COUNTIFS('reductions data'!B:B,$A$6,'reductions data'!G:G,A45)</f>
        <v>0</v>
      </c>
      <c r="C45" s="90">
        <f>SUMIFS('reductions data'!H:H,'reductions data'!B:B,$A$6,'reductions data'!G:G,A45)</f>
        <v>0</v>
      </c>
    </row>
    <row r="46" spans="1:3" x14ac:dyDescent="0.15">
      <c r="A46" s="320" t="s">
        <v>1206</v>
      </c>
      <c r="B46" s="78">
        <f>COUNTIFS('reductions data'!B:B,$A$6,'reductions data'!G:G,A46)</f>
        <v>0</v>
      </c>
      <c r="C46" s="214">
        <f>SUMIFS('reductions data'!H:H,'reductions data'!B:B,$A$6,'reductions data'!G:G,A46)</f>
        <v>0</v>
      </c>
    </row>
    <row r="47" spans="1:3" x14ac:dyDescent="0.15">
      <c r="A47" s="113" t="s">
        <v>870</v>
      </c>
      <c r="B47" s="78">
        <f>COUNTIFS('reductions data'!B:B,$A$6,'reductions data'!G:G,A47)</f>
        <v>0</v>
      </c>
      <c r="C47" s="392">
        <f>SUMIFS('reductions data'!H:H,'reductions data'!B:B,$A$6,'reductions data'!G:G,A47)</f>
        <v>0</v>
      </c>
    </row>
    <row r="48" spans="1:3" x14ac:dyDescent="0.15">
      <c r="A48" s="113" t="s">
        <v>871</v>
      </c>
      <c r="B48" s="78">
        <f>COUNTIFS('reductions data'!B:B,$A$6,'reductions data'!G:G,A48)</f>
        <v>0</v>
      </c>
      <c r="C48" s="392">
        <f>SUMIFS('reductions data'!H:H,'reductions data'!B:B,$A$6,'reductions data'!G:G,A48)</f>
        <v>0</v>
      </c>
    </row>
    <row r="49" spans="1:3" x14ac:dyDescent="0.15">
      <c r="A49" s="113" t="s">
        <v>872</v>
      </c>
      <c r="B49" s="324">
        <f>COUNTIFS('reductions data'!B:B,$A$6,'reductions data'!G:G,A49)</f>
        <v>0</v>
      </c>
      <c r="C49" s="214">
        <f>SUMIFS('reductions data'!H:H,'reductions data'!B:B,$A$6,'reductions data'!G:G,A49)</f>
        <v>0</v>
      </c>
    </row>
    <row r="50" spans="1:3" x14ac:dyDescent="0.15">
      <c r="A50" s="113" t="s">
        <v>866</v>
      </c>
      <c r="B50" s="324">
        <f>COUNTIFS('reductions data'!B:B,$A$6,'reductions data'!G:G,A50)</f>
        <v>0</v>
      </c>
      <c r="C50" s="214">
        <f>SUMIFS('reductions data'!H:H,'reductions data'!B:B,$A$6,'reductions data'!G:G,A50)</f>
        <v>0</v>
      </c>
    </row>
    <row r="51" spans="1:3" x14ac:dyDescent="0.15">
      <c r="A51" s="113" t="s">
        <v>873</v>
      </c>
      <c r="B51" s="324">
        <f>COUNTIFS('reductions data'!B:B,$A$6,'reductions data'!G:G,A51)</f>
        <v>0</v>
      </c>
      <c r="C51" s="214">
        <f>SUMIFS('reductions data'!H:H,'reductions data'!B:B,$A$6,'reductions data'!G:G,A51)</f>
        <v>0</v>
      </c>
    </row>
    <row r="52" spans="1:3" x14ac:dyDescent="0.15">
      <c r="A52" s="112" t="s">
        <v>874</v>
      </c>
      <c r="B52" s="78">
        <f>COUNTIFS('reductions data'!B:B,$A$6,'reductions data'!G:G,A52)</f>
        <v>0</v>
      </c>
      <c r="C52" s="214">
        <f>SUMIFS('reductions data'!H:H,'reductions data'!B:B,$A$6,'reductions data'!G:G,A52)</f>
        <v>0</v>
      </c>
    </row>
    <row r="53" spans="1:3" x14ac:dyDescent="0.15">
      <c r="A53" s="113" t="s">
        <v>875</v>
      </c>
      <c r="B53" s="78">
        <f>COUNTIFS('reductions data'!B:B,$A$6,'reductions data'!G:G,A53)</f>
        <v>0</v>
      </c>
      <c r="C53" s="312">
        <f>SUMIFS('reductions data'!H:H,'reductions data'!B:B,$A$6,'reductions data'!G:G,A53)</f>
        <v>0</v>
      </c>
    </row>
    <row r="54" spans="1:3" x14ac:dyDescent="0.15">
      <c r="A54" s="113" t="s">
        <v>876</v>
      </c>
      <c r="B54" s="78">
        <f>COUNTIFS('reductions data'!B:B,$A$6,'reductions data'!G:G,A54)</f>
        <v>0</v>
      </c>
      <c r="C54" s="312">
        <f>SUMIFS('reductions data'!H:H,'reductions data'!B:B,$A$6,'reductions data'!G:G,A54)</f>
        <v>0</v>
      </c>
    </row>
    <row r="55" spans="1:3" x14ac:dyDescent="0.15">
      <c r="A55" s="113" t="s">
        <v>877</v>
      </c>
      <c r="B55" s="78">
        <f>COUNTIFS('reductions data'!B:B,$A$6,'reductions data'!G:G,A55)</f>
        <v>0</v>
      </c>
      <c r="C55" s="312">
        <f>SUMIFS('reductions data'!H:H,'reductions data'!B:B,$A$6,'reductions data'!G:G,A55)</f>
        <v>0</v>
      </c>
    </row>
    <row r="56" spans="1:3" x14ac:dyDescent="0.15">
      <c r="A56" s="113" t="s">
        <v>878</v>
      </c>
      <c r="B56" s="78">
        <f>COUNTIFS('reductions data'!B:B,$A$6,'reductions data'!G:G,A56)</f>
        <v>0</v>
      </c>
      <c r="C56" s="214">
        <f>SUMIFS('reductions data'!H:H,'reductions data'!B:B,$A$6,'reductions data'!G:G,A56)</f>
        <v>0</v>
      </c>
    </row>
    <row r="57" spans="1:3" x14ac:dyDescent="0.15">
      <c r="A57" s="113" t="s">
        <v>879</v>
      </c>
      <c r="B57" s="78">
        <f>COUNTIFS('reductions data'!B:B,$A$6,'reductions data'!G:G,A57)</f>
        <v>0</v>
      </c>
      <c r="C57" s="214">
        <f>SUMIFS('reductions data'!H:H,'reductions data'!B:B,$A$6,'reductions data'!G:G,A57)</f>
        <v>0</v>
      </c>
    </row>
    <row r="58" spans="1:3" x14ac:dyDescent="0.15">
      <c r="A58" s="113" t="s">
        <v>880</v>
      </c>
      <c r="B58" s="78">
        <f>COUNTIFS('reductions data'!B:B,$A$6,'reductions data'!G:G,A58)</f>
        <v>0</v>
      </c>
      <c r="C58" s="214">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A3" sqref="A3"/>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564" t="s">
        <v>1136</v>
      </c>
      <c r="B1" s="564"/>
      <c r="C1" s="564"/>
      <c r="D1" s="564"/>
      <c r="E1" s="564"/>
      <c r="F1" s="564"/>
      <c r="G1" s="564"/>
      <c r="H1" s="564"/>
      <c r="I1" s="564"/>
      <c r="J1" s="564"/>
      <c r="K1" s="564"/>
      <c r="L1" s="564"/>
      <c r="M1" s="564"/>
      <c r="N1" s="564"/>
      <c r="O1" s="260"/>
      <c r="P1" s="260"/>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60" t="s">
        <v>1362</v>
      </c>
      <c r="B2" s="460"/>
      <c r="C2" s="460"/>
      <c r="D2" s="460"/>
      <c r="E2" s="460"/>
      <c r="F2" s="460"/>
      <c r="G2" s="460"/>
      <c r="H2" s="460"/>
      <c r="I2" s="460"/>
      <c r="J2" s="460"/>
      <c r="K2" s="460"/>
      <c r="L2" s="460"/>
      <c r="M2" s="460"/>
      <c r="N2" s="460"/>
      <c r="O2" s="270"/>
      <c r="P2" s="270"/>
      <c r="Q2" s="5"/>
      <c r="R2" s="5"/>
    </row>
    <row r="3" spans="1:46" s="2" customFormat="1" ht="39" customHeight="1" thickBot="1" x14ac:dyDescent="0.25"/>
    <row r="4" spans="1:46" ht="28.5" customHeight="1" x14ac:dyDescent="0.2">
      <c r="B4" s="628" t="s">
        <v>1137</v>
      </c>
      <c r="C4" s="619" t="s">
        <v>947</v>
      </c>
      <c r="D4" s="620"/>
      <c r="E4" s="621"/>
      <c r="F4" s="622" t="s">
        <v>952</v>
      </c>
      <c r="G4" s="623"/>
      <c r="H4" s="624"/>
      <c r="I4" s="625" t="s">
        <v>953</v>
      </c>
      <c r="J4" s="626"/>
      <c r="K4" s="627"/>
      <c r="L4" s="620" t="s">
        <v>1138</v>
      </c>
      <c r="M4" s="620"/>
      <c r="N4" s="621"/>
      <c r="P4" s="5"/>
      <c r="Q4" s="5"/>
      <c r="R4" s="5"/>
    </row>
    <row r="5" spans="1:46" ht="45" x14ac:dyDescent="0.2">
      <c r="B5" s="629"/>
      <c r="C5" s="187" t="s">
        <v>1139</v>
      </c>
      <c r="D5" s="37" t="s">
        <v>1140</v>
      </c>
      <c r="E5" s="188" t="s">
        <v>1141</v>
      </c>
      <c r="F5" s="274" t="s">
        <v>1139</v>
      </c>
      <c r="G5" s="275" t="s">
        <v>1140</v>
      </c>
      <c r="H5" s="276" t="s">
        <v>1141</v>
      </c>
      <c r="I5" s="271" t="s">
        <v>1139</v>
      </c>
      <c r="J5" s="272" t="s">
        <v>1140</v>
      </c>
      <c r="K5" s="273" t="s">
        <v>1141</v>
      </c>
      <c r="L5" s="202" t="s">
        <v>1139</v>
      </c>
      <c r="M5" s="37" t="s">
        <v>1142</v>
      </c>
      <c r="N5" s="188" t="s">
        <v>1141</v>
      </c>
    </row>
    <row r="6" spans="1:46" ht="21" customHeight="1" x14ac:dyDescent="0.2">
      <c r="B6" s="141" t="s">
        <v>17</v>
      </c>
      <c r="C6" s="200">
        <f>SUMIFS('capacity data'!I:I,'capacity data'!A:A,B6,'capacity data'!E:E,"PO")</f>
        <v>0</v>
      </c>
      <c r="D6" s="197">
        <f>SUMIFS('capacity data'!J:J,'capacity data'!A:A,B6,'capacity data'!E:E,"PO")</f>
        <v>0</v>
      </c>
      <c r="E6" s="194" t="e">
        <f>D6/C6</f>
        <v>#DIV/0!</v>
      </c>
      <c r="F6" s="200">
        <f>SUMIFS('capacity data'!I:I,'capacity data'!A:A,B6,'capacity data'!E:E,"PSO")</f>
        <v>0</v>
      </c>
      <c r="G6" s="197">
        <f>SUMIFS('capacity data'!J:J,'capacity data'!A:A,B6,'capacity data'!E:E,"PSO")</f>
        <v>0</v>
      </c>
      <c r="H6" s="194" t="e">
        <f t="shared" ref="H6:H18" si="0">G6/F6</f>
        <v>#DIV/0!</v>
      </c>
      <c r="I6" s="200">
        <f>SUMIFS('capacity data'!I:I,'capacity data'!A:A,B6,'capacity data'!E:E,"TPO")</f>
        <v>0</v>
      </c>
      <c r="J6" s="197">
        <f>SUMIFS('capacity data'!J:J,'capacity data'!A:A,B6,'capacity data'!E:E,"TPO")</f>
        <v>0</v>
      </c>
      <c r="K6" s="194" t="e">
        <f t="shared" ref="K6:K18" si="1">J6/I6</f>
        <v>#DIV/0!</v>
      </c>
      <c r="L6" s="201">
        <f>SUMIF('capacity data'!A:A,B6,'capacity data'!I:I)</f>
        <v>0</v>
      </c>
      <c r="M6" s="197">
        <f>SUMIF('capacity data'!A:A,B6,'capacity data'!J:J)</f>
        <v>0</v>
      </c>
      <c r="N6" s="194" t="e">
        <f t="shared" ref="N6:N18" si="2">M6/L6</f>
        <v>#DIV/0!</v>
      </c>
    </row>
    <row r="7" spans="1:46" ht="21" customHeight="1" x14ac:dyDescent="0.2">
      <c r="B7" s="141" t="s">
        <v>18</v>
      </c>
      <c r="C7" s="200">
        <f>SUMIFS('capacity data'!I:I,'capacity data'!A:A,B7,'capacity data'!E:E,"PO")</f>
        <v>0</v>
      </c>
      <c r="D7" s="197">
        <f>SUMIFS('capacity data'!J:J,'capacity data'!A:A,B7,'capacity data'!E:E,"PO")</f>
        <v>0</v>
      </c>
      <c r="E7" s="194" t="e">
        <f t="shared" ref="E7:E17" si="3">D7/C7</f>
        <v>#DIV/0!</v>
      </c>
      <c r="F7" s="200">
        <f>SUMIFS('capacity data'!I:I,'capacity data'!A:A,B7,'capacity data'!E:E,"PSO")</f>
        <v>0</v>
      </c>
      <c r="G7" s="197">
        <f>SUMIFS('capacity data'!J:J,'capacity data'!A:A,B7,'capacity data'!E:E,"PSO")</f>
        <v>0</v>
      </c>
      <c r="H7" s="194" t="e">
        <f t="shared" ref="H7:H17" si="4">G7/F7</f>
        <v>#DIV/0!</v>
      </c>
      <c r="I7" s="200">
        <f>SUMIFS('capacity data'!I:I,'capacity data'!A:A,B7,'capacity data'!E:E,"TPO")</f>
        <v>0</v>
      </c>
      <c r="J7" s="197">
        <f>SUMIFS('capacity data'!J:J,'capacity data'!A:A,B7,'capacity data'!E:E,"TPO")</f>
        <v>0</v>
      </c>
      <c r="K7" s="194" t="e">
        <f t="shared" ref="K7:K17" si="5">J7/I7</f>
        <v>#DIV/0!</v>
      </c>
      <c r="L7" s="201">
        <f>SUMIF('capacity data'!A:A,B7,'capacity data'!I:I)</f>
        <v>0</v>
      </c>
      <c r="M7" s="197">
        <f>SUMIF('capacity data'!A:A,B7,'capacity data'!J:J)</f>
        <v>0</v>
      </c>
      <c r="N7" s="194" t="e">
        <f t="shared" ref="N7:N17" si="6">M7/L7</f>
        <v>#DIV/0!</v>
      </c>
    </row>
    <row r="8" spans="1:46" ht="21" customHeight="1" x14ac:dyDescent="0.2">
      <c r="B8" s="141" t="s">
        <v>19</v>
      </c>
      <c r="C8" s="200">
        <f>SUMIFS('capacity data'!I:I,'capacity data'!A:A,B8,'capacity data'!E:E,"PO")</f>
        <v>0</v>
      </c>
      <c r="D8" s="197">
        <f>SUMIFS('capacity data'!J:J,'capacity data'!A:A,B8,'capacity data'!E:E,"PO")</f>
        <v>0</v>
      </c>
      <c r="E8" s="194" t="e">
        <f t="shared" si="3"/>
        <v>#DIV/0!</v>
      </c>
      <c r="F8" s="200">
        <f>SUMIFS('capacity data'!I:I,'capacity data'!A:A,B8,'capacity data'!E:E,"PSO")</f>
        <v>0</v>
      </c>
      <c r="G8" s="197">
        <f>SUMIFS('capacity data'!J:J,'capacity data'!A:A,B8,'capacity data'!E:E,"PSO")</f>
        <v>0</v>
      </c>
      <c r="H8" s="194" t="e">
        <f t="shared" si="4"/>
        <v>#DIV/0!</v>
      </c>
      <c r="I8" s="200">
        <f>SUMIFS('capacity data'!I:I,'capacity data'!A:A,B8,'capacity data'!E:E,"TPO")</f>
        <v>0</v>
      </c>
      <c r="J8" s="197">
        <f>SUMIFS('capacity data'!J:J,'capacity data'!A:A,B8,'capacity data'!E:E,"TPO")</f>
        <v>0</v>
      </c>
      <c r="K8" s="194" t="e">
        <f t="shared" si="5"/>
        <v>#DIV/0!</v>
      </c>
      <c r="L8" s="201">
        <f>SUMIF('capacity data'!A:A,B8,'capacity data'!I:I)</f>
        <v>0</v>
      </c>
      <c r="M8" s="197">
        <f>SUMIF('capacity data'!A:A,B8,'capacity data'!J:J)</f>
        <v>0</v>
      </c>
      <c r="N8" s="194" t="e">
        <f t="shared" si="6"/>
        <v>#DIV/0!</v>
      </c>
    </row>
    <row r="9" spans="1:46" ht="21" customHeight="1" x14ac:dyDescent="0.2">
      <c r="B9" s="141" t="s">
        <v>20</v>
      </c>
      <c r="C9" s="200">
        <f>SUMIFS('capacity data'!I:I,'capacity data'!A:A,B9,'capacity data'!E:E,"PO")</f>
        <v>0</v>
      </c>
      <c r="D9" s="197">
        <f>SUMIFS('capacity data'!J:J,'capacity data'!A:A,B9,'capacity data'!E:E,"PO")</f>
        <v>0</v>
      </c>
      <c r="E9" s="194" t="e">
        <f t="shared" si="3"/>
        <v>#DIV/0!</v>
      </c>
      <c r="F9" s="200">
        <f>SUMIFS('capacity data'!I:I,'capacity data'!A:A,B9,'capacity data'!E:E,"PSO")</f>
        <v>0</v>
      </c>
      <c r="G9" s="197">
        <f>SUMIFS('capacity data'!J:J,'capacity data'!A:A,B9,'capacity data'!E:E,"PSO")</f>
        <v>0</v>
      </c>
      <c r="H9" s="194" t="e">
        <f t="shared" si="4"/>
        <v>#DIV/0!</v>
      </c>
      <c r="I9" s="200">
        <f>SUMIFS('capacity data'!I:I,'capacity data'!A:A,B9,'capacity data'!E:E,"TPO")</f>
        <v>0</v>
      </c>
      <c r="J9" s="197">
        <f>SUMIFS('capacity data'!J:J,'capacity data'!A:A,B9,'capacity data'!E:E,"TPO")</f>
        <v>0</v>
      </c>
      <c r="K9" s="194" t="e">
        <f t="shared" si="5"/>
        <v>#DIV/0!</v>
      </c>
      <c r="L9" s="201">
        <f>SUMIF('capacity data'!A:A,B9,'capacity data'!I:I)</f>
        <v>0</v>
      </c>
      <c r="M9" s="197">
        <f>SUMIF('capacity data'!A:A,B9,'capacity data'!J:J)</f>
        <v>0</v>
      </c>
      <c r="N9" s="194" t="e">
        <f t="shared" si="6"/>
        <v>#DIV/0!</v>
      </c>
    </row>
    <row r="10" spans="1:46" ht="21" customHeight="1" x14ac:dyDescent="0.2">
      <c r="B10" s="141" t="s">
        <v>21</v>
      </c>
      <c r="C10" s="200">
        <f>SUMIFS('capacity data'!I:I,'capacity data'!A:A,B10,'capacity data'!E:E,"PO")</f>
        <v>0</v>
      </c>
      <c r="D10" s="197">
        <f>SUMIFS('capacity data'!J:J,'capacity data'!A:A,B10,'capacity data'!E:E,"PO")</f>
        <v>0</v>
      </c>
      <c r="E10" s="194" t="e">
        <f t="shared" si="3"/>
        <v>#DIV/0!</v>
      </c>
      <c r="F10" s="200">
        <f>SUMIFS('capacity data'!I:I,'capacity data'!A:A,B10,'capacity data'!E:E,"PSO")</f>
        <v>0</v>
      </c>
      <c r="G10" s="197">
        <f>SUMIFS('capacity data'!J:J,'capacity data'!A:A,B10,'capacity data'!E:E,"PSO")</f>
        <v>0</v>
      </c>
      <c r="H10" s="194" t="e">
        <f t="shared" si="4"/>
        <v>#DIV/0!</v>
      </c>
      <c r="I10" s="200">
        <f>SUMIFS('capacity data'!I:I,'capacity data'!A:A,B10,'capacity data'!E:E,"TPO")</f>
        <v>0</v>
      </c>
      <c r="J10" s="197">
        <f>SUMIFS('capacity data'!J:J,'capacity data'!A:A,B10,'capacity data'!E:E,"TPO")</f>
        <v>0</v>
      </c>
      <c r="K10" s="194" t="e">
        <f t="shared" si="5"/>
        <v>#DIV/0!</v>
      </c>
      <c r="L10" s="201">
        <f>SUMIF('capacity data'!A:A,B10,'capacity data'!I:I)</f>
        <v>0</v>
      </c>
      <c r="M10" s="197">
        <f>SUMIF('capacity data'!A:A,B10,'capacity data'!J:J)</f>
        <v>0</v>
      </c>
      <c r="N10" s="194" t="e">
        <f t="shared" si="6"/>
        <v>#DIV/0!</v>
      </c>
    </row>
    <row r="11" spans="1:46" ht="21" customHeight="1" x14ac:dyDescent="0.2">
      <c r="B11" s="141" t="s">
        <v>22</v>
      </c>
      <c r="C11" s="200">
        <f>SUMIFS('capacity data'!I:I,'capacity data'!A:A,B11,'capacity data'!E:E,"PO")</f>
        <v>0</v>
      </c>
      <c r="D11" s="197">
        <f>SUMIFS('capacity data'!J:J,'capacity data'!A:A,B11,'capacity data'!E:E,"PO")</f>
        <v>0</v>
      </c>
      <c r="E11" s="194" t="e">
        <f t="shared" si="3"/>
        <v>#DIV/0!</v>
      </c>
      <c r="F11" s="200">
        <f>SUMIFS('capacity data'!I:I,'capacity data'!A:A,B11,'capacity data'!E:E,"PSO")</f>
        <v>0</v>
      </c>
      <c r="G11" s="197">
        <f>SUMIFS('capacity data'!J:J,'capacity data'!A:A,B11,'capacity data'!E:E,"PSO")</f>
        <v>0</v>
      </c>
      <c r="H11" s="194" t="e">
        <f t="shared" si="4"/>
        <v>#DIV/0!</v>
      </c>
      <c r="I11" s="200">
        <f>SUMIFS('capacity data'!I:I,'capacity data'!A:A,B11,'capacity data'!E:E,"TPO")</f>
        <v>0</v>
      </c>
      <c r="J11" s="197">
        <f>SUMIFS('capacity data'!J:J,'capacity data'!A:A,B11,'capacity data'!E:E,"TPO")</f>
        <v>0</v>
      </c>
      <c r="K11" s="194" t="e">
        <f t="shared" si="5"/>
        <v>#DIV/0!</v>
      </c>
      <c r="L11" s="201">
        <f>SUMIF('capacity data'!A:A,B11,'capacity data'!I:I)</f>
        <v>0</v>
      </c>
      <c r="M11" s="197">
        <f>SUMIF('capacity data'!A:A,B11,'capacity data'!J:J)</f>
        <v>0</v>
      </c>
      <c r="N11" s="194" t="e">
        <f t="shared" si="6"/>
        <v>#DIV/0!</v>
      </c>
    </row>
    <row r="12" spans="1:46" ht="21" customHeight="1" x14ac:dyDescent="0.2">
      <c r="B12" s="141" t="s">
        <v>23</v>
      </c>
      <c r="C12" s="200">
        <f>SUMIFS('capacity data'!I:I,'capacity data'!A:A,B12,'capacity data'!E:E,"PO")</f>
        <v>0</v>
      </c>
      <c r="D12" s="197">
        <f>SUMIFS('capacity data'!J:J,'capacity data'!A:A,B12,'capacity data'!E:E,"PO")</f>
        <v>0</v>
      </c>
      <c r="E12" s="194" t="e">
        <f t="shared" si="3"/>
        <v>#DIV/0!</v>
      </c>
      <c r="F12" s="200">
        <f>SUMIFS('capacity data'!I:I,'capacity data'!A:A,B12,'capacity data'!E:E,"PSO")</f>
        <v>0</v>
      </c>
      <c r="G12" s="197">
        <f>SUMIFS('capacity data'!J:J,'capacity data'!A:A,B12,'capacity data'!E:E,"PSO")</f>
        <v>0</v>
      </c>
      <c r="H12" s="194" t="e">
        <f t="shared" si="4"/>
        <v>#DIV/0!</v>
      </c>
      <c r="I12" s="200">
        <f>SUMIFS('capacity data'!I:I,'capacity data'!A:A,B12,'capacity data'!E:E,"TPO")</f>
        <v>0</v>
      </c>
      <c r="J12" s="197">
        <f>SUMIFS('capacity data'!J:J,'capacity data'!A:A,B12,'capacity data'!E:E,"TPO")</f>
        <v>0</v>
      </c>
      <c r="K12" s="194" t="e">
        <f t="shared" si="5"/>
        <v>#DIV/0!</v>
      </c>
      <c r="L12" s="201">
        <f>SUMIF('capacity data'!A:A,B12,'capacity data'!I:I)</f>
        <v>0</v>
      </c>
      <c r="M12" s="197">
        <f>SUMIF('capacity data'!A:A,B12,'capacity data'!J:J)</f>
        <v>0</v>
      </c>
      <c r="N12" s="194" t="e">
        <f t="shared" si="6"/>
        <v>#DIV/0!</v>
      </c>
    </row>
    <row r="13" spans="1:46" ht="21" customHeight="1" x14ac:dyDescent="0.2">
      <c r="B13" s="141" t="s">
        <v>24</v>
      </c>
      <c r="C13" s="200">
        <f>SUMIFS('capacity data'!I:I,'capacity data'!A:A,B13,'capacity data'!E:E,"PO")</f>
        <v>0</v>
      </c>
      <c r="D13" s="197">
        <f>SUMIFS('capacity data'!J:J,'capacity data'!A:A,B13,'capacity data'!E:E,"PO")</f>
        <v>0</v>
      </c>
      <c r="E13" s="194" t="e">
        <f t="shared" ref="E13" si="7">D13/C13</f>
        <v>#DIV/0!</v>
      </c>
      <c r="F13" s="200">
        <f>SUMIFS('capacity data'!I:I,'capacity data'!A:A,B13,'capacity data'!E:E,"PSO")</f>
        <v>0</v>
      </c>
      <c r="G13" s="197">
        <f>SUMIFS('capacity data'!J:J,'capacity data'!A:A,B13,'capacity data'!E:E,"PSO")</f>
        <v>0</v>
      </c>
      <c r="H13" s="194" t="e">
        <f t="shared" ref="H13" si="8">G13/F13</f>
        <v>#DIV/0!</v>
      </c>
      <c r="I13" s="200">
        <f>SUMIFS('capacity data'!I:I,'capacity data'!A:A,B13,'capacity data'!E:E,"TPO")</f>
        <v>0</v>
      </c>
      <c r="J13" s="197">
        <f>SUMIFS('capacity data'!J:J,'capacity data'!A:A,B13,'capacity data'!E:E,"TPO")</f>
        <v>0</v>
      </c>
      <c r="K13" s="194" t="e">
        <f t="shared" ref="K13" si="9">J13/I13</f>
        <v>#DIV/0!</v>
      </c>
      <c r="L13" s="201">
        <f>SUMIF('capacity data'!A:A,B13,'capacity data'!I:I)</f>
        <v>0</v>
      </c>
      <c r="M13" s="197">
        <f>SUMIF('capacity data'!A:A,B13,'capacity data'!J:J)</f>
        <v>0</v>
      </c>
      <c r="N13" s="194" t="e">
        <f t="shared" ref="N13" si="10">M13/L13</f>
        <v>#DIV/0!</v>
      </c>
    </row>
    <row r="14" spans="1:46" ht="21" customHeight="1" x14ac:dyDescent="0.2">
      <c r="B14" s="141" t="s">
        <v>25</v>
      </c>
      <c r="C14" s="200">
        <f>SUMIFS('capacity data'!I:I,'capacity data'!A:A,B14,'capacity data'!E:E,"PO")</f>
        <v>0</v>
      </c>
      <c r="D14" s="197">
        <f>SUMIFS('capacity data'!J:J,'capacity data'!A:A,B14,'capacity data'!E:E,"PO")</f>
        <v>0</v>
      </c>
      <c r="E14" s="194" t="e">
        <f t="shared" si="3"/>
        <v>#DIV/0!</v>
      </c>
      <c r="F14" s="200">
        <f>SUMIFS('capacity data'!I:I,'capacity data'!A:A,B14,'capacity data'!E:E,"PSO")</f>
        <v>0</v>
      </c>
      <c r="G14" s="197">
        <f>SUMIFS('capacity data'!J:J,'capacity data'!A:A,B14,'capacity data'!E:E,"PSO")</f>
        <v>0</v>
      </c>
      <c r="H14" s="194" t="e">
        <f t="shared" si="4"/>
        <v>#DIV/0!</v>
      </c>
      <c r="I14" s="200">
        <f>SUMIFS('capacity data'!I:I,'capacity data'!A:A,B14,'capacity data'!E:E,"TPO")</f>
        <v>0</v>
      </c>
      <c r="J14" s="197">
        <f>SUMIFS('capacity data'!J:J,'capacity data'!A:A,B14,'capacity data'!E:E,"TPO")</f>
        <v>0</v>
      </c>
      <c r="K14" s="194" t="e">
        <f t="shared" si="5"/>
        <v>#DIV/0!</v>
      </c>
      <c r="L14" s="201">
        <f>SUMIF('capacity data'!A:A,B14,'capacity data'!I:I)</f>
        <v>0</v>
      </c>
      <c r="M14" s="197">
        <f>SUMIF('capacity data'!A:A,B14,'capacity data'!J:J)</f>
        <v>0</v>
      </c>
      <c r="N14" s="194" t="e">
        <f t="shared" si="6"/>
        <v>#DIV/0!</v>
      </c>
    </row>
    <row r="15" spans="1:46" ht="21" customHeight="1" x14ac:dyDescent="0.2">
      <c r="B15" s="141" t="s">
        <v>26</v>
      </c>
      <c r="C15" s="200">
        <f>SUMIFS('capacity data'!I:I,'capacity data'!A:A,B15,'capacity data'!E:E,"PO")</f>
        <v>0</v>
      </c>
      <c r="D15" s="197">
        <f>SUMIFS('capacity data'!J:J,'capacity data'!A:A,B15,'capacity data'!E:E,"PO")</f>
        <v>0</v>
      </c>
      <c r="E15" s="194" t="e">
        <f t="shared" si="3"/>
        <v>#DIV/0!</v>
      </c>
      <c r="F15" s="200">
        <f>SUMIFS('capacity data'!I:I,'capacity data'!A:A,B15,'capacity data'!E:E,"PSO")</f>
        <v>0</v>
      </c>
      <c r="G15" s="197">
        <f>SUMIFS('capacity data'!J:J,'capacity data'!A:A,B15,'capacity data'!E:E,"PSO")</f>
        <v>0</v>
      </c>
      <c r="H15" s="194" t="e">
        <f t="shared" si="4"/>
        <v>#DIV/0!</v>
      </c>
      <c r="I15" s="200">
        <f>SUMIFS('capacity data'!I:I,'capacity data'!A:A,B15,'capacity data'!E:E,"TPO")</f>
        <v>0</v>
      </c>
      <c r="J15" s="197">
        <f>SUMIFS('capacity data'!J:J,'capacity data'!A:A,B15,'capacity data'!E:E,"TPO")</f>
        <v>0</v>
      </c>
      <c r="K15" s="194" t="e">
        <f t="shared" si="5"/>
        <v>#DIV/0!</v>
      </c>
      <c r="L15" s="201">
        <f>SUMIF('capacity data'!A:A,B15,'capacity data'!I:I)</f>
        <v>0</v>
      </c>
      <c r="M15" s="197">
        <f>SUMIF('capacity data'!A:A,B15,'capacity data'!J:J)</f>
        <v>0</v>
      </c>
      <c r="N15" s="194" t="e">
        <f t="shared" si="6"/>
        <v>#DIV/0!</v>
      </c>
    </row>
    <row r="16" spans="1:46" ht="21" customHeight="1" x14ac:dyDescent="0.2">
      <c r="B16" s="141" t="s">
        <v>27</v>
      </c>
      <c r="C16" s="200">
        <f>SUMIFS('capacity data'!I:I,'capacity data'!A:A,B16,'capacity data'!E:E,"PO")</f>
        <v>0</v>
      </c>
      <c r="D16" s="197">
        <f>SUMIFS('capacity data'!J:J,'capacity data'!A:A,B16,'capacity data'!E:E,"PO")</f>
        <v>0</v>
      </c>
      <c r="E16" s="194" t="e">
        <f t="shared" si="3"/>
        <v>#DIV/0!</v>
      </c>
      <c r="F16" s="200">
        <f>SUMIFS('capacity data'!I:I,'capacity data'!A:A,B16,'capacity data'!E:E,"PSO")</f>
        <v>0</v>
      </c>
      <c r="G16" s="197">
        <f>SUMIFS('capacity data'!J:J,'capacity data'!A:A,B16,'capacity data'!E:E,"PSO")</f>
        <v>0</v>
      </c>
      <c r="H16" s="194" t="e">
        <f t="shared" si="4"/>
        <v>#DIV/0!</v>
      </c>
      <c r="I16" s="200">
        <f>SUMIFS('capacity data'!I:I,'capacity data'!A:A,B16,'capacity data'!E:E,"TPO")</f>
        <v>0</v>
      </c>
      <c r="J16" s="197">
        <f>SUMIFS('capacity data'!J:J,'capacity data'!A:A,B16,'capacity data'!E:E,"TPO")</f>
        <v>0</v>
      </c>
      <c r="K16" s="194" t="e">
        <f t="shared" si="5"/>
        <v>#DIV/0!</v>
      </c>
      <c r="L16" s="201">
        <f>SUMIF('capacity data'!A:A,B16,'capacity data'!I:I)</f>
        <v>0</v>
      </c>
      <c r="M16" s="197">
        <f>SUMIF('capacity data'!A:A,B16,'capacity data'!J:J)</f>
        <v>0</v>
      </c>
      <c r="N16" s="194" t="e">
        <f t="shared" si="6"/>
        <v>#DIV/0!</v>
      </c>
    </row>
    <row r="17" spans="2:14" ht="21" customHeight="1" x14ac:dyDescent="0.2">
      <c r="B17" s="141" t="s">
        <v>28</v>
      </c>
      <c r="C17" s="200">
        <f>SUMIFS('capacity data'!I:I,'capacity data'!A:A,B17,'capacity data'!E:E,"PO")</f>
        <v>0</v>
      </c>
      <c r="D17" s="197">
        <f>SUMIFS('capacity data'!J:J,'capacity data'!A:A,B17,'capacity data'!E:E,"PO")</f>
        <v>0</v>
      </c>
      <c r="E17" s="194" t="e">
        <f t="shared" si="3"/>
        <v>#DIV/0!</v>
      </c>
      <c r="F17" s="200">
        <f>SUMIFS('capacity data'!I:I,'capacity data'!A:A,B17,'capacity data'!E:E,"PSO")</f>
        <v>0</v>
      </c>
      <c r="G17" s="197">
        <f>SUMIFS('capacity data'!J:J,'capacity data'!A:A,B17,'capacity data'!E:E,"PSO")</f>
        <v>0</v>
      </c>
      <c r="H17" s="194" t="e">
        <f t="shared" si="4"/>
        <v>#DIV/0!</v>
      </c>
      <c r="I17" s="200">
        <f>SUMIFS('capacity data'!I:I,'capacity data'!A:A,B17,'capacity data'!E:E,"TPO")</f>
        <v>0</v>
      </c>
      <c r="J17" s="197">
        <f>SUMIFS('capacity data'!J:J,'capacity data'!A:A,B17,'capacity data'!E:E,"TPO")</f>
        <v>0</v>
      </c>
      <c r="K17" s="194" t="e">
        <f t="shared" si="5"/>
        <v>#DIV/0!</v>
      </c>
      <c r="L17" s="201">
        <f>SUMIF('capacity data'!A:A,B17,'capacity data'!I:I)</f>
        <v>0</v>
      </c>
      <c r="M17" s="197">
        <f>SUMIF('capacity data'!A:A,B17,'capacity data'!J:J)</f>
        <v>0</v>
      </c>
      <c r="N17" s="194" t="e">
        <f t="shared" si="6"/>
        <v>#DIV/0!</v>
      </c>
    </row>
    <row r="18" spans="2:14" ht="21" customHeight="1" thickBot="1" x14ac:dyDescent="0.25">
      <c r="B18" s="195" t="s">
        <v>1127</v>
      </c>
      <c r="C18" s="198">
        <f>SUMIF('capacity data'!E:E,"PO",'capacity data'!I:I)</f>
        <v>0</v>
      </c>
      <c r="D18" s="199">
        <f>SUMIF('capacity data'!E:E,"PO",'capacity data'!J:J)</f>
        <v>0</v>
      </c>
      <c r="E18" s="196" t="e">
        <f t="shared" ref="E18" si="11">D18/C18</f>
        <v>#DIV/0!</v>
      </c>
      <c r="F18" s="198">
        <f>SUMIF('capacity data'!E:E,"PSO",'capacity data'!I:I)</f>
        <v>0</v>
      </c>
      <c r="G18" s="199">
        <f>SUMIF('capacity data'!E:E,"PSO",'capacity data'!J:J)</f>
        <v>0</v>
      </c>
      <c r="H18" s="196" t="e">
        <f t="shared" si="0"/>
        <v>#DIV/0!</v>
      </c>
      <c r="I18" s="198">
        <f>SUMIF('capacity data'!E:E,"TPO",'capacity data'!I:I)</f>
        <v>0</v>
      </c>
      <c r="J18" s="199">
        <f>SUMIF('capacity data'!E:E,"TPO",'capacity data'!J:J)</f>
        <v>0</v>
      </c>
      <c r="K18" s="196" t="e">
        <f t="shared" si="1"/>
        <v>#DIV/0!</v>
      </c>
      <c r="L18" s="198">
        <f>SUM('capacity data'!I:I)</f>
        <v>0</v>
      </c>
      <c r="M18" s="199">
        <f>SUM('capacity data'!J:J)</f>
        <v>0</v>
      </c>
      <c r="N18" s="196" t="e">
        <f t="shared" si="2"/>
        <v>#DIV/0!</v>
      </c>
    </row>
    <row r="19" spans="2:14" x14ac:dyDescent="0.2">
      <c r="C19" s="227"/>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630" t="s">
        <v>1143</v>
      </c>
      <c r="B1" s="630"/>
      <c r="C1" s="630"/>
      <c r="D1" s="630"/>
      <c r="E1" s="630"/>
      <c r="F1" s="630"/>
      <c r="G1" s="630"/>
      <c r="H1" s="630"/>
      <c r="I1" s="630"/>
      <c r="J1" s="630"/>
      <c r="K1" s="630"/>
      <c r="L1" s="630"/>
      <c r="M1" s="630"/>
      <c r="N1" s="630"/>
      <c r="O1" s="630"/>
      <c r="P1" s="630"/>
      <c r="Q1" s="630"/>
      <c r="R1" s="630"/>
      <c r="S1" s="630"/>
      <c r="T1" s="630"/>
    </row>
    <row r="2" spans="1:52" s="1" customFormat="1" ht="59.25" customHeight="1" x14ac:dyDescent="0.2">
      <c r="A2" s="631" t="s">
        <v>1144</v>
      </c>
      <c r="B2" s="631"/>
      <c r="C2" s="632" t="e">
        <f>home!#REF!</f>
        <v>#REF!</v>
      </c>
      <c r="D2" s="632"/>
      <c r="E2" s="632"/>
      <c r="F2" s="632"/>
      <c r="G2" s="632"/>
      <c r="H2" s="632"/>
      <c r="I2" s="632"/>
      <c r="J2" s="632"/>
      <c r="K2" s="632"/>
      <c r="L2" s="632"/>
      <c r="M2" s="632"/>
      <c r="N2" s="632"/>
      <c r="O2" s="632"/>
      <c r="P2" s="632"/>
      <c r="Q2" s="632"/>
      <c r="R2" s="632"/>
      <c r="S2" s="632"/>
      <c r="T2" s="632"/>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1145</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33" t="s">
        <v>1146</v>
      </c>
      <c r="B1" s="633"/>
      <c r="C1" s="633"/>
      <c r="D1" s="633"/>
      <c r="E1" s="633"/>
      <c r="F1" s="633"/>
      <c r="G1" s="633"/>
      <c r="H1" s="633"/>
      <c r="I1" s="633"/>
      <c r="J1" s="633"/>
      <c r="K1" s="633"/>
      <c r="L1" s="633"/>
      <c r="M1" s="633"/>
      <c r="N1" s="633"/>
      <c r="O1" s="633"/>
      <c r="P1" s="633"/>
      <c r="Q1" s="633"/>
      <c r="R1" s="633"/>
      <c r="S1" s="633"/>
      <c r="T1" s="633"/>
    </row>
    <row r="2" spans="1:52" s="1" customFormat="1" ht="36.75" customHeight="1" x14ac:dyDescent="0.2">
      <c r="A2" s="634" t="s">
        <v>1144</v>
      </c>
      <c r="B2" s="634"/>
      <c r="C2" s="635" t="e">
        <f>home!#REF!</f>
        <v>#REF!</v>
      </c>
      <c r="D2" s="635"/>
      <c r="E2" s="635"/>
      <c r="F2" s="635"/>
      <c r="G2" s="635"/>
      <c r="H2" s="635"/>
      <c r="I2" s="635"/>
      <c r="J2" s="635"/>
      <c r="K2" s="635"/>
      <c r="L2" s="635"/>
      <c r="M2" s="635"/>
      <c r="N2" s="635"/>
      <c r="O2" s="635"/>
      <c r="P2" s="635"/>
      <c r="Q2" s="635"/>
      <c r="R2" s="635"/>
      <c r="S2" s="635"/>
      <c r="T2" s="635"/>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33" t="s">
        <v>1147</v>
      </c>
      <c r="B1" s="633"/>
      <c r="C1" s="633"/>
      <c r="D1" s="633"/>
      <c r="E1" s="633"/>
      <c r="F1" s="633"/>
      <c r="G1" s="633"/>
      <c r="H1" s="633"/>
      <c r="I1" s="633"/>
      <c r="J1" s="633"/>
      <c r="K1" s="633"/>
      <c r="L1" s="633"/>
      <c r="M1" s="633"/>
      <c r="N1" s="633"/>
      <c r="O1" s="633"/>
      <c r="P1" s="633"/>
      <c r="Q1" s="633"/>
      <c r="R1" s="633"/>
      <c r="S1" s="633"/>
      <c r="T1" s="633"/>
    </row>
    <row r="2" spans="1:52" s="1" customFormat="1" ht="36.75" customHeight="1" x14ac:dyDescent="0.2">
      <c r="A2" s="636" t="s">
        <v>1144</v>
      </c>
      <c r="B2" s="636"/>
      <c r="C2" s="635" t="e">
        <f>home!#REF!</f>
        <v>#REF!</v>
      </c>
      <c r="D2" s="635"/>
      <c r="E2" s="635"/>
      <c r="F2" s="635"/>
      <c r="G2" s="635"/>
      <c r="H2" s="635"/>
      <c r="I2" s="635"/>
      <c r="J2" s="635"/>
      <c r="K2" s="635"/>
      <c r="L2" s="635"/>
      <c r="M2" s="635"/>
      <c r="N2" s="635"/>
      <c r="O2" s="635"/>
      <c r="P2" s="635"/>
      <c r="Q2" s="635"/>
      <c r="R2" s="635"/>
      <c r="S2" s="635"/>
      <c r="T2" s="635"/>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3.xml><?xml version="1.0" encoding="utf-8"?>
<ds:datastoreItem xmlns:ds="http://schemas.openxmlformats.org/officeDocument/2006/customXml" ds:itemID="{7BC261C4-397E-4E52-ACEF-8067968E19D3}">
  <ds:schemaRefs>
    <ds:schemaRef ds:uri="http://schemas.microsoft.com/office/2006/documentManagement/types"/>
    <ds:schemaRef ds:uri="http://schemas.microsoft.com/office/infopath/2007/PartnerControls"/>
    <ds:schemaRef ds:uri="33a257ad-a3df-428a-a3a2-dd8f88d28374"/>
    <ds:schemaRef ds:uri="http://purl.org/dc/elements/1.1/"/>
    <ds:schemaRef ds:uri="http://schemas.microsoft.com/office/2006/metadata/properties"/>
    <ds:schemaRef ds:uri="http://purl.org/dc/terms/"/>
    <ds:schemaRef ds:uri="http://schemas.openxmlformats.org/package/2006/metadata/core-properties"/>
    <ds:schemaRef ds:uri="15dae5b3-84da-4543-847a-16233922638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19</vt:i4>
      </vt:variant>
    </vt:vector>
  </HeadingPairs>
  <TitlesOfParts>
    <vt:vector size="51" baseType="lpstr">
      <vt:lpstr>home</vt:lpstr>
      <vt:lpstr>Caveats</vt:lpstr>
      <vt:lpstr>FAQs</vt:lpstr>
      <vt:lpstr>PDUs</vt:lpstr>
      <vt:lpstr>capacity data</vt:lpstr>
      <vt:lpstr>caseload data</vt:lpstr>
      <vt:lpstr>reductions data</vt:lpstr>
      <vt:lpstr>reductions workings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2022-08-31T10:10:05Z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